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2120" windowHeight="8910" activeTab="32"/>
  </bookViews>
  <sheets>
    <sheet name="kopbud" sheetId="1" r:id="rId1"/>
    <sheet name="1tab" sheetId="2" r:id="rId2"/>
    <sheet name="2tab" sheetId="3" r:id="rId3"/>
    <sheet name="3tab" sheetId="4" r:id="rId4"/>
    <sheet name="4tab" sheetId="5" r:id="rId5"/>
    <sheet name="5tab" sheetId="6" r:id="rId6"/>
    <sheet name="6tab" sheetId="7" r:id="rId7"/>
    <sheet name="7tab" sheetId="8" r:id="rId8"/>
    <sheet name="8tab" sheetId="9" r:id="rId9"/>
    <sheet name="9tab" sheetId="10" r:id="rId10"/>
    <sheet name="10tab" sheetId="11" r:id="rId11"/>
    <sheet name="11tab" sheetId="12" r:id="rId12"/>
    <sheet name="12tab" sheetId="13" r:id="rId13"/>
    <sheet name="13tab" sheetId="14" r:id="rId14"/>
    <sheet name="14tab" sheetId="15" r:id="rId15"/>
    <sheet name="15tab" sheetId="16" r:id="rId16"/>
    <sheet name="16tab" sheetId="17" r:id="rId17"/>
    <sheet name="17tab" sheetId="18" r:id="rId18"/>
    <sheet name="18tab" sheetId="19" r:id="rId19"/>
    <sheet name="19tab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11">'11tab'!#REF!</definedName>
    <definedName name="_xlnm.Print_Area" localSheetId="13">'13tab'!$A:$E</definedName>
    <definedName name="_xlnm.Print_Area" localSheetId="18">'18tab'!$A:$E</definedName>
    <definedName name="_xlnm.Print_Area" localSheetId="1">'1tab'!$A$1:$K$93</definedName>
    <definedName name="_xlnm.Print_Area" localSheetId="20">'20'!$A$1:$Q$67</definedName>
    <definedName name="_xlnm.Print_Area" localSheetId="22">'22'!$A:$E</definedName>
    <definedName name="_xlnm.Print_Area" localSheetId="24">'24'!$A:$B</definedName>
    <definedName name="_xlnm.Print_Area" localSheetId="29">'29'!$F:$J</definedName>
    <definedName name="_xlnm.Print_Area" localSheetId="30">'30'!$A$1:$G$36</definedName>
    <definedName name="_xlnm.Print_Area" localSheetId="31">'31'!$A$1:$G$102</definedName>
    <definedName name="_xlnm.Print_Area" localSheetId="3">'3tab'!$A$1:$G$258</definedName>
    <definedName name="_xlnm.Print_Area" localSheetId="4">'4tab'!$I:$O</definedName>
    <definedName name="_xlnm.Print_Area" localSheetId="5">'5tab'!#REF!</definedName>
    <definedName name="_xlnm.Print_Area" localSheetId="6">'6tab'!$G:$L</definedName>
    <definedName name="_xlnm.Print_Area" localSheetId="7">'7tab'!#REF!</definedName>
    <definedName name="_xlnm.Print_Area" localSheetId="8">'8tab'!$G:$L</definedName>
    <definedName name="_xlnm.Print_Area" localSheetId="0">'kopbud'!$A:$E</definedName>
    <definedName name="_xlnm.Print_Titles" localSheetId="13">'13tab'!$6:$8</definedName>
    <definedName name="_xlnm.Print_Titles" localSheetId="19">'19tab'!$7:$11</definedName>
    <definedName name="_xlnm.Print_Titles" localSheetId="20">'20'!$7:$11</definedName>
    <definedName name="_xlnm.Print_Titles" localSheetId="21">'21'!$6:$10</definedName>
    <definedName name="_xlnm.Print_Titles" localSheetId="22">'22'!$7:$8</definedName>
    <definedName name="_xlnm.Print_Titles" localSheetId="25">'25'!$7:$10</definedName>
    <definedName name="_xlnm.Print_Titles" localSheetId="31">'31'!$6:$8</definedName>
    <definedName name="_xlnm.Print_Titles" localSheetId="3">'3tab'!$7:$9</definedName>
    <definedName name="_xlnm.Print_Titles" localSheetId="4">'4tab'!$7:$9</definedName>
    <definedName name="_xlnm.Print_Titles" localSheetId="6">'6tab'!$7:$9</definedName>
    <definedName name="_xlnm.Print_Titles" localSheetId="7">'7tab'!$7:$9</definedName>
    <definedName name="_xlnm.Print_Titles" localSheetId="0">'kopbud'!$10:$11</definedName>
    <definedName name="Z_615B3042_FCFF_11D4_9C47_00902745261A_.wvu.PrintArea" localSheetId="13" hidden="1">'13tab'!$A:$E</definedName>
    <definedName name="Z_615B3042_FCFF_11D4_9C47_00902745261A_.wvu.PrintArea" localSheetId="18" hidden="1">'18tab'!$A:$E</definedName>
    <definedName name="Z_615B3042_FCFF_11D4_9C47_00902745261A_.wvu.PrintArea" localSheetId="20" hidden="1">'20'!$A$1:$Q$68</definedName>
    <definedName name="Z_615B3042_FCFF_11D4_9C47_00902745261A_.wvu.PrintArea" localSheetId="22" hidden="1">'22'!$A$1:$E$45</definedName>
    <definedName name="Z_615B3042_FCFF_11D4_9C47_00902745261A_.wvu.PrintArea" localSheetId="24" hidden="1">'24'!$A:$B</definedName>
    <definedName name="Z_615B3042_FCFF_11D4_9C47_00902745261A_.wvu.PrintArea" localSheetId="30" hidden="1">'30'!$A$1:$G$29</definedName>
    <definedName name="Z_615B3042_FCFF_11D4_9C47_00902745261A_.wvu.PrintArea" localSheetId="31" hidden="1">'31'!$A$1:$G$87</definedName>
    <definedName name="Z_615B3042_FCFF_11D4_9C47_00902745261A_.wvu.PrintTitles" localSheetId="13" hidden="1">'13tab'!$6:$8</definedName>
    <definedName name="Z_615B3042_FCFF_11D4_9C47_00902745261A_.wvu.PrintTitles" localSheetId="19" hidden="1">'19tab'!$7:$11</definedName>
    <definedName name="Z_615B3042_FCFF_11D4_9C47_00902745261A_.wvu.PrintTitles" localSheetId="20" hidden="1">'20'!$7:$11</definedName>
    <definedName name="Z_615B3042_FCFF_11D4_9C47_00902745261A_.wvu.PrintTitles" localSheetId="21" hidden="1">'21'!$6:$10</definedName>
    <definedName name="Z_615B3042_FCFF_11D4_9C47_00902745261A_.wvu.PrintTitles" localSheetId="25" hidden="1">'25'!$7:$10</definedName>
    <definedName name="Z_615B3042_FCFF_11D4_9C47_00902745261A_.wvu.PrintTitles" localSheetId="31" hidden="1">'31'!$6:$8</definedName>
    <definedName name="Z_615B3042_FCFF_11D4_9C47_00902745261A_.wvu.PrintTitles" localSheetId="4" hidden="1">'4tab'!$7:$9</definedName>
    <definedName name="Z_615B3042_FCFF_11D4_9C47_00902745261A_.wvu.PrintTitles" localSheetId="6" hidden="1">'6tab'!$7:$9</definedName>
    <definedName name="Z_615B3042_FCFF_11D4_9C47_00902745261A_.wvu.PrintTitles" localSheetId="7" hidden="1">'7tab'!$7:$9</definedName>
    <definedName name="Z_640C99E1_FCCB_11D4_856D_00105A71C5B5_.wvu.PrintArea" localSheetId="13" hidden="1">'13tab'!$A:$E</definedName>
    <definedName name="Z_640C99E1_FCCB_11D4_856D_00105A71C5B5_.wvu.PrintArea" localSheetId="18" hidden="1">'18tab'!$A:$E</definedName>
    <definedName name="Z_640C99E1_FCCB_11D4_856D_00105A71C5B5_.wvu.PrintArea" localSheetId="20" hidden="1">'20'!$A$1:$Q$68</definedName>
    <definedName name="Z_640C99E1_FCCB_11D4_856D_00105A71C5B5_.wvu.PrintArea" localSheetId="22" hidden="1">'22'!$A$1:$E$45</definedName>
    <definedName name="Z_640C99E1_FCCB_11D4_856D_00105A71C5B5_.wvu.PrintArea" localSheetId="24" hidden="1">'24'!$A:$B</definedName>
    <definedName name="Z_640C99E1_FCCB_11D4_856D_00105A71C5B5_.wvu.PrintArea" localSheetId="30" hidden="1">'30'!$A$1:$G$29</definedName>
    <definedName name="Z_640C99E1_FCCB_11D4_856D_00105A71C5B5_.wvu.PrintArea" localSheetId="31" hidden="1">'31'!$A$1:$G$87</definedName>
    <definedName name="Z_640C99E1_FCCB_11D4_856D_00105A71C5B5_.wvu.PrintTitles" localSheetId="13" hidden="1">'13tab'!$6:$8</definedName>
    <definedName name="Z_640C99E1_FCCB_11D4_856D_00105A71C5B5_.wvu.PrintTitles" localSheetId="19" hidden="1">'19tab'!$7:$11</definedName>
    <definedName name="Z_640C99E1_FCCB_11D4_856D_00105A71C5B5_.wvu.PrintTitles" localSheetId="20" hidden="1">'20'!$7:$11</definedName>
    <definedName name="Z_640C99E1_FCCB_11D4_856D_00105A71C5B5_.wvu.PrintTitles" localSheetId="21" hidden="1">'21'!$6:$10</definedName>
    <definedName name="Z_640C99E1_FCCB_11D4_856D_00105A71C5B5_.wvu.PrintTitles" localSheetId="25" hidden="1">'25'!$7:$10</definedName>
    <definedName name="Z_640C99E1_FCCB_11D4_856D_00105A71C5B5_.wvu.PrintTitles" localSheetId="31" hidden="1">'31'!$6:$8</definedName>
    <definedName name="Z_640C99E1_FCCB_11D4_856D_00105A71C5B5_.wvu.PrintTitles" localSheetId="4" hidden="1">'4tab'!$7:$9</definedName>
    <definedName name="Z_640C99E1_FCCB_11D4_856D_00105A71C5B5_.wvu.PrintTitles" localSheetId="6" hidden="1">'6tab'!$7:$9</definedName>
    <definedName name="Z_640C99E1_FCCB_11D4_856D_00105A71C5B5_.wvu.PrintTitles" localSheetId="7" hidden="1">'7tab'!$7:$9</definedName>
    <definedName name="Z_640C99E1_FCCB_11D4_856D_00105A71C5B5_.wvu.Rows" localSheetId="13" hidden="1">'13tab'!$132:$65536,'13tab'!$1:$131</definedName>
    <definedName name="Z_640C99E1_FCCB_11D4_856D_00105A71C5B5_.wvu.Rows" localSheetId="17" hidden="1">'17tab'!$48:$65536,'17tab'!$1:$47</definedName>
    <definedName name="Z_640C99E1_FCCB_11D4_856D_00105A71C5B5_.wvu.Rows" localSheetId="18" hidden="1">'18tab'!$42:$65536,'18tab'!$1:$41</definedName>
    <definedName name="Z_640C99E1_FCCB_11D4_856D_00105A71C5B5_.wvu.Rows" localSheetId="19" hidden="1">'19tab'!$69:$65536,'19tab'!$1:$68</definedName>
    <definedName name="Z_640C99E1_FCCB_11D4_856D_00105A71C5B5_.wvu.Rows" localSheetId="20" hidden="1">'20'!$70:$65536,'20'!$1:$69</definedName>
    <definedName name="Z_640C99E1_FCCB_11D4_856D_00105A71C5B5_.wvu.Rows" localSheetId="21" hidden="1">'21'!$70:$65536,'21'!$1:$69</definedName>
    <definedName name="Z_640C99E1_FCCB_11D4_856D_00105A71C5B5_.wvu.Rows" localSheetId="22" hidden="1">'22'!$54:$65536,'22'!$1:$53</definedName>
    <definedName name="Z_640C99E1_FCCB_11D4_856D_00105A71C5B5_.wvu.Rows" localSheetId="24" hidden="1">'24'!$60:$65536,'24'!$1:$59</definedName>
    <definedName name="Z_640C99E1_FCCB_11D4_856D_00105A71C5B5_.wvu.Rows" localSheetId="25" hidden="1">'25'!$63:$65536,'25'!$1:$62</definedName>
    <definedName name="Z_640C99E1_FCCB_11D4_856D_00105A71C5B5_.wvu.Rows" localSheetId="30" hidden="1">'30'!$36:$65536,'30'!$1:$35</definedName>
    <definedName name="Z_640C99E1_FCCB_11D4_856D_00105A71C5B5_.wvu.Rows" localSheetId="31" hidden="1">'31'!$86:$65536,'31'!$1:$85</definedName>
    <definedName name="Z_640C99E1_FCCB_11D4_856D_00105A71C5B5_.wvu.Rows" localSheetId="4" hidden="1">'4tab'!$90:$65536,'4tab'!$1:$89</definedName>
    <definedName name="Z_640C99E1_FCCB_11D4_856D_00105A71C5B5_.wvu.Rows" localSheetId="5" hidden="1">'5tab'!$108:$65536,'5tab'!$1:$107</definedName>
    <definedName name="Z_640C99E1_FCCB_11D4_856D_00105A71C5B5_.wvu.Rows" localSheetId="6" hidden="1">'6tab'!$240:$65536,'6tab'!$1:$239</definedName>
    <definedName name="Z_640C99E1_FCCB_11D4_856D_00105A71C5B5_.wvu.Rows" localSheetId="7" hidden="1">'7tab'!$93:$65536,'7tab'!$1:$92</definedName>
    <definedName name="Z_640C99E1_FCCB_11D4_856D_00105A71C5B5_.wvu.Rows" localSheetId="8" hidden="1">'8tab'!$108:$65536,'8tab'!$1:$1,'8tab'!$2:$107</definedName>
    <definedName name="Z_BC5FEA1E_5696_4CF4_B8B2_A5CF94385785_.wvu.PrintArea" localSheetId="13" hidden="1">'13tab'!$A:$E</definedName>
    <definedName name="Z_BC5FEA1E_5696_4CF4_B8B2_A5CF94385785_.wvu.PrintArea" localSheetId="18" hidden="1">'18tab'!$A:$E</definedName>
    <definedName name="Z_BC5FEA1E_5696_4CF4_B8B2_A5CF94385785_.wvu.PrintArea" localSheetId="20" hidden="1">'20'!$A$1:$Q$68</definedName>
    <definedName name="Z_BC5FEA1E_5696_4CF4_B8B2_A5CF94385785_.wvu.PrintArea" localSheetId="22" hidden="1">'22'!$A$1:$E$45</definedName>
    <definedName name="Z_BC5FEA1E_5696_4CF4_B8B2_A5CF94385785_.wvu.PrintArea" localSheetId="24" hidden="1">'24'!$A:$B</definedName>
    <definedName name="Z_BC5FEA1E_5696_4CF4_B8B2_A5CF94385785_.wvu.PrintArea" localSheetId="30" hidden="1">'30'!$A$1:$G$29</definedName>
    <definedName name="Z_BC5FEA1E_5696_4CF4_B8B2_A5CF94385785_.wvu.PrintArea" localSheetId="31" hidden="1">'31'!$A$1:$G$87</definedName>
    <definedName name="Z_BC5FEA1E_5696_4CF4_B8B2_A5CF94385785_.wvu.PrintTitles" localSheetId="13" hidden="1">'13tab'!$6:$8</definedName>
    <definedName name="Z_BC5FEA1E_5696_4CF4_B8B2_A5CF94385785_.wvu.PrintTitles" localSheetId="19" hidden="1">'19tab'!$7:$11</definedName>
    <definedName name="Z_BC5FEA1E_5696_4CF4_B8B2_A5CF94385785_.wvu.PrintTitles" localSheetId="20" hidden="1">'20'!$7:$11</definedName>
    <definedName name="Z_BC5FEA1E_5696_4CF4_B8B2_A5CF94385785_.wvu.PrintTitles" localSheetId="21" hidden="1">'21'!$6:$10</definedName>
    <definedName name="Z_BC5FEA1E_5696_4CF4_B8B2_A5CF94385785_.wvu.PrintTitles" localSheetId="25" hidden="1">'25'!$7:$10</definedName>
    <definedName name="Z_BC5FEA1E_5696_4CF4_B8B2_A5CF94385785_.wvu.PrintTitles" localSheetId="31" hidden="1">'31'!$6:$8</definedName>
    <definedName name="Z_BC5FEA1E_5696_4CF4_B8B2_A5CF94385785_.wvu.PrintTitles" localSheetId="4" hidden="1">'4tab'!$7:$9</definedName>
    <definedName name="Z_BC5FEA1E_5696_4CF4_B8B2_A5CF94385785_.wvu.PrintTitles" localSheetId="6" hidden="1">'6tab'!$7:$9</definedName>
    <definedName name="Z_BC5FEA1E_5696_4CF4_B8B2_A5CF94385785_.wvu.PrintTitles" localSheetId="7" hidden="1">'7tab'!$7:$9</definedName>
  </definedNames>
  <calcPr fullCalcOnLoad="1"/>
</workbook>
</file>

<file path=xl/sharedStrings.xml><?xml version="1.0" encoding="utf-8"?>
<sst xmlns="http://schemas.openxmlformats.org/spreadsheetml/2006/main" count="2836" uniqueCount="907">
  <si>
    <t xml:space="preserve">  Indikatīvās robežas centrālās valdības </t>
  </si>
  <si>
    <t xml:space="preserve">  ieņēmumiem: </t>
  </si>
  <si>
    <t xml:space="preserve">    Pārvaldnieks                                                                                                                        A. Veiss</t>
  </si>
  <si>
    <t>2001. gada 15. februārī</t>
  </si>
  <si>
    <t>27.tabula</t>
  </si>
  <si>
    <t>Ministriju un centrālo valsts iestāžu ilgtermiņa valsts saistību limiti</t>
  </si>
  <si>
    <t>2002., 2003. gadam un turpmākajiem gadiem valsts pamatbudžetā</t>
  </si>
  <si>
    <t>(2001. gada februāris)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</si>
  <si>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</si>
  <si>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</si>
  <si>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</si>
  <si>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</si>
  <si>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</si>
  <si>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</si>
  <si>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</si>
  <si>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</si>
  <si>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</si>
  <si>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</si>
  <si>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</si>
  <si>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Tieslietu ministrija </t>
  </si>
  <si>
    <t xml:space="preserve">Kultūras ministrija </t>
  </si>
  <si>
    <t>Īpašu uzdevumu ministra valsts
reformu lietās sekretariāts</t>
  </si>
  <si>
    <t>Valsts kases pārvaldnieks                                                                                                                                                               A.Veiss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</si>
  <si>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</si>
  <si>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</si>
  <si>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</si>
  <si>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</si>
  <si>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 xml:space="preserve">Valsts kases pārvaldnieks                                                                  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</si>
  <si>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</si>
  <si>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</si>
  <si>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</si>
  <si>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janvāris)</t>
  </si>
  <si>
    <t xml:space="preserve">                                                             (tūkst.latu)</t>
  </si>
  <si>
    <t xml:space="preserve">Janvāris mēneša  izpilde 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</si>
  <si>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</si>
  <si>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</si>
  <si>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</si>
  <si>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</si>
  <si>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</si>
  <si>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</si>
  <si>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</si>
  <si>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</si>
  <si>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</si>
  <si>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</si>
  <si>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</si>
  <si>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</si>
  <si>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</si>
  <si>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</si>
  <si>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</si>
  <si>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</si>
  <si>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</si>
  <si>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 xml:space="preserve">Valsts kases pārvaldnieks                                                                           </t>
  </si>
  <si>
    <t>17. tabula</t>
  </si>
  <si>
    <t>Pašvaldību speciālā budžeta ieņēmumi un izdevumi (ieskaitot tīros aizdevumus)</t>
  </si>
  <si>
    <t xml:space="preserve">                            (tūkst.latu)</t>
  </si>
  <si>
    <t>Ieņēmumi no īpašiem mērķiem iezīmētu līdzekļu avotiem</t>
  </si>
  <si>
    <t xml:space="preserve">  Privatizācijas fonds</t>
  </si>
  <si>
    <t xml:space="preserve">  Dabas resursu nodoklis</t>
  </si>
  <si>
    <t xml:space="preserve">  Autoceļu (ielu) fonds (pārskaitījumi no Valsts autoceļu fonda)</t>
  </si>
  <si>
    <t xml:space="preserve">   Mērķdotācijas pasažieru regulārajiem pārvadājumiem ar autobusiem (pārskaitījumi no Valsts autoceļu fonda)</t>
  </si>
  <si>
    <t xml:space="preserve">  Pārējie ieņēmumi</t>
  </si>
  <si>
    <t xml:space="preserve">Izdevumi pa speciāliem budžetiem 
</t>
  </si>
  <si>
    <t xml:space="preserve">  Autoceļu (ielu) fonds</t>
  </si>
  <si>
    <t xml:space="preserve">  Regulārie pasažieru pārvadājumi</t>
  </si>
  <si>
    <t xml:space="preserve">  Pārējie speciālie budžeti</t>
  </si>
  <si>
    <t xml:space="preserve">Valsts kases pārvaldnieks                                                                   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</si>
  <si>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</si>
  <si>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</si>
  <si>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</si>
  <si>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</si>
  <si>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</si>
  <si>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</si>
  <si>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</si>
  <si>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</si>
  <si>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</si>
  <si>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</si>
  <si>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</si>
  <si>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>Finansēšana                   -(5-9)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</si>
  <si>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</si>
  <si>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</si>
  <si>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</si>
  <si>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</si>
  <si>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</si>
  <si>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</si>
  <si>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</si>
  <si>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</si>
  <si>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</si>
  <si>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</si>
  <si>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</si>
  <si>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Pārbaude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</si>
  <si>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</si>
  <si>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</si>
  <si>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</si>
  <si>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</si>
  <si>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</si>
  <si>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</si>
  <si>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</si>
  <si>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</si>
  <si>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</si>
  <si>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</si>
  <si>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</si>
  <si>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</si>
  <si>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</si>
  <si>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</si>
  <si>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</si>
  <si>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</si>
  <si>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</si>
  <si>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</si>
  <si>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</si>
  <si>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</si>
  <si>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</si>
  <si>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</si>
  <si>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</si>
  <si>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</si>
  <si>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</si>
  <si>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</si>
  <si>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</si>
  <si>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</si>
  <si>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</si>
  <si>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</si>
  <si>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</si>
  <si>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</si>
  <si>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</si>
  <si>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</si>
  <si>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</si>
  <si>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</si>
  <si>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</si>
  <si>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</si>
  <si>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</si>
  <si>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</si>
  <si>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</si>
  <si>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</si>
  <si>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</si>
  <si>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</si>
  <si>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</si>
  <si>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</si>
  <si>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</si>
  <si>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</si>
  <si>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</si>
  <si>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    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</si>
  <si>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</si>
  <si>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</si>
  <si>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</si>
  <si>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</si>
  <si>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</si>
  <si>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Uzturē-šanas</t>
  </si>
  <si>
    <t>Kapitālie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</si>
  <si>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</si>
  <si>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</si>
  <si>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</si>
  <si>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</si>
  <si>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</si>
  <si>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Aizdevumi/ atmaksas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</si>
  <si>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</si>
  <si>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</si>
  <si>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</si>
  <si>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</si>
  <si>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</si>
  <si>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Fiskālā bilance (1.-2.-3)</t>
  </si>
  <si>
    <t xml:space="preserve">Valsts kases pārvaldnieks                                                                        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</si>
  <si>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</si>
  <si>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</si>
  <si>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</si>
  <si>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</si>
  <si>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</si>
  <si>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</si>
  <si>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</si>
  <si>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</si>
  <si>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</si>
  <si>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</si>
  <si>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</si>
  <si>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</si>
  <si>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</si>
  <si>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</si>
  <si>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</si>
  <si>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</si>
  <si>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</si>
  <si>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</si>
  <si>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</si>
  <si>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</si>
  <si>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</si>
  <si>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</si>
  <si>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</si>
  <si>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</si>
  <si>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</si>
  <si>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Ārējā finansēša-na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</si>
  <si>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</si>
  <si>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</si>
  <si>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</si>
  <si>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(2001. gada janvāris)</t>
  </si>
  <si>
    <t>(tūkst.latu)</t>
  </si>
  <si>
    <t>Rādītāji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</si>
  <si>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</si>
  <si>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</si>
  <si>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</si>
  <si>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</si>
  <si>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</si>
  <si>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</si>
  <si>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</si>
  <si>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</si>
  <si>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</si>
  <si>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</si>
  <si>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</si>
  <si>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</si>
  <si>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</si>
  <si>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</si>
  <si>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>x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</si>
  <si>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</si>
  <si>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</si>
  <si>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</si>
  <si>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</si>
  <si>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</si>
  <si>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</si>
  <si>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</si>
  <si>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</si>
  <si>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</si>
  <si>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</si>
  <si>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</si>
  <si>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</si>
  <si>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</si>
  <si>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</si>
  <si>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</si>
  <si>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</si>
  <si>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</si>
  <si>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</si>
  <si>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</si>
  <si>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</si>
  <si>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</si>
  <si>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</si>
  <si>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</si>
  <si>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</si>
  <si>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</si>
  <si>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</t>
  </si>
  <si>
    <t xml:space="preserve">          ieņēmumi no valsts nekustāmā īpašuma pārdošanas</t>
  </si>
  <si>
    <t xml:space="preserve">          aizņēmumi</t>
  </si>
  <si>
    <t xml:space="preserve">          pārējā finansēšana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</si>
  <si>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</si>
  <si>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</si>
  <si>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</si>
  <si>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</si>
  <si>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</si>
  <si>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</si>
  <si>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</si>
  <si>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</si>
  <si>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</si>
  <si>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</si>
  <si>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</si>
  <si>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</si>
  <si>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</si>
  <si>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</si>
  <si>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</si>
  <si>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</si>
  <si>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</si>
  <si>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</si>
  <si>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</si>
  <si>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</si>
  <si>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</si>
  <si>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</si>
  <si>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</si>
  <si>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</si>
  <si>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</si>
  <si>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</si>
  <si>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</si>
  <si>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</si>
  <si>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</si>
  <si>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</si>
  <si>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>12.tabula</t>
  </si>
  <si>
    <t xml:space="preserve">Ārvalstu finansu palīdzības un valsts budžeta līdzdalības maksājumi 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</si>
  <si>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</si>
  <si>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</si>
  <si>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</si>
  <si>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</si>
  <si>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</si>
  <si>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</si>
  <si>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</si>
  <si>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</si>
  <si>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</si>
  <si>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</si>
  <si>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</si>
  <si>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</si>
  <si>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 xml:space="preserve">    (2001.gada janvāris)</t>
  </si>
  <si>
    <t xml:space="preserve">Valsts kases pārvaldnieks                                                            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</si>
  <si>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</si>
  <si>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</si>
  <si>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</si>
  <si>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Valsts kases pārvaldnieks                                                                                              A. Veiss</t>
  </si>
  <si>
    <t>Pārējie maksājumi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</si>
  <si>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janvāris)</t>
    </r>
  </si>
  <si>
    <t xml:space="preserve">Programmas "Valsts aizsardzība, drošība un integrācija NATO" izpilde 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</si>
  <si>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</si>
  <si>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</si>
  <si>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 xml:space="preserve">          Ieņēmumi no pasēm</t>
  </si>
  <si>
    <t>1.3. Pašu ieņēmumi</t>
  </si>
  <si>
    <t xml:space="preserve">   Budžeta iestāžu ieņēmumi no maksas pakalpojumiem           un citi pašu ieņēmumi</t>
  </si>
  <si>
    <t>1.4. Ārvalstu finansu palīdzība</t>
  </si>
  <si>
    <t xml:space="preserve">Valsts kases pārvaldnieks                                                                        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</si>
  <si>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</si>
  <si>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</si>
  <si>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</si>
  <si>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</si>
  <si>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</si>
  <si>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>(2001.gada janvāris)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</si>
  <si>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</si>
  <si>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</si>
  <si>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</si>
  <si>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</si>
  <si>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</si>
  <si>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</si>
  <si>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</si>
  <si>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</si>
  <si>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</si>
  <si>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</si>
  <si>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</si>
  <si>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</si>
  <si>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</si>
  <si>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</si>
  <si>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</si>
  <si>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Valsts prezidenta kanceleja</t>
  </si>
  <si>
    <t>Izdevumi kopā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</si>
  <si>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</si>
  <si>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</si>
  <si>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</si>
  <si>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</si>
  <si>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</si>
  <si>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</si>
  <si>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</si>
  <si>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</si>
  <si>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</si>
  <si>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</si>
  <si>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</si>
  <si>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</si>
  <si>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</si>
  <si>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</si>
  <si>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</si>
  <si>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</si>
  <si>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</si>
  <si>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</si>
  <si>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</si>
  <si>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</si>
  <si>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</si>
  <si>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</si>
  <si>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</si>
  <si>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</si>
  <si>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</si>
  <si>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reformu lietās  sekretariāts</t>
  </si>
  <si>
    <t>Sabiedrisko pakalpojumu regulēšanas komisija</t>
  </si>
  <si>
    <t>Mērķdotācijas pašvaldībām</t>
  </si>
  <si>
    <t>Dotācija pašvaldībām</t>
  </si>
  <si>
    <t xml:space="preserve">Valsts kases pārvaldnieks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</si>
  <si>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</si>
  <si>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</si>
  <si>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</si>
  <si>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(saimnieciskais gads, pārskata periods)</t>
  </si>
  <si>
    <t xml:space="preserve">              (2001.gada janvāris)</t>
  </si>
  <si>
    <t>Finansēšanas plāns pārskata periodam</t>
  </si>
  <si>
    <t>Izpilde % pret gada plānu      (4/2)</t>
  </si>
  <si>
    <t>Izpilde % pret finansēša-nas plānu pārskata periodam       (4/3)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</si>
  <si>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</si>
  <si>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</si>
  <si>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</si>
  <si>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</si>
  <si>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</si>
  <si>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</si>
  <si>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</si>
  <si>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</si>
  <si>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</si>
  <si>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</si>
  <si>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</si>
  <si>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</si>
  <si>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</si>
  <si>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</si>
  <si>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</si>
  <si>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</si>
  <si>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</si>
  <si>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</si>
  <si>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</si>
  <si>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</si>
  <si>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</si>
  <si>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</si>
  <si>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</si>
  <si>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pensijas </t>
  </si>
  <si>
    <t xml:space="preserve">                t.sk.            pensijas </t>
  </si>
  <si>
    <t xml:space="preserve">                          pabalsti</t>
  </si>
  <si>
    <t xml:space="preserve"> pabalsti</t>
  </si>
  <si>
    <t xml:space="preserve">                        stipendijas</t>
  </si>
  <si>
    <t xml:space="preserve">    stipendijas</t>
  </si>
  <si>
    <t xml:space="preserve">                       pārējie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</si>
  <si>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</si>
  <si>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</si>
  <si>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</si>
  <si>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</si>
  <si>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     SAPARD maksājumi 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</si>
  <si>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</si>
  <si>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</si>
  <si>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</si>
  <si>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</si>
  <si>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</si>
  <si>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</si>
  <si>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</si>
  <si>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</si>
  <si>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</si>
  <si>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</si>
  <si>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</si>
  <si>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</si>
  <si>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</si>
  <si>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</si>
  <si>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</si>
  <si>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</si>
  <si>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 xml:space="preserve">Valsts kases pārvaldnieks                           (paraksts)                                                 </t>
  </si>
  <si>
    <t>(paraksta atšifrējums)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</si>
  <si>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</si>
  <si>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</si>
  <si>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</si>
  <si>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>(tūkst. latu)</t>
  </si>
  <si>
    <t>Valdības funkcijas kods</t>
  </si>
  <si>
    <t>Izpilde % pret gada plānu          (3/2)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</si>
  <si>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</si>
  <si>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</si>
  <si>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</si>
  <si>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</si>
  <si>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</si>
  <si>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</si>
  <si>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</si>
  <si>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</si>
  <si>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</si>
  <si>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</si>
  <si>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</si>
  <si>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</si>
  <si>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</si>
  <si>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</si>
  <si>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</si>
  <si>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</si>
  <si>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                     </t>
  </si>
  <si>
    <t>6.tabula</t>
  </si>
  <si>
    <t xml:space="preserve">Valsts speciālā budžeta ieņēmumi un izdevumi pa ministrijām </t>
  </si>
  <si>
    <t>(saimnieciskais gads, pārskata periods)</t>
  </si>
  <si>
    <t>latos</t>
  </si>
  <si>
    <t xml:space="preserve"> (tūkst.latu)</t>
  </si>
  <si>
    <t>Finansēšanas plāns</t>
  </si>
  <si>
    <t>Izpilde % pret gada plānu 
   (4/2)</t>
  </si>
  <si>
    <t xml:space="preserve">Janvāra mēneša  izpilde 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</si>
  <si>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</si>
  <si>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</si>
  <si>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</si>
  <si>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</si>
  <si>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</si>
  <si>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</si>
  <si>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</si>
  <si>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</si>
  <si>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</si>
  <si>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</si>
  <si>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</si>
  <si>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</si>
  <si>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</si>
  <si>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</si>
  <si>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</si>
  <si>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</si>
  <si>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</si>
  <si>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</si>
  <si>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</si>
  <si>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</si>
  <si>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</si>
  <si>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</si>
  <si>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</si>
  <si>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>tūkst.latos</t>
  </si>
  <si>
    <t>28.tabula</t>
  </si>
  <si>
    <t>2002., 2003. gadam un turpmākajiem gadiem valsts speciālajā budžetā</t>
  </si>
  <si>
    <t>Valsts kases pārvaldnieks                                                                                                                                                         A.Veiss</t>
  </si>
  <si>
    <t>2001. gada 15.februārī</t>
  </si>
  <si>
    <t>32.tabula</t>
  </si>
  <si>
    <t>29.tabula</t>
  </si>
  <si>
    <t>Izpilde  % pret gada plānu         (4/2)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</si>
  <si>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</si>
  <si>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</si>
  <si>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</si>
  <si>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</si>
  <si>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</si>
  <si>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</si>
  <si>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</si>
  <si>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</si>
  <si>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</si>
  <si>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</si>
  <si>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Sardzes pulks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</si>
  <si>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</si>
  <si>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 xml:space="preserve">     Centralizētā bruņojuma un munīcijas 
     nodrošināsanas izdevumi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</si>
  <si>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</si>
  <si>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</si>
  <si>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</si>
  <si>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t xml:space="preserve">Valsts kases pārvaldnieks                                                                                        A. Veiss                                            </t>
  </si>
  <si>
    <t>30.tabula</t>
  </si>
  <si>
    <t>Ārvalstu finansu palīdzības ( SAPARD) un valsts budžeta līdzdalības maksājumi</t>
  </si>
  <si>
    <t xml:space="preserve">                                         (2001.gada janvāris)</t>
  </si>
  <si>
    <t>Projekta kods</t>
  </si>
  <si>
    <t xml:space="preserve">Projekts                                                                   Râdîtâji </t>
  </si>
  <si>
    <t>Finansēšanas plâns pârskata periodam</t>
  </si>
  <si>
    <t>Izpilde % pret gada plānu (5/3)</t>
  </si>
  <si>
    <t>SAPARD</t>
  </si>
  <si>
    <t xml:space="preserve"> Lauku attīstības plāns</t>
  </si>
  <si>
    <t xml:space="preserve">Ārvalstu finansu palīdzība </t>
  </si>
  <si>
    <t xml:space="preserve">Uzturēšanas izdevumi </t>
  </si>
  <si>
    <t>31.tabula</t>
  </si>
  <si>
    <t>Ārvalstu finansu palīdzības ( ISPA) un valsts budžeta līdzdalības maksājumi</t>
  </si>
  <si>
    <t>Izdevumi - pavisam</t>
  </si>
  <si>
    <t xml:space="preserve"> Ārvalstu finansu palīdzība </t>
  </si>
  <si>
    <t>2000/LV/16/P/PT/004</t>
  </si>
  <si>
    <t>TRr04 Austrumu - Rietumu dzelzceļa koridora rekonstrukcija: Rēzeknes II pieņemšanas parka būvniecība</t>
  </si>
  <si>
    <t>2000/LV/P/PT/003</t>
  </si>
  <si>
    <t>TRr12-01 Austrumu - Rietumu dzelzceļa koridora rekonstrukcija: pārmiju pārvadu nomaiņa</t>
  </si>
  <si>
    <t>2000/LV/16/P/PA/005</t>
  </si>
  <si>
    <t>Austrumu - Rietumu dzelzceļa koridora modernizācija: vilcienu kustības vadības sistēmas modernizācija (tehniskā palīdzība) un Austrumu - Rietumu dzelzceļa koridora modernizācija: sakarsušo bukšu atklāšanas sistēmas modernizācija (tehniskā palīdzība)</t>
  </si>
  <si>
    <t xml:space="preserve">TRm04 Uzlabojumi Via Baltica maršrutā un Rietumu - Austrumu koridorā </t>
  </si>
  <si>
    <t>2000/LV/16/P/PA/003</t>
  </si>
  <si>
    <t>Bīstamo atkritumu apsaimniekošanas sistēma - atkritumu apglabāšanas poligona izveide</t>
  </si>
  <si>
    <t>Eiropas Savienības finansētie pašvaldību projekti</t>
  </si>
  <si>
    <t>2000/LV/16/P/PE/003</t>
  </si>
  <si>
    <t>Ventspils ūdensaimniecības projekts</t>
  </si>
  <si>
    <t>2000/LV/16/P/PE/002</t>
  </si>
  <si>
    <t>Jelgavas ūdensaimniecības attīstības projekts</t>
  </si>
  <si>
    <t>2000/LV/16/P/PE/001</t>
  </si>
  <si>
    <t xml:space="preserve">Rīgas ūdens un apkārtējās vides projekta II fāze </t>
  </si>
  <si>
    <t>ISPA</t>
  </si>
  <si>
    <t>Malienas reģionālais sadzīves atkritumu apsaimniekošanas projekts</t>
  </si>
  <si>
    <t xml:space="preserve">Liepājas reģiona sadzīves atkritumu  apsaimniekošanas projekts </t>
  </si>
  <si>
    <t>200/LV/16/P/PE/004</t>
  </si>
  <si>
    <t>Cieto sadzīves atkritumu apsaimniekošanas sistēmas izveidošana Ventspils reģionā</t>
  </si>
  <si>
    <t>Sadzīves atkritumu apsaimniekošanas sistēmas izveide Ziemeļvidzemes reģionā</t>
  </si>
  <si>
    <t xml:space="preserve">Valsts kases kontu atlikumi kredītiestādēs </t>
  </si>
  <si>
    <t>Iepriekšējā gada beigās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</si>
  <si>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</si>
  <si>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</si>
  <si>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</si>
  <si>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</si>
  <si>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</si>
  <si>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</si>
  <si>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</si>
  <si>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</si>
  <si>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</si>
  <si>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</si>
  <si>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</si>
  <si>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</si>
  <si>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</si>
  <si>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</si>
  <si>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</si>
  <si>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</si>
  <si>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</si>
  <si>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</si>
  <si>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</si>
  <si>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</si>
  <si>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</si>
  <si>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</si>
  <si>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</si>
  <si>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</si>
  <si>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</si>
  <si>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</si>
  <si>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>Valsts kases pārvaldnieks                                                                                  A. Veiss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</si>
  <si>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</si>
  <si>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</si>
  <si>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</si>
  <si>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                                                                                                                                 A.Veiss                                                                    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</si>
  <si>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</si>
  <si>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</si>
  <si>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15.oktobris</t>
  </si>
  <si>
    <t>2001.gada 15.februāris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</si>
  <si>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</si>
  <si>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</si>
  <si>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</si>
  <si>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Konsolidētais
valsts budžets</t>
  </si>
  <si>
    <t>Konsolidētais
pašvaldību budžets</t>
  </si>
  <si>
    <t>Konsolidētais kopbudžets</t>
  </si>
  <si>
    <t>Janvāra izpilde</t>
  </si>
  <si>
    <t>1. Ieņēmumi (bruto)</t>
  </si>
  <si>
    <t>mīnus transferts no valsts pamatbudžeta pašvaldību budžetos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</si>
  <si>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</si>
  <si>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</si>
  <si>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</si>
  <si>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</si>
  <si>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</si>
  <si>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</si>
  <si>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</si>
  <si>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</si>
  <si>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</si>
  <si>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</si>
  <si>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</si>
  <si>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</si>
  <si>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</si>
  <si>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</si>
  <si>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</si>
  <si>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</si>
  <si>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</si>
  <si>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</si>
  <si>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</si>
  <si>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</si>
  <si>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</si>
  <si>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</si>
  <si>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</si>
  <si>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</si>
  <si>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</si>
  <si>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</si>
  <si>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</si>
  <si>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</si>
  <si>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</si>
  <si>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</si>
  <si>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>6.2. Ārējā finansēšana</t>
  </si>
  <si>
    <t>Ārvalstu aizņēmumi</t>
  </si>
  <si>
    <t>Norēķinu kontu atlikumu izmaiņas</t>
  </si>
  <si>
    <t>Valsts kase/Pārskatu departaments</t>
  </si>
  <si>
    <t>Valsts kases oficiālais mēneša pārskats</t>
  </si>
  <si>
    <t>2.tabula</t>
  </si>
  <si>
    <t xml:space="preserve">Valsts pamatbudžeta ieņēmumi </t>
  </si>
  <si>
    <t xml:space="preserve">             (2001.gada janvāris)</t>
  </si>
  <si>
    <t xml:space="preserve">Rādītāji </t>
  </si>
  <si>
    <t>Gada sagaidāmā izpilde %</t>
  </si>
  <si>
    <t>Izpilde % pret gada plānu            (4/2)</t>
  </si>
  <si>
    <t xml:space="preserve">Pārskata mēneša  izpilde 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</si>
  <si>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</si>
  <si>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</si>
  <si>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</si>
  <si>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</si>
  <si>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</si>
  <si>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</si>
  <si>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</si>
  <si>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</si>
  <si>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</si>
  <si>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</si>
  <si>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</si>
  <si>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</si>
  <si>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</si>
  <si>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</si>
  <si>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</si>
  <si>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</si>
  <si>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</si>
  <si>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Valsts nodeva par jūras navigācijas pakalpojumiem (bāku nodeva)</t>
  </si>
  <si>
    <t xml:space="preserve">           Izložu un azartspēļu valsts nodeva, izložu nodoklis, azartspēļu nodoklis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</si>
  <si>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</si>
  <si>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</si>
  <si>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</si>
  <si>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</si>
  <si>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VAS "Latvijas meži" fiksētais maksājums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</si>
  <si>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</si>
  <si>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</si>
  <si>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</si>
  <si>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</si>
  <si>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</si>
  <si>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</si>
  <si>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</si>
  <si>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</si>
  <si>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</si>
  <si>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</si>
  <si>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</si>
  <si>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</si>
  <si>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</si>
  <si>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</si>
  <si>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</si>
  <si>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</si>
  <si>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</si>
  <si>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 xml:space="preserve">    Atskaitījumi no ostu maksām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</si>
  <si>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</si>
  <si>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</si>
  <si>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</si>
  <si>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</si>
  <si>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</si>
  <si>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</si>
  <si>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</si>
  <si>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</si>
  <si>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</si>
  <si>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</si>
  <si>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>Izdevumi*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</si>
  <si>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</si>
  <si>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</si>
  <si>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</si>
  <si>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</si>
  <si>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</si>
  <si>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</si>
  <si>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</si>
  <si>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</si>
  <si>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</si>
  <si>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</si>
  <si>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</si>
  <si>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</si>
  <si>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</si>
  <si>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</si>
  <si>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 xml:space="preserve">* konsolidēts par sociālās apdrošināšanas iekšējiem maksājumiem </t>
  </si>
  <si>
    <t>tūkst.latu</t>
  </si>
  <si>
    <t xml:space="preserve">Valsts kases pārvaldnieks                                                                       </t>
  </si>
  <si>
    <t>Valsts kase/ Pārskatu departaments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</si>
  <si>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</si>
  <si>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</si>
  <si>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</si>
  <si>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</si>
  <si>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Izpilde % pret finansēšanas plānu pārskata periodam           (4/3)</t>
  </si>
  <si>
    <t xml:space="preserve">Janvāra
 mēneša  izpilde </t>
  </si>
  <si>
    <t>1.Ieņēmumi - kopā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</si>
  <si>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</si>
  <si>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</si>
  <si>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</si>
  <si>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</si>
  <si>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</si>
  <si>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</si>
  <si>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</si>
  <si>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</si>
  <si>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</si>
  <si>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</si>
  <si>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</si>
  <si>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mērķdotācijas pašvaldību budžetiem</t>
  </si>
  <si>
    <t xml:space="preserve">        t.sk. autoceļu(ielu) fondiem 3250</t>
  </si>
  <si>
    <t xml:space="preserve">               pasažieru regulārajiem pārvadātājiem ar autobusiem:3280</t>
  </si>
  <si>
    <t xml:space="preserve">                     no tiem: pašvaldībām 3281</t>
  </si>
  <si>
    <t xml:space="preserve">                                     pārējiem pārvadātājiem 3282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</si>
  <si>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</si>
  <si>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</si>
  <si>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</si>
  <si>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</si>
  <si>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</si>
  <si>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</si>
  <si>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</si>
  <si>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</si>
  <si>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</si>
  <si>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</si>
  <si>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</si>
  <si>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</si>
  <si>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</si>
  <si>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</si>
  <si>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</si>
  <si>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</si>
  <si>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</si>
  <si>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</si>
  <si>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</si>
  <si>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</si>
  <si>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</si>
  <si>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</si>
  <si>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</si>
  <si>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</si>
  <si>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</si>
  <si>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</si>
  <si>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</si>
  <si>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</si>
  <si>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</si>
  <si>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</si>
  <si>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</si>
  <si>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</si>
  <si>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</si>
  <si>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 xml:space="preserve">Valsts kases pārvaldnieks                                                                    </t>
  </si>
  <si>
    <t>A. Veiss</t>
  </si>
  <si>
    <t>2001. gada 15. februāris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</si>
  <si>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</si>
  <si>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</si>
  <si>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</si>
  <si>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 xml:space="preserve">Izpilde no gada sākuma 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</si>
  <si>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</si>
  <si>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</si>
  <si>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</si>
  <si>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</si>
  <si>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</si>
  <si>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</si>
  <si>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</si>
  <si>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</si>
  <si>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</si>
  <si>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</si>
  <si>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</si>
  <si>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</si>
  <si>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</si>
  <si>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</si>
  <si>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</si>
  <si>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</si>
  <si>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</si>
  <si>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</si>
  <si>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>11.tabula</t>
  </si>
  <si>
    <t>Valsts  budžeta  ziedojumu un dāvinājumu izdevumi pēc valdības funkcijām (ieskaitot tīros aizdevumus)</t>
  </si>
  <si>
    <t>Izpilde % pret finansēšanas plānu          (4/3)</t>
  </si>
  <si>
    <t>Pārējie izdevumi, kas nav atspoguļoti pamatgrupās (ieskaitot tīros aizdevumus)</t>
  </si>
  <si>
    <t xml:space="preserve">Valsts kases pārvaldnieks                                                                     </t>
  </si>
  <si>
    <t>(latos)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</si>
  <si>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</si>
  <si>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</si>
  <si>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</si>
  <si>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</si>
  <si>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</si>
  <si>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</si>
  <si>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</si>
  <si>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</si>
  <si>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</si>
  <si>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</si>
  <si>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</si>
  <si>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</si>
  <si>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</si>
  <si>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</si>
  <si>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</si>
  <si>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</si>
  <si>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</si>
  <si>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</si>
  <si>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</si>
  <si>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</si>
  <si>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</si>
  <si>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</si>
  <si>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</si>
  <si>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</si>
  <si>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</si>
  <si>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</si>
  <si>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</si>
  <si>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</si>
  <si>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</si>
  <si>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</si>
  <si>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</si>
  <si>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</si>
  <si>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</si>
  <si>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</si>
  <si>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</si>
  <si>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</si>
  <si>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</si>
  <si>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</si>
  <si>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</si>
  <si>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</si>
  <si>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</si>
  <si>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</si>
  <si>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</si>
  <si>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</si>
  <si>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</si>
  <si>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</si>
  <si>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</si>
  <si>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</si>
  <si>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</si>
  <si>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</si>
  <si>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</si>
  <si>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 xml:space="preserve">Valsts kases pārvaldnieks                                                                            </t>
  </si>
  <si>
    <t>14.tabula</t>
  </si>
  <si>
    <t xml:space="preserve">                                       Valsts kases oficiālais mēneša pārskats</t>
  </si>
  <si>
    <t>Pašvaldību pamatbudžeta ieņēmumi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</si>
  <si>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</si>
  <si>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</si>
  <si>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</si>
  <si>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</si>
  <si>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</si>
  <si>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</si>
  <si>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</si>
  <si>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</si>
  <si>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</si>
  <si>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</si>
  <si>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</si>
  <si>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</si>
  <si>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</si>
  <si>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</si>
  <si>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</si>
  <si>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</si>
  <si>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</si>
  <si>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</si>
  <si>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</si>
  <si>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</si>
  <si>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</si>
  <si>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</si>
  <si>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</si>
  <si>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</si>
  <si>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</si>
  <si>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</si>
  <si>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</si>
  <si>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</si>
  <si>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</si>
  <si>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</si>
  <si>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</si>
  <si>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</si>
  <si>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</si>
  <si>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Maksājumi no citiem budžetiem</t>
  </si>
  <si>
    <t>* no valsts pamatbudžeta saņemtā dotācija PFIF   644 tūkst. latu</t>
  </si>
  <si>
    <t>* nesadalītais atlikums uz perioda beigām - 423 tūkst.latu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</si>
  <si>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</si>
  <si>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</si>
  <si>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</si>
  <si>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</si>
  <si>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</si>
  <si>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</si>
  <si>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</si>
  <si>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</si>
  <si>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</si>
  <si>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</si>
  <si>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</si>
  <si>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</si>
  <si>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</si>
  <si>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</si>
  <si>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</si>
  <si>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</si>
  <si>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</si>
  <si>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</si>
  <si>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</si>
  <si>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</si>
  <si>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</si>
  <si>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</si>
  <si>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</si>
  <si>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</si>
  <si>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</si>
  <si>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</si>
  <si>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</si>
  <si>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</si>
  <si>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</si>
  <si>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  Ierobežojumi valsts kopbudžeta </t>
  </si>
  <si>
    <t xml:space="preserve">  fiskālam deficītam: </t>
  </si>
  <si>
    <t>(milj. latu)</t>
  </si>
  <si>
    <t>Pārskata periods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</si>
  <si>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</si>
  <si>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</si>
  <si>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</si>
  <si>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</si>
  <si>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</si>
  <si>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</si>
  <si>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 xml:space="preserve"> Kopā       1-5 gadi</t>
  </si>
  <si>
    <t>III.</t>
  </si>
  <si>
    <t xml:space="preserve">  Ierobežojumi valdības ārējam parādam </t>
  </si>
  <si>
    <t xml:space="preserve">  ar termiņu līdz 1 gadam:</t>
  </si>
  <si>
    <t>IV.</t>
  </si>
</sst>
</file>

<file path=xl/styles.xml><?xml version="1.0" encoding="utf-8"?>
<styleSheet xmlns="http://schemas.openxmlformats.org/spreadsheetml/2006/main">
  <numFmts count="4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##,###,###"/>
    <numFmt numFmtId="165" formatCode="#,###%"/>
    <numFmt numFmtId="166" formatCode="0.0"/>
    <numFmt numFmtId="167" formatCode="###,###,##0"/>
    <numFmt numFmtId="168" formatCode="#\ ##0"/>
    <numFmt numFmtId="169" formatCode="###0"/>
    <numFmt numFmtId="170" formatCode="0.0%"/>
    <numFmt numFmtId="171" formatCode="#,##0.0"/>
    <numFmt numFmtId="172" formatCode="00.000"/>
    <numFmt numFmtId="173" formatCode="#,##0.0\ _L_s"/>
    <numFmt numFmtId="174" formatCode="###.0%"/>
    <numFmt numFmtId="175" formatCode="##0,"/>
    <numFmt numFmtId="176" formatCode="###,##0,"/>
    <numFmt numFmtId="177" formatCode="#\ ###\ ##0"/>
    <numFmt numFmtId="178" formatCode="#\ ###\ \ ##0"/>
    <numFmt numFmtId="179" formatCode="&quot;Ls&quot;\ #,##0_);\(&quot;Ls&quot;\ #,##0\)"/>
    <numFmt numFmtId="180" formatCode="&quot;Ls&quot;\ #,##0_);[Red]\(&quot;Ls&quot;\ #,##0\)"/>
    <numFmt numFmtId="181" formatCode="&quot;Ls&quot;\ #,##0.00_);\(&quot;Ls&quot;\ #,##0.00\)"/>
    <numFmt numFmtId="182" formatCode="&quot;Ls&quot;\ #,##0.00_);[Red]\(&quot;Ls&quot;\ #,##0.00\)"/>
    <numFmt numFmtId="183" formatCode="_(&quot;Ls&quot;\ * #,##0_);_(&quot;Ls&quot;\ * \(#,##0\);_(&quot;Ls&quot;\ * &quot;-&quot;_);_(@_)"/>
    <numFmt numFmtId="184" formatCode="_(* #,##0_);_(* \(#,##0\);_(* &quot;-&quot;_);_(@_)"/>
    <numFmt numFmtId="185" formatCode="_(&quot;Ls&quot;\ * #,##0.00_);_(&quot;Ls&quot;\ * \(#,##0.00\);_(&quot;Ls&quot;\ * &quot;-&quot;??_);_(@_)"/>
    <numFmt numFmtId="186" formatCode="_(* #,##0.00_);_(* \(#,##0.00\);_(* &quot;-&quot;??_);_(@_)"/>
    <numFmt numFmtId="187" formatCode="#,##0.000"/>
    <numFmt numFmtId="188" formatCode="###%"/>
    <numFmt numFmtId="189" formatCode="0.000"/>
    <numFmt numFmtId="190" formatCode="0.0000"/>
    <numFmt numFmtId="191" formatCode="0.000000"/>
    <numFmt numFmtId="192" formatCode="0.00000"/>
    <numFmt numFmtId="193" formatCode="0.0000000"/>
    <numFmt numFmtId="194" formatCode="#,###,###"/>
    <numFmt numFmtId="195" formatCode="#,###,###.0"/>
    <numFmt numFmtId="196" formatCode="0;[Red]0"/>
    <numFmt numFmtId="197" formatCode="0_ ;\-0\ "/>
    <numFmt numFmtId="198" formatCode="#,###,"/>
    <numFmt numFmtId="199" formatCode="0.0;[Red]0.0"/>
    <numFmt numFmtId="200" formatCode="###,###,###.0"/>
  </numFmts>
  <fonts count="2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9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5" fontId="6" fillId="0" borderId="1" xfId="21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21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6" fontId="8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6" fontId="9" fillId="0" borderId="1" xfId="21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6" fontId="3" fillId="0" borderId="1" xfId="21" applyNumberFormat="1" applyFont="1" applyBorder="1" applyAlignment="1">
      <alignment/>
    </xf>
    <xf numFmtId="0" fontId="5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>
      <alignment wrapText="1"/>
    </xf>
    <xf numFmtId="168" fontId="8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5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1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 shrinkToFit="1"/>
    </xf>
    <xf numFmtId="0" fontId="7" fillId="0" borderId="3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8" fillId="0" borderId="3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8" fillId="0" borderId="3" xfId="0" applyFont="1" applyBorder="1" applyAlignment="1">
      <alignment/>
    </xf>
    <xf numFmtId="3" fontId="0" fillId="0" borderId="1" xfId="0" applyNumberFormat="1" applyBorder="1" applyAlignment="1">
      <alignment horizontal="right"/>
    </xf>
    <xf numFmtId="166" fontId="7" fillId="0" borderId="1" xfId="21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66" fontId="0" fillId="0" borderId="0" xfId="21" applyNumberFormat="1" applyFont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1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wrapText="1"/>
    </xf>
    <xf numFmtId="168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73" fontId="5" fillId="0" borderId="1" xfId="21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73" fontId="0" fillId="0" borderId="1" xfId="21" applyNumberFormat="1" applyFont="1" applyBorder="1" applyAlignment="1">
      <alignment/>
    </xf>
    <xf numFmtId="0" fontId="10" fillId="0" borderId="1" xfId="0" applyFon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72" fontId="0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8" fontId="7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8" fontId="5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8" fontId="8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8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166" fontId="5" fillId="0" borderId="1" xfId="21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168" fontId="11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/>
    </xf>
    <xf numFmtId="168" fontId="11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4" xfId="0" applyFont="1" applyBorder="1" applyAlignment="1">
      <alignment wrapText="1"/>
    </xf>
    <xf numFmtId="0" fontId="20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168" fontId="8" fillId="0" borderId="6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8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171" fontId="8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3" fontId="8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/>
    </xf>
    <xf numFmtId="49" fontId="2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Continuous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76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170" fontId="7" fillId="0" borderId="1" xfId="21" applyNumberFormat="1" applyFont="1" applyBorder="1" applyAlignment="1">
      <alignment horizontal="center"/>
    </xf>
    <xf numFmtId="9" fontId="5" fillId="0" borderId="1" xfId="21" applyNumberFormat="1" applyFont="1" applyBorder="1" applyAlignment="1">
      <alignment horizontal="center"/>
    </xf>
    <xf numFmtId="0" fontId="20" fillId="0" borderId="1" xfId="0" applyFont="1" applyBorder="1" applyAlignment="1">
      <alignment horizontal="centerContinuous"/>
    </xf>
    <xf numFmtId="3" fontId="8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3" fontId="8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Alignment="1">
      <alignment horizontal="centerContinuous" vertical="top"/>
    </xf>
    <xf numFmtId="0" fontId="13" fillId="0" borderId="20" xfId="0" applyFont="1" applyBorder="1" applyAlignment="1">
      <alignment horizontal="centerContinuous"/>
    </xf>
    <xf numFmtId="0" fontId="13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3" fillId="0" borderId="19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2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8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right"/>
    </xf>
    <xf numFmtId="168" fontId="6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68" fontId="3" fillId="0" borderId="5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10" fontId="8" fillId="0" borderId="0" xfId="0" applyNumberFormat="1" applyFont="1" applyBorder="1" applyAlignment="1">
      <alignment/>
    </xf>
    <xf numFmtId="168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0" fontId="15" fillId="0" borderId="0" xfId="20" applyAlignment="1">
      <alignment/>
    </xf>
    <xf numFmtId="171" fontId="5" fillId="0" borderId="1" xfId="0" applyNumberFormat="1" applyFont="1" applyBorder="1" applyAlignment="1">
      <alignment/>
    </xf>
    <xf numFmtId="171" fontId="8" fillId="0" borderId="1" xfId="0" applyNumberFormat="1" applyFont="1" applyBorder="1" applyAlignment="1">
      <alignment/>
    </xf>
    <xf numFmtId="171" fontId="7" fillId="0" borderId="1" xfId="0" applyNumberFormat="1" applyFont="1" applyBorder="1" applyAlignment="1">
      <alignment/>
    </xf>
    <xf numFmtId="171" fontId="7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171" fontId="8" fillId="0" borderId="1" xfId="21" applyNumberFormat="1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171" fontId="7" fillId="0" borderId="1" xfId="21" applyNumberFormat="1" applyFont="1" applyBorder="1" applyAlignment="1">
      <alignment horizontal="right"/>
    </xf>
    <xf numFmtId="171" fontId="0" fillId="0" borderId="1" xfId="0" applyNumberFormat="1" applyFont="1" applyBorder="1" applyAlignment="1">
      <alignment/>
    </xf>
    <xf numFmtId="171" fontId="12" fillId="0" borderId="1" xfId="21" applyNumberFormat="1" applyFont="1" applyBorder="1" applyAlignment="1">
      <alignment/>
    </xf>
    <xf numFmtId="171" fontId="13" fillId="0" borderId="1" xfId="21" applyNumberFormat="1" applyFont="1" applyBorder="1" applyAlignment="1">
      <alignment/>
    </xf>
    <xf numFmtId="171" fontId="0" fillId="0" borderId="1" xfId="0" applyNumberFormat="1" applyFont="1" applyBorder="1" applyAlignment="1">
      <alignment horizontal="center"/>
    </xf>
    <xf numFmtId="171" fontId="12" fillId="0" borderId="1" xfId="21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 wrapText="1"/>
    </xf>
    <xf numFmtId="166" fontId="0" fillId="0" borderId="1" xfId="0" applyNumberFormat="1" applyFont="1" applyBorder="1" applyAlignment="1">
      <alignment horizontal="right" wrapText="1"/>
    </xf>
    <xf numFmtId="168" fontId="5" fillId="0" borderId="8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6" fontId="6" fillId="0" borderId="1" xfId="21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8" fontId="3" fillId="0" borderId="0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8" fontId="3" fillId="0" borderId="8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3" fontId="8" fillId="0" borderId="0" xfId="0" applyNumberFormat="1" applyFont="1" applyAlignment="1">
      <alignment horizontal="centerContinuous"/>
    </xf>
    <xf numFmtId="168" fontId="8" fillId="0" borderId="0" xfId="0" applyNumberFormat="1" applyFont="1" applyAlignment="1">
      <alignment horizontal="centerContinuous"/>
    </xf>
    <xf numFmtId="10" fontId="8" fillId="0" borderId="0" xfId="0" applyNumberFormat="1" applyFont="1" applyBorder="1" applyAlignment="1">
      <alignment horizontal="centerContinuous"/>
    </xf>
    <xf numFmtId="168" fontId="11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171" fontId="2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/>
    </xf>
    <xf numFmtId="3" fontId="12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166" fontId="0" fillId="0" borderId="1" xfId="21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/>
    </xf>
    <xf numFmtId="168" fontId="11" fillId="0" borderId="1" xfId="0" applyNumberFormat="1" applyFont="1" applyBorder="1" applyAlignment="1">
      <alignment horizontal="center" wrapText="1"/>
    </xf>
    <xf numFmtId="168" fontId="11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wrapText="1"/>
    </xf>
    <xf numFmtId="168" fontId="7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left" vertical="center"/>
    </xf>
    <xf numFmtId="168" fontId="11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 horizontal="left" vertical="center" wrapText="1"/>
    </xf>
    <xf numFmtId="168" fontId="11" fillId="0" borderId="1" xfId="0" applyNumberFormat="1" applyFont="1" applyBorder="1" applyAlignment="1">
      <alignment horizontal="left" wrapText="1"/>
    </xf>
    <xf numFmtId="168" fontId="8" fillId="0" borderId="1" xfId="0" applyNumberFormat="1" applyFont="1" applyBorder="1" applyAlignment="1">
      <alignment horizontal="left"/>
    </xf>
    <xf numFmtId="168" fontId="11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169" fontId="8" fillId="0" borderId="0" xfId="0" applyNumberFormat="1" applyFont="1" applyAlignment="1">
      <alignment horizontal="centerContinuous"/>
    </xf>
    <xf numFmtId="16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169" fontId="8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right"/>
    </xf>
    <xf numFmtId="166" fontId="5" fillId="0" borderId="0" xfId="21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/>
    </xf>
    <xf numFmtId="166" fontId="7" fillId="0" borderId="0" xfId="21" applyNumberFormat="1" applyFont="1" applyBorder="1" applyAlignment="1">
      <alignment/>
    </xf>
    <xf numFmtId="16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166" fontId="6" fillId="0" borderId="0" xfId="21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6" fontId="3" fillId="0" borderId="0" xfId="21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8" fontId="5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4" fontId="12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178;vald&#382;bu%20m&#177;nesis\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178;vald&#382;bu%20m&#177;nesis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178;vald&#382;bu%20m&#177;nesis\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178;vald&#382;bu%20m&#177;nesis\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178;vald&#382;bu%20m&#177;nesis\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</sheetNames>
    <sheetDataSet>
      <sheetData sheetId="0">
        <row r="7">
          <cell r="C7">
            <v>43403467</v>
          </cell>
          <cell r="D7">
            <v>9705738</v>
          </cell>
          <cell r="E7">
            <v>122313</v>
          </cell>
          <cell r="F7">
            <v>6195</v>
          </cell>
          <cell r="G7">
            <v>5043</v>
          </cell>
          <cell r="I7">
            <v>6566308</v>
          </cell>
          <cell r="K7">
            <v>193867</v>
          </cell>
          <cell r="L7">
            <v>6499</v>
          </cell>
          <cell r="N7">
            <v>195000</v>
          </cell>
          <cell r="O7">
            <v>252733</v>
          </cell>
          <cell r="P7">
            <v>7925</v>
          </cell>
          <cell r="Q7">
            <v>170835</v>
          </cell>
          <cell r="W7">
            <v>39388</v>
          </cell>
          <cell r="X7">
            <v>2757</v>
          </cell>
        </row>
        <row r="33">
          <cell r="O33">
            <v>468391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</sheetNames>
    <sheetDataSet>
      <sheetData sheetId="0">
        <row r="11">
          <cell r="H11">
            <v>18337</v>
          </cell>
        </row>
        <row r="22">
          <cell r="H22">
            <v>1483</v>
          </cell>
        </row>
        <row r="29">
          <cell r="H29">
            <v>1895</v>
          </cell>
        </row>
        <row r="30">
          <cell r="H30">
            <v>12031</v>
          </cell>
        </row>
        <row r="31">
          <cell r="H31">
            <v>385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</sheetNames>
    <sheetDataSet>
      <sheetData sheetId="0">
        <row r="29">
          <cell r="H29">
            <v>2627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</sheetNames>
    <sheetDataSet>
      <sheetData sheetId="0">
        <row r="10">
          <cell r="H10">
            <v>31396</v>
          </cell>
        </row>
        <row r="11">
          <cell r="H11">
            <v>27862</v>
          </cell>
        </row>
        <row r="27">
          <cell r="H27">
            <v>1025</v>
          </cell>
        </row>
        <row r="28">
          <cell r="H28">
            <v>2509</v>
          </cell>
        </row>
        <row r="30">
          <cell r="H30">
            <v>20</v>
          </cell>
        </row>
        <row r="31">
          <cell r="H31">
            <v>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</sheetNames>
    <sheetDataSet>
      <sheetData sheetId="0">
        <row r="11">
          <cell r="C11">
            <v>1399</v>
          </cell>
        </row>
        <row r="27">
          <cell r="C27">
            <v>544</v>
          </cell>
        </row>
        <row r="28">
          <cell r="C28">
            <v>10</v>
          </cell>
        </row>
        <row r="30">
          <cell r="C30">
            <v>64</v>
          </cell>
        </row>
        <row r="31">
          <cell r="C31">
            <v>940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</sheetNames>
    <sheetDataSet>
      <sheetData sheetId="0">
        <row r="10">
          <cell r="C10">
            <v>3659</v>
          </cell>
        </row>
        <row r="11">
          <cell r="C11">
            <v>1046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G31" sqref="G31"/>
    </sheetView>
  </sheetViews>
  <sheetFormatPr defaultColWidth="9.140625" defaultRowHeight="12.75"/>
  <cols>
    <col min="1" max="1" width="32.57421875" style="33" customWidth="1"/>
    <col min="2" max="2" width="12.140625" style="33" bestFit="1" customWidth="1"/>
    <col min="3" max="3" width="16.28125" style="33" bestFit="1" customWidth="1"/>
    <col min="4" max="4" width="11.8515625" style="33" bestFit="1" customWidth="1"/>
    <col min="5" max="5" width="16.140625" style="33" bestFit="1" customWidth="1"/>
    <col min="6" max="16384" width="9.140625" style="33" customWidth="1"/>
  </cols>
  <sheetData>
    <row r="1" ht="12">
      <c r="E1" s="69"/>
    </row>
    <row r="2" ht="12">
      <c r="E2" s="69"/>
    </row>
    <row r="3" spans="1:5" ht="12">
      <c r="A3" s="614" t="s">
        <v>563</v>
      </c>
      <c r="B3" s="614"/>
      <c r="C3" s="614"/>
      <c r="E3" s="69"/>
    </row>
    <row r="4" ht="12">
      <c r="E4" s="69"/>
    </row>
    <row r="5" spans="1:5" ht="11.25" customHeight="1">
      <c r="A5" s="552"/>
      <c r="B5" s="552"/>
      <c r="C5" s="552"/>
      <c r="D5" s="552"/>
      <c r="E5" s="552"/>
    </row>
    <row r="6" spans="1:5" ht="12">
      <c r="A6" s="615" t="s">
        <v>564</v>
      </c>
      <c r="B6" s="615"/>
      <c r="C6" s="615"/>
      <c r="D6" s="615"/>
      <c r="E6" s="615"/>
    </row>
    <row r="7" spans="1:5" ht="0.75" customHeight="1" hidden="1">
      <c r="A7" s="615"/>
      <c r="B7" s="615"/>
      <c r="C7" s="615"/>
      <c r="D7" s="615"/>
      <c r="E7" s="615"/>
    </row>
    <row r="8" spans="1:5" ht="12">
      <c r="A8" s="614" t="s">
        <v>189</v>
      </c>
      <c r="B8" s="614"/>
      <c r="C8" s="614"/>
      <c r="D8" s="614"/>
      <c r="E8" s="614"/>
    </row>
    <row r="9" ht="10.5" customHeight="1"/>
    <row r="10" spans="1:5" ht="12">
      <c r="A10" s="51"/>
      <c r="E10" s="69" t="s">
        <v>565</v>
      </c>
    </row>
    <row r="11" spans="1:5" ht="31.5" customHeight="1">
      <c r="A11" s="553" t="s">
        <v>191</v>
      </c>
      <c r="B11" s="115" t="s">
        <v>566</v>
      </c>
      <c r="C11" s="115" t="s">
        <v>567</v>
      </c>
      <c r="D11" s="115" t="s">
        <v>568</v>
      </c>
      <c r="E11" s="115" t="s">
        <v>569</v>
      </c>
    </row>
    <row r="12" spans="1:5" ht="12">
      <c r="A12" s="554" t="s">
        <v>570</v>
      </c>
      <c r="B12" s="468">
        <v>115474</v>
      </c>
      <c r="C12" s="554">
        <v>34048</v>
      </c>
      <c r="D12" s="468">
        <f>B12+C12</f>
        <v>149522</v>
      </c>
      <c r="E12" s="468">
        <f>D12</f>
        <v>149522</v>
      </c>
    </row>
    <row r="13" spans="1:5" ht="24">
      <c r="A13" s="555" t="s">
        <v>571</v>
      </c>
      <c r="B13" s="294" t="s">
        <v>206</v>
      </c>
      <c r="C13" s="294" t="s">
        <v>206</v>
      </c>
      <c r="D13" s="556">
        <f>8433+648</f>
        <v>9081</v>
      </c>
      <c r="E13" s="556">
        <f aca="true" t="shared" si="0" ref="E13:E53">D13</f>
        <v>9081</v>
      </c>
    </row>
    <row r="14" spans="1:5" ht="24">
      <c r="A14" s="555" t="s">
        <v>572</v>
      </c>
      <c r="B14" s="294" t="s">
        <v>206</v>
      </c>
      <c r="C14" s="294" t="s">
        <v>206</v>
      </c>
      <c r="D14" s="556">
        <f>954+219</f>
        <v>1173</v>
      </c>
      <c r="E14" s="556">
        <f t="shared" si="0"/>
        <v>1173</v>
      </c>
    </row>
    <row r="15" spans="1:5" ht="12">
      <c r="A15" s="557" t="s">
        <v>573</v>
      </c>
      <c r="B15" s="558" t="s">
        <v>206</v>
      </c>
      <c r="C15" s="558" t="s">
        <v>206</v>
      </c>
      <c r="D15" s="468">
        <f>D12-D13-D14</f>
        <v>139268</v>
      </c>
      <c r="E15" s="468">
        <f t="shared" si="0"/>
        <v>139268</v>
      </c>
    </row>
    <row r="16" spans="1:5" ht="12">
      <c r="A16" s="554" t="s">
        <v>574</v>
      </c>
      <c r="B16" s="468">
        <v>111182</v>
      </c>
      <c r="C16" s="554">
        <v>30926</v>
      </c>
      <c r="D16" s="468">
        <f>B16+C16</f>
        <v>142108</v>
      </c>
      <c r="E16" s="468">
        <f t="shared" si="0"/>
        <v>142108</v>
      </c>
    </row>
    <row r="17" spans="1:5" ht="24">
      <c r="A17" s="555" t="s">
        <v>575</v>
      </c>
      <c r="B17" s="294" t="s">
        <v>206</v>
      </c>
      <c r="C17" s="294" t="s">
        <v>206</v>
      </c>
      <c r="D17" s="556">
        <v>9081</v>
      </c>
      <c r="E17" s="556">
        <f t="shared" si="0"/>
        <v>9081</v>
      </c>
    </row>
    <row r="18" spans="1:5" ht="36">
      <c r="A18" s="555" t="s">
        <v>576</v>
      </c>
      <c r="B18" s="294" t="s">
        <v>206</v>
      </c>
      <c r="C18" s="294" t="s">
        <v>206</v>
      </c>
      <c r="D18" s="556">
        <v>1173</v>
      </c>
      <c r="E18" s="556">
        <f t="shared" si="0"/>
        <v>1173</v>
      </c>
    </row>
    <row r="19" spans="1:5" ht="12">
      <c r="A19" s="557" t="s">
        <v>577</v>
      </c>
      <c r="B19" s="558" t="s">
        <v>206</v>
      </c>
      <c r="C19" s="558" t="s">
        <v>206</v>
      </c>
      <c r="D19" s="468">
        <f>D16-D17-D18</f>
        <v>131854</v>
      </c>
      <c r="E19" s="468">
        <f t="shared" si="0"/>
        <v>131854</v>
      </c>
    </row>
    <row r="20" spans="1:5" ht="24">
      <c r="A20" s="557" t="s">
        <v>578</v>
      </c>
      <c r="B20" s="468">
        <f>B12-B16</f>
        <v>4292</v>
      </c>
      <c r="C20" s="554">
        <f>C12-C16</f>
        <v>3122</v>
      </c>
      <c r="D20" s="468">
        <f>D15-D19</f>
        <v>7414</v>
      </c>
      <c r="E20" s="468">
        <f t="shared" si="0"/>
        <v>7414</v>
      </c>
    </row>
    <row r="21" spans="1:5" ht="12">
      <c r="A21" s="557" t="s">
        <v>579</v>
      </c>
      <c r="B21" s="554">
        <f>B22-B25</f>
        <v>225</v>
      </c>
      <c r="C21" s="554">
        <f>C22-C25</f>
        <v>-1672</v>
      </c>
      <c r="D21" s="554">
        <f>D24-D27</f>
        <v>-1684</v>
      </c>
      <c r="E21" s="554">
        <f t="shared" si="0"/>
        <v>-1684</v>
      </c>
    </row>
    <row r="22" spans="1:5" ht="12">
      <c r="A22" s="55" t="s">
        <v>580</v>
      </c>
      <c r="B22" s="56">
        <v>2020</v>
      </c>
      <c r="C22" s="57">
        <v>84</v>
      </c>
      <c r="D22" s="56">
        <f>B22+C22</f>
        <v>2104</v>
      </c>
      <c r="E22" s="56">
        <f t="shared" si="0"/>
        <v>2104</v>
      </c>
    </row>
    <row r="23" spans="1:5" ht="24">
      <c r="A23" s="555" t="s">
        <v>581</v>
      </c>
      <c r="B23" s="294" t="s">
        <v>206</v>
      </c>
      <c r="C23" s="294" t="s">
        <v>206</v>
      </c>
      <c r="D23" s="556">
        <v>1267</v>
      </c>
      <c r="E23" s="556">
        <f t="shared" si="0"/>
        <v>1267</v>
      </c>
    </row>
    <row r="24" spans="1:5" ht="12">
      <c r="A24" s="557" t="s">
        <v>582</v>
      </c>
      <c r="B24" s="558" t="s">
        <v>206</v>
      </c>
      <c r="C24" s="558" t="s">
        <v>206</v>
      </c>
      <c r="D24" s="468">
        <f>D22-D23</f>
        <v>837</v>
      </c>
      <c r="E24" s="468">
        <f t="shared" si="0"/>
        <v>837</v>
      </c>
    </row>
    <row r="25" spans="1:5" ht="12">
      <c r="A25" s="55" t="s">
        <v>583</v>
      </c>
      <c r="B25" s="56">
        <v>1795</v>
      </c>
      <c r="C25" s="57">
        <v>1756</v>
      </c>
      <c r="D25" s="56">
        <f>B25+C25</f>
        <v>3551</v>
      </c>
      <c r="E25" s="56">
        <f t="shared" si="0"/>
        <v>3551</v>
      </c>
    </row>
    <row r="26" spans="1:5" ht="24">
      <c r="A26" s="555" t="s">
        <v>584</v>
      </c>
      <c r="B26" s="559" t="s">
        <v>206</v>
      </c>
      <c r="C26" s="559" t="s">
        <v>206</v>
      </c>
      <c r="D26" s="556">
        <v>1030</v>
      </c>
      <c r="E26" s="556">
        <f t="shared" si="0"/>
        <v>1030</v>
      </c>
    </row>
    <row r="27" spans="1:5" ht="12">
      <c r="A27" s="557" t="s">
        <v>585</v>
      </c>
      <c r="B27" s="558" t="s">
        <v>206</v>
      </c>
      <c r="C27" s="558" t="s">
        <v>206</v>
      </c>
      <c r="D27" s="468">
        <f>D25-D26</f>
        <v>2521</v>
      </c>
      <c r="E27" s="468">
        <f t="shared" si="0"/>
        <v>2521</v>
      </c>
    </row>
    <row r="28" spans="1:5" ht="24">
      <c r="A28" s="557" t="s">
        <v>586</v>
      </c>
      <c r="B28" s="554">
        <f>B20-B21</f>
        <v>4067</v>
      </c>
      <c r="C28" s="554">
        <f>C20-C21</f>
        <v>4794</v>
      </c>
      <c r="D28" s="468">
        <f>D20-D21</f>
        <v>9098</v>
      </c>
      <c r="E28" s="468">
        <f t="shared" si="0"/>
        <v>9098</v>
      </c>
    </row>
    <row r="29" spans="1:5" ht="12">
      <c r="A29" s="554" t="s">
        <v>587</v>
      </c>
      <c r="B29" s="468">
        <f>B30+B51</f>
        <v>-4067</v>
      </c>
      <c r="C29" s="554">
        <f>C30+C51</f>
        <v>-4794</v>
      </c>
      <c r="D29" s="468">
        <f>D30+D51</f>
        <v>-9098</v>
      </c>
      <c r="E29" s="468">
        <f t="shared" si="0"/>
        <v>-9098</v>
      </c>
    </row>
    <row r="30" spans="1:5" ht="12">
      <c r="A30" s="554" t="s">
        <v>588</v>
      </c>
      <c r="B30" s="468">
        <f>B31+B36+B41+B47</f>
        <v>-5016</v>
      </c>
      <c r="C30" s="554">
        <f>C31+C36+C41+C47</f>
        <v>-4794</v>
      </c>
      <c r="D30" s="554">
        <f>D31+D36+D41+D47</f>
        <v>-10047</v>
      </c>
      <c r="E30" s="554">
        <f t="shared" si="0"/>
        <v>-10047</v>
      </c>
    </row>
    <row r="31" spans="1:5" ht="12">
      <c r="A31" s="560" t="s">
        <v>589</v>
      </c>
      <c r="B31" s="57">
        <f>B32+B33</f>
        <v>0</v>
      </c>
      <c r="C31" s="57">
        <f>C32+C33</f>
        <v>1284</v>
      </c>
      <c r="D31" s="57">
        <f>D32+D35</f>
        <v>1047</v>
      </c>
      <c r="E31" s="57">
        <f t="shared" si="0"/>
        <v>1047</v>
      </c>
    </row>
    <row r="32" spans="1:5" ht="24">
      <c r="A32" s="555" t="s">
        <v>590</v>
      </c>
      <c r="B32" s="556"/>
      <c r="C32" s="561">
        <v>1047</v>
      </c>
      <c r="D32" s="556">
        <f>B32+C32</f>
        <v>1047</v>
      </c>
      <c r="E32" s="556">
        <f t="shared" si="0"/>
        <v>1047</v>
      </c>
    </row>
    <row r="33" spans="1:5" ht="24">
      <c r="A33" s="555" t="s">
        <v>591</v>
      </c>
      <c r="B33" s="556"/>
      <c r="C33" s="561">
        <v>237</v>
      </c>
      <c r="D33" s="556">
        <f>B33+C33</f>
        <v>237</v>
      </c>
      <c r="E33" s="556">
        <f t="shared" si="0"/>
        <v>237</v>
      </c>
    </row>
    <row r="34" spans="1:5" ht="24">
      <c r="A34" s="55" t="s">
        <v>592</v>
      </c>
      <c r="B34" s="559" t="s">
        <v>206</v>
      </c>
      <c r="C34" s="559" t="s">
        <v>206</v>
      </c>
      <c r="D34" s="56">
        <v>-237</v>
      </c>
      <c r="E34" s="56">
        <f t="shared" si="0"/>
        <v>-237</v>
      </c>
    </row>
    <row r="35" spans="1:5" ht="24">
      <c r="A35" s="555" t="s">
        <v>593</v>
      </c>
      <c r="B35" s="559" t="s">
        <v>206</v>
      </c>
      <c r="C35" s="559" t="s">
        <v>206</v>
      </c>
      <c r="D35" s="56"/>
      <c r="E35" s="56">
        <f t="shared" si="0"/>
        <v>0</v>
      </c>
    </row>
    <row r="36" spans="1:5" ht="12">
      <c r="A36" s="562" t="s">
        <v>594</v>
      </c>
      <c r="B36" s="56">
        <f>SUM(B37:B40)</f>
        <v>-34069</v>
      </c>
      <c r="C36" s="57">
        <f>SUM(C37:C40)</f>
        <v>0</v>
      </c>
      <c r="D36" s="56">
        <f aca="true" t="shared" si="1" ref="D36:D50">B36+C36</f>
        <v>-34069</v>
      </c>
      <c r="E36" s="56">
        <f t="shared" si="0"/>
        <v>-34069</v>
      </c>
    </row>
    <row r="37" spans="1:5" ht="12">
      <c r="A37" s="563" t="s">
        <v>595</v>
      </c>
      <c r="B37" s="556">
        <v>-20397</v>
      </c>
      <c r="C37" s="561"/>
      <c r="D37" s="556">
        <f t="shared" si="1"/>
        <v>-20397</v>
      </c>
      <c r="E37" s="556">
        <f t="shared" si="0"/>
        <v>-20397</v>
      </c>
    </row>
    <row r="38" spans="1:5" ht="12">
      <c r="A38" s="563" t="s">
        <v>596</v>
      </c>
      <c r="B38" s="556">
        <v>-11483</v>
      </c>
      <c r="C38" s="561"/>
      <c r="D38" s="556">
        <f t="shared" si="1"/>
        <v>-11483</v>
      </c>
      <c r="E38" s="556">
        <f t="shared" si="0"/>
        <v>-11483</v>
      </c>
    </row>
    <row r="39" spans="1:5" ht="24">
      <c r="A39" s="563" t="s">
        <v>597</v>
      </c>
      <c r="B39" s="556">
        <v>-2308</v>
      </c>
      <c r="C39" s="561"/>
      <c r="D39" s="556">
        <f t="shared" si="1"/>
        <v>-2308</v>
      </c>
      <c r="E39" s="556">
        <f t="shared" si="0"/>
        <v>-2308</v>
      </c>
    </row>
    <row r="40" spans="1:5" ht="24">
      <c r="A40" s="563" t="s">
        <v>598</v>
      </c>
      <c r="B40" s="556">
        <v>119</v>
      </c>
      <c r="C40" s="561"/>
      <c r="D40" s="556">
        <f t="shared" si="1"/>
        <v>119</v>
      </c>
      <c r="E40" s="556">
        <f t="shared" si="0"/>
        <v>119</v>
      </c>
    </row>
    <row r="41" spans="1:5" ht="12">
      <c r="A41" s="564" t="s">
        <v>599</v>
      </c>
      <c r="B41" s="56">
        <f>SUM(B42:B46)</f>
        <v>706</v>
      </c>
      <c r="C41" s="561">
        <f>SUM(C42:C46)</f>
        <v>-6654</v>
      </c>
      <c r="D41" s="56">
        <f t="shared" si="1"/>
        <v>-5948</v>
      </c>
      <c r="E41" s="56">
        <f t="shared" si="0"/>
        <v>-5948</v>
      </c>
    </row>
    <row r="42" spans="1:5" ht="12">
      <c r="A42" s="565" t="s">
        <v>600</v>
      </c>
      <c r="B42" s="556"/>
      <c r="C42" s="561">
        <v>-18</v>
      </c>
      <c r="D42" s="556">
        <f t="shared" si="1"/>
        <v>-18</v>
      </c>
      <c r="E42" s="556">
        <f t="shared" si="0"/>
        <v>-18</v>
      </c>
    </row>
    <row r="43" spans="1:5" ht="12">
      <c r="A43" s="563" t="s">
        <v>595</v>
      </c>
      <c r="B43" s="556">
        <v>-39000</v>
      </c>
      <c r="C43" s="561"/>
      <c r="D43" s="556">
        <f t="shared" si="1"/>
        <v>-39000</v>
      </c>
      <c r="E43" s="556">
        <f t="shared" si="0"/>
        <v>-39000</v>
      </c>
    </row>
    <row r="44" spans="1:5" ht="12">
      <c r="A44" s="563" t="s">
        <v>596</v>
      </c>
      <c r="B44" s="556">
        <v>390</v>
      </c>
      <c r="C44" s="561">
        <v>-6636</v>
      </c>
      <c r="D44" s="556">
        <f t="shared" si="1"/>
        <v>-6246</v>
      </c>
      <c r="E44" s="556">
        <f t="shared" si="0"/>
        <v>-6246</v>
      </c>
    </row>
    <row r="45" spans="1:5" ht="24">
      <c r="A45" s="563" t="s">
        <v>597</v>
      </c>
      <c r="B45" s="556">
        <v>2</v>
      </c>
      <c r="C45" s="561"/>
      <c r="D45" s="556">
        <f t="shared" si="1"/>
        <v>2</v>
      </c>
      <c r="E45" s="556">
        <f t="shared" si="0"/>
        <v>2</v>
      </c>
    </row>
    <row r="46" spans="1:5" ht="24">
      <c r="A46" s="563" t="s">
        <v>598</v>
      </c>
      <c r="B46" s="556">
        <v>39314</v>
      </c>
      <c r="C46" s="561"/>
      <c r="D46" s="556">
        <f t="shared" si="1"/>
        <v>39314</v>
      </c>
      <c r="E46" s="556">
        <f t="shared" si="0"/>
        <v>39314</v>
      </c>
    </row>
    <row r="47" spans="1:5" ht="12">
      <c r="A47" s="564" t="s">
        <v>601</v>
      </c>
      <c r="B47" s="56">
        <f>SUM(B48:B50)</f>
        <v>28347</v>
      </c>
      <c r="C47" s="57">
        <v>576</v>
      </c>
      <c r="D47" s="556">
        <f t="shared" si="1"/>
        <v>28923</v>
      </c>
      <c r="E47" s="556">
        <f t="shared" si="0"/>
        <v>28923</v>
      </c>
    </row>
    <row r="48" spans="1:5" ht="36">
      <c r="A48" s="563" t="s">
        <v>282</v>
      </c>
      <c r="B48" s="56">
        <v>3456</v>
      </c>
      <c r="C48" s="57"/>
      <c r="D48" s="556">
        <f t="shared" si="1"/>
        <v>3456</v>
      </c>
      <c r="E48" s="556">
        <f t="shared" si="0"/>
        <v>3456</v>
      </c>
    </row>
    <row r="49" spans="1:5" ht="22.5" customHeight="1">
      <c r="A49" s="563" t="s">
        <v>283</v>
      </c>
      <c r="B49" s="56">
        <f>21974+293</f>
        <v>22267</v>
      </c>
      <c r="C49" s="57"/>
      <c r="D49" s="556">
        <f t="shared" si="1"/>
        <v>22267</v>
      </c>
      <c r="E49" s="556">
        <f t="shared" si="0"/>
        <v>22267</v>
      </c>
    </row>
    <row r="50" spans="1:5" ht="12">
      <c r="A50" s="563" t="s">
        <v>284</v>
      </c>
      <c r="B50" s="56">
        <v>2624</v>
      </c>
      <c r="C50" s="57"/>
      <c r="D50" s="556">
        <f t="shared" si="1"/>
        <v>2624</v>
      </c>
      <c r="E50" s="556">
        <f t="shared" si="0"/>
        <v>2624</v>
      </c>
    </row>
    <row r="51" spans="1:5" ht="12">
      <c r="A51" s="566" t="s">
        <v>602</v>
      </c>
      <c r="B51" s="468">
        <f>SUM(B52:B53)</f>
        <v>949</v>
      </c>
      <c r="C51" s="554"/>
      <c r="D51" s="468">
        <f>B51+C51</f>
        <v>949</v>
      </c>
      <c r="E51" s="468">
        <f t="shared" si="0"/>
        <v>949</v>
      </c>
    </row>
    <row r="52" spans="1:5" ht="12">
      <c r="A52" s="564" t="s">
        <v>603</v>
      </c>
      <c r="B52" s="556">
        <v>788</v>
      </c>
      <c r="C52" s="561"/>
      <c r="D52" s="56">
        <f>B52+C52</f>
        <v>788</v>
      </c>
      <c r="E52" s="56">
        <f t="shared" si="0"/>
        <v>788</v>
      </c>
    </row>
    <row r="53" spans="1:5" ht="12">
      <c r="A53" s="564" t="s">
        <v>604</v>
      </c>
      <c r="B53" s="556">
        <v>161</v>
      </c>
      <c r="C53" s="561"/>
      <c r="D53" s="56">
        <f>B53+C53</f>
        <v>161</v>
      </c>
      <c r="E53" s="56">
        <f t="shared" si="0"/>
        <v>161</v>
      </c>
    </row>
    <row r="54" spans="1:5" ht="12">
      <c r="A54" s="105"/>
      <c r="B54" s="567"/>
      <c r="C54" s="568"/>
      <c r="D54" s="516"/>
      <c r="E54" s="515"/>
    </row>
    <row r="55" spans="1:5" ht="12">
      <c r="A55" s="614"/>
      <c r="B55" s="614"/>
      <c r="C55" s="614"/>
      <c r="D55" s="614"/>
      <c r="E55" s="430"/>
    </row>
    <row r="56" spans="1:5" ht="12">
      <c r="A56" s="47" t="s">
        <v>285</v>
      </c>
      <c r="B56" s="70"/>
      <c r="C56" s="70"/>
      <c r="D56" s="70"/>
      <c r="E56" s="569"/>
    </row>
    <row r="57" spans="1:5" ht="12">
      <c r="A57" s="70"/>
      <c r="B57" s="70"/>
      <c r="C57" s="70"/>
      <c r="D57" s="70"/>
      <c r="E57" s="430"/>
    </row>
    <row r="58" spans="3:5" ht="12">
      <c r="C58" s="568"/>
      <c r="D58" s="570"/>
      <c r="E58" s="571"/>
    </row>
    <row r="59" spans="1:5" ht="12">
      <c r="A59" s="33" t="s">
        <v>605</v>
      </c>
      <c r="B59" s="572"/>
      <c r="C59" s="568"/>
      <c r="D59" s="167"/>
      <c r="E59" s="430"/>
    </row>
    <row r="60" spans="1:5" ht="12">
      <c r="A60" s="33" t="s">
        <v>562</v>
      </c>
      <c r="B60" s="572"/>
      <c r="C60" s="568"/>
      <c r="D60" s="167"/>
      <c r="E60" s="430"/>
    </row>
  </sheetData>
  <mergeCells count="4">
    <mergeCell ref="A55:D55"/>
    <mergeCell ref="A8:E8"/>
    <mergeCell ref="A6:E7"/>
    <mergeCell ref="A3:C3"/>
  </mergeCells>
  <printOptions/>
  <pageMargins left="0.75" right="0.75" top="0.37" bottom="0.65" header="0.25" footer="0.5"/>
  <pageSetup firstPageNumber="4" useFirstPageNumber="1" horizontalDpi="600" verticalDpi="600" orientation="portrait" scale="73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A1">
      <selection activeCell="B14" sqref="B14"/>
    </sheetView>
  </sheetViews>
  <sheetFormatPr defaultColWidth="9.140625" defaultRowHeight="12.75"/>
  <cols>
    <col min="1" max="1" width="63.28125" style="0" bestFit="1" customWidth="1"/>
    <col min="2" max="2" width="8.57421875" style="0" bestFit="1" customWidth="1"/>
    <col min="3" max="3" width="8.421875" style="0" bestFit="1" customWidth="1"/>
    <col min="4" max="4" width="8.8515625" style="0" bestFit="1" customWidth="1"/>
    <col min="5" max="5" width="8.28125" style="0" bestFit="1" customWidth="1"/>
  </cols>
  <sheetData>
    <row r="1" spans="1:5" ht="12.75">
      <c r="A1" s="3"/>
      <c r="B1" s="5"/>
      <c r="C1" s="5"/>
      <c r="D1" s="5"/>
      <c r="E1" s="69" t="s">
        <v>737</v>
      </c>
    </row>
    <row r="2" spans="1:5" ht="12.75">
      <c r="A2" s="625" t="s">
        <v>299</v>
      </c>
      <c r="B2" s="625"/>
      <c r="C2" s="625"/>
      <c r="D2" s="625"/>
      <c r="E2" s="625"/>
    </row>
    <row r="3" spans="1:5" ht="12.75">
      <c r="A3" s="62"/>
      <c r="B3" s="62"/>
      <c r="C3" s="62"/>
      <c r="D3" s="62"/>
      <c r="E3" s="62"/>
    </row>
    <row r="4" spans="1:5" ht="15.75" customHeight="1">
      <c r="A4" s="631" t="s">
        <v>738</v>
      </c>
      <c r="B4" s="631"/>
      <c r="C4" s="631"/>
      <c r="D4" s="631"/>
      <c r="E4" s="631"/>
    </row>
    <row r="5" spans="1:5" ht="14.25" customHeight="1">
      <c r="A5" s="632" t="s">
        <v>189</v>
      </c>
      <c r="B5" s="632"/>
      <c r="C5" s="632"/>
      <c r="D5" s="632"/>
      <c r="E5" s="632"/>
    </row>
    <row r="6" spans="1:5" ht="12.75">
      <c r="A6" s="107"/>
      <c r="B6" s="107"/>
      <c r="C6" s="107"/>
      <c r="D6" s="107"/>
      <c r="E6" s="107"/>
    </row>
    <row r="7" spans="1:5" ht="12.75">
      <c r="A7" s="107"/>
      <c r="B7" s="107"/>
      <c r="C7" s="107"/>
      <c r="D7" s="107"/>
      <c r="E7" s="9" t="s">
        <v>190</v>
      </c>
    </row>
    <row r="8" spans="1:5" ht="60">
      <c r="A8" s="114" t="s">
        <v>191</v>
      </c>
      <c r="B8" s="250" t="s">
        <v>303</v>
      </c>
      <c r="C8" s="250" t="s">
        <v>193</v>
      </c>
      <c r="D8" s="250" t="s">
        <v>739</v>
      </c>
      <c r="E8" s="250" t="s">
        <v>195</v>
      </c>
    </row>
    <row r="9" spans="1:5" ht="12.75">
      <c r="A9" s="114">
        <v>1</v>
      </c>
      <c r="B9" s="115">
        <v>2</v>
      </c>
      <c r="C9" s="115">
        <v>3</v>
      </c>
      <c r="D9" s="115">
        <v>4</v>
      </c>
      <c r="E9" s="116">
        <v>5</v>
      </c>
    </row>
    <row r="10" spans="1:5" ht="15">
      <c r="A10" s="251" t="s">
        <v>306</v>
      </c>
      <c r="B10" s="252">
        <v>748</v>
      </c>
      <c r="C10" s="252">
        <v>431</v>
      </c>
      <c r="D10" s="253">
        <v>57.62032085561497</v>
      </c>
      <c r="E10" s="252">
        <v>431</v>
      </c>
    </row>
    <row r="11" spans="1:5" ht="15">
      <c r="A11" s="200" t="s">
        <v>740</v>
      </c>
      <c r="B11" s="254">
        <v>899</v>
      </c>
      <c r="C11" s="254">
        <v>255</v>
      </c>
      <c r="D11" s="253">
        <v>28.364849833147943</v>
      </c>
      <c r="E11" s="254">
        <v>255</v>
      </c>
    </row>
    <row r="12" spans="1:5" ht="14.25">
      <c r="A12" s="255" t="s">
        <v>313</v>
      </c>
      <c r="B12" s="256">
        <v>757</v>
      </c>
      <c r="C12" s="256">
        <v>228</v>
      </c>
      <c r="D12" s="249">
        <v>30.11889035667107</v>
      </c>
      <c r="E12" s="256">
        <v>228</v>
      </c>
    </row>
    <row r="13" spans="1:5" ht="14.25">
      <c r="A13" s="255" t="s">
        <v>314</v>
      </c>
      <c r="B13" s="256">
        <v>142</v>
      </c>
      <c r="C13" s="256">
        <v>27</v>
      </c>
      <c r="D13" s="249">
        <v>19.014084507042252</v>
      </c>
      <c r="E13" s="256">
        <v>27</v>
      </c>
    </row>
    <row r="14" spans="1:5" ht="12.75">
      <c r="A14" s="74" t="s">
        <v>317</v>
      </c>
      <c r="B14" s="248"/>
      <c r="C14" s="248"/>
      <c r="D14" s="249"/>
      <c r="E14" s="248"/>
    </row>
    <row r="15" spans="1:5" ht="12.75">
      <c r="A15" s="257" t="s">
        <v>447</v>
      </c>
      <c r="B15" s="248">
        <v>0</v>
      </c>
      <c r="C15" s="248">
        <v>0</v>
      </c>
      <c r="D15" s="249"/>
      <c r="E15" s="248">
        <v>0</v>
      </c>
    </row>
    <row r="16" spans="1:5" ht="12.75">
      <c r="A16" s="77" t="s">
        <v>318</v>
      </c>
      <c r="B16" s="248">
        <v>0</v>
      </c>
      <c r="C16" s="248">
        <v>0</v>
      </c>
      <c r="D16" s="249"/>
      <c r="E16" s="248">
        <v>0</v>
      </c>
    </row>
    <row r="17" spans="1:5" ht="12.75">
      <c r="A17" s="124" t="s">
        <v>313</v>
      </c>
      <c r="B17" s="258">
        <v>0</v>
      </c>
      <c r="C17" s="258">
        <v>0</v>
      </c>
      <c r="D17" s="249"/>
      <c r="E17" s="258">
        <v>0</v>
      </c>
    </row>
    <row r="18" spans="1:5" ht="12.75">
      <c r="A18" s="124" t="s">
        <v>314</v>
      </c>
      <c r="B18" s="258">
        <v>0</v>
      </c>
      <c r="C18" s="258">
        <v>0</v>
      </c>
      <c r="D18" s="249"/>
      <c r="E18" s="258">
        <v>0</v>
      </c>
    </row>
    <row r="19" spans="1:5" ht="12.75">
      <c r="A19" s="122" t="s">
        <v>319</v>
      </c>
      <c r="B19" s="248"/>
      <c r="C19" s="248"/>
      <c r="D19" s="249"/>
      <c r="E19" s="248"/>
    </row>
    <row r="20" spans="1:5" ht="12.75">
      <c r="A20" s="257" t="s">
        <v>447</v>
      </c>
      <c r="B20" s="248">
        <v>3</v>
      </c>
      <c r="C20" s="248">
        <v>0</v>
      </c>
      <c r="D20" s="259">
        <v>0</v>
      </c>
      <c r="E20" s="248">
        <v>0</v>
      </c>
    </row>
    <row r="21" spans="1:5" ht="12.75">
      <c r="A21" s="77" t="s">
        <v>740</v>
      </c>
      <c r="B21" s="248">
        <v>3</v>
      </c>
      <c r="C21" s="248">
        <v>1</v>
      </c>
      <c r="D21" s="259">
        <v>33.33333333333333</v>
      </c>
      <c r="E21" s="248">
        <v>1</v>
      </c>
    </row>
    <row r="22" spans="1:5" ht="12.75">
      <c r="A22" s="124" t="s">
        <v>313</v>
      </c>
      <c r="B22" s="258">
        <v>3</v>
      </c>
      <c r="C22" s="258">
        <v>1</v>
      </c>
      <c r="D22" s="260">
        <v>33.33333333333333</v>
      </c>
      <c r="E22" s="258">
        <v>1</v>
      </c>
    </row>
    <row r="23" spans="1:5" ht="12.75">
      <c r="A23" s="124" t="s">
        <v>314</v>
      </c>
      <c r="B23" s="258">
        <v>0</v>
      </c>
      <c r="C23" s="258">
        <v>0</v>
      </c>
      <c r="D23" s="260"/>
      <c r="E23" s="258">
        <v>0</v>
      </c>
    </row>
    <row r="24" spans="1:5" ht="12.75">
      <c r="A24" s="122" t="s">
        <v>320</v>
      </c>
      <c r="B24" s="248"/>
      <c r="C24" s="248"/>
      <c r="D24" s="249"/>
      <c r="E24" s="248"/>
    </row>
    <row r="25" spans="1:5" ht="12.75">
      <c r="A25" s="257" t="s">
        <v>447</v>
      </c>
      <c r="B25" s="248">
        <v>1</v>
      </c>
      <c r="C25" s="248">
        <v>0</v>
      </c>
      <c r="D25" s="259">
        <v>0</v>
      </c>
      <c r="E25" s="248">
        <v>0</v>
      </c>
    </row>
    <row r="26" spans="1:5" ht="12.75">
      <c r="A26" s="77" t="s">
        <v>740</v>
      </c>
      <c r="B26" s="248">
        <v>1</v>
      </c>
      <c r="C26" s="248">
        <v>1</v>
      </c>
      <c r="D26" s="259">
        <v>100</v>
      </c>
      <c r="E26" s="248">
        <v>1</v>
      </c>
    </row>
    <row r="27" spans="1:5" ht="12.75">
      <c r="A27" s="124" t="s">
        <v>313</v>
      </c>
      <c r="B27" s="258">
        <v>1</v>
      </c>
      <c r="C27" s="258">
        <v>1</v>
      </c>
      <c r="D27" s="260">
        <v>100</v>
      </c>
      <c r="E27" s="258">
        <v>1</v>
      </c>
    </row>
    <row r="28" spans="1:5" ht="12.75">
      <c r="A28" s="124" t="s">
        <v>314</v>
      </c>
      <c r="B28" s="258">
        <v>0</v>
      </c>
      <c r="C28" s="258">
        <v>0</v>
      </c>
      <c r="D28" s="260"/>
      <c r="E28" s="258">
        <v>0</v>
      </c>
    </row>
    <row r="29" spans="1:5" ht="12.75">
      <c r="A29" s="122" t="s">
        <v>321</v>
      </c>
      <c r="B29" s="248"/>
      <c r="C29" s="248"/>
      <c r="D29" s="249"/>
      <c r="E29" s="248"/>
    </row>
    <row r="30" spans="1:5" ht="12.75">
      <c r="A30" s="257" t="s">
        <v>447</v>
      </c>
      <c r="B30" s="248">
        <v>13</v>
      </c>
      <c r="C30" s="248">
        <v>6</v>
      </c>
      <c r="D30" s="259">
        <v>46.15384615384615</v>
      </c>
      <c r="E30" s="248">
        <v>6</v>
      </c>
    </row>
    <row r="31" spans="1:5" ht="12.75">
      <c r="A31" s="77" t="s">
        <v>740</v>
      </c>
      <c r="B31" s="248">
        <v>13</v>
      </c>
      <c r="C31" s="248">
        <v>1</v>
      </c>
      <c r="D31" s="259">
        <v>7.6923076923076925</v>
      </c>
      <c r="E31" s="248">
        <v>1</v>
      </c>
    </row>
    <row r="32" spans="1:5" ht="12.75">
      <c r="A32" s="124" t="s">
        <v>313</v>
      </c>
      <c r="B32" s="258">
        <v>2</v>
      </c>
      <c r="C32" s="258">
        <v>1</v>
      </c>
      <c r="D32" s="260">
        <v>50</v>
      </c>
      <c r="E32" s="258">
        <v>1</v>
      </c>
    </row>
    <row r="33" spans="1:5" ht="12.75">
      <c r="A33" s="124" t="s">
        <v>314</v>
      </c>
      <c r="B33" s="258">
        <v>11</v>
      </c>
      <c r="C33" s="258">
        <v>0</v>
      </c>
      <c r="D33" s="260">
        <v>0</v>
      </c>
      <c r="E33" s="258">
        <v>0</v>
      </c>
    </row>
    <row r="34" spans="1:5" ht="12.75">
      <c r="A34" s="122" t="s">
        <v>322</v>
      </c>
      <c r="B34" s="248"/>
      <c r="C34" s="248"/>
      <c r="D34" s="249"/>
      <c r="E34" s="248"/>
    </row>
    <row r="35" spans="1:5" ht="12.75">
      <c r="A35" s="257" t="s">
        <v>447</v>
      </c>
      <c r="B35" s="248">
        <v>0</v>
      </c>
      <c r="C35" s="248">
        <v>0</v>
      </c>
      <c r="D35" s="259"/>
      <c r="E35" s="248">
        <v>0</v>
      </c>
    </row>
    <row r="36" spans="1:5" ht="12.75">
      <c r="A36" s="77" t="s">
        <v>740</v>
      </c>
      <c r="B36" s="248">
        <v>0</v>
      </c>
      <c r="C36" s="248">
        <v>0</v>
      </c>
      <c r="D36" s="259"/>
      <c r="E36" s="248">
        <v>0</v>
      </c>
    </row>
    <row r="37" spans="1:5" ht="12.75">
      <c r="A37" s="124" t="s">
        <v>313</v>
      </c>
      <c r="B37" s="258">
        <v>0</v>
      </c>
      <c r="C37" s="258">
        <v>0</v>
      </c>
      <c r="D37" s="260"/>
      <c r="E37" s="258">
        <v>0</v>
      </c>
    </row>
    <row r="38" spans="1:5" ht="12.75">
      <c r="A38" s="124" t="s">
        <v>314</v>
      </c>
      <c r="B38" s="258">
        <v>0</v>
      </c>
      <c r="C38" s="258">
        <v>0</v>
      </c>
      <c r="D38" s="260"/>
      <c r="E38" s="258">
        <v>0</v>
      </c>
    </row>
    <row r="39" spans="1:5" ht="12.75">
      <c r="A39" s="122" t="s">
        <v>323</v>
      </c>
      <c r="B39" s="248"/>
      <c r="C39" s="248"/>
      <c r="D39" s="249"/>
      <c r="E39" s="248"/>
    </row>
    <row r="40" spans="1:5" ht="12.75">
      <c r="A40" s="257" t="s">
        <v>447</v>
      </c>
      <c r="B40" s="248">
        <v>9</v>
      </c>
      <c r="C40" s="248">
        <v>30</v>
      </c>
      <c r="D40" s="259">
        <v>333.33333333333337</v>
      </c>
      <c r="E40" s="248">
        <v>30</v>
      </c>
    </row>
    <row r="41" spans="1:5" ht="12.75">
      <c r="A41" s="77" t="s">
        <v>312</v>
      </c>
      <c r="B41" s="248">
        <v>11</v>
      </c>
      <c r="C41" s="248">
        <v>3</v>
      </c>
      <c r="D41" s="259">
        <v>27.27272727272727</v>
      </c>
      <c r="E41" s="248">
        <v>3</v>
      </c>
    </row>
    <row r="42" spans="1:5" ht="12.75">
      <c r="A42" s="124" t="s">
        <v>313</v>
      </c>
      <c r="B42" s="258">
        <v>11</v>
      </c>
      <c r="C42" s="258">
        <v>3</v>
      </c>
      <c r="D42" s="260">
        <v>27.27272727272727</v>
      </c>
      <c r="E42" s="258">
        <v>3</v>
      </c>
    </row>
    <row r="43" spans="1:5" ht="12.75">
      <c r="A43" s="124" t="s">
        <v>314</v>
      </c>
      <c r="B43" s="258">
        <v>0</v>
      </c>
      <c r="C43" s="258">
        <v>0</v>
      </c>
      <c r="D43" s="260"/>
      <c r="E43" s="258">
        <v>0</v>
      </c>
    </row>
    <row r="44" spans="1:5" ht="12.75">
      <c r="A44" s="122" t="s">
        <v>324</v>
      </c>
      <c r="B44" s="248"/>
      <c r="C44" s="248"/>
      <c r="D44" s="260"/>
      <c r="E44" s="248"/>
    </row>
    <row r="45" spans="1:5" ht="12.75">
      <c r="A45" s="257" t="s">
        <v>447</v>
      </c>
      <c r="B45" s="248">
        <v>42</v>
      </c>
      <c r="C45" s="248">
        <v>58</v>
      </c>
      <c r="D45" s="259">
        <v>138.0952380952381</v>
      </c>
      <c r="E45" s="248">
        <v>58</v>
      </c>
    </row>
    <row r="46" spans="1:5" ht="12.75">
      <c r="A46" s="77" t="s">
        <v>740</v>
      </c>
      <c r="B46" s="248">
        <v>42</v>
      </c>
      <c r="C46" s="248">
        <v>42</v>
      </c>
      <c r="D46" s="259">
        <v>100</v>
      </c>
      <c r="E46" s="248">
        <v>42</v>
      </c>
    </row>
    <row r="47" spans="1:5" ht="12.75">
      <c r="A47" s="124" t="s">
        <v>313</v>
      </c>
      <c r="B47" s="258">
        <v>42</v>
      </c>
      <c r="C47" s="258">
        <v>42</v>
      </c>
      <c r="D47" s="260">
        <v>100</v>
      </c>
      <c r="E47" s="258">
        <v>42</v>
      </c>
    </row>
    <row r="48" spans="1:5" ht="12.75">
      <c r="A48" s="124" t="s">
        <v>314</v>
      </c>
      <c r="B48" s="258">
        <v>0</v>
      </c>
      <c r="C48" s="258">
        <v>0</v>
      </c>
      <c r="D48" s="260"/>
      <c r="E48" s="258">
        <v>0</v>
      </c>
    </row>
    <row r="49" spans="1:5" ht="12.75">
      <c r="A49" s="122" t="s">
        <v>325</v>
      </c>
      <c r="B49" s="248"/>
      <c r="C49" s="248"/>
      <c r="D49" s="249"/>
      <c r="E49" s="248"/>
    </row>
    <row r="50" spans="1:5" ht="12.75">
      <c r="A50" s="257" t="s">
        <v>447</v>
      </c>
      <c r="B50" s="248">
        <v>99</v>
      </c>
      <c r="C50" s="248">
        <v>4</v>
      </c>
      <c r="D50" s="259">
        <v>4.040404040404041</v>
      </c>
      <c r="E50" s="248">
        <v>4</v>
      </c>
    </row>
    <row r="51" spans="1:5" ht="12.75">
      <c r="A51" s="77" t="s">
        <v>740</v>
      </c>
      <c r="B51" s="248">
        <v>105</v>
      </c>
      <c r="C51" s="248">
        <v>8</v>
      </c>
      <c r="D51" s="259">
        <v>7.6190476190476195</v>
      </c>
      <c r="E51" s="248">
        <v>8</v>
      </c>
    </row>
    <row r="52" spans="1:5" ht="12.75">
      <c r="A52" s="124" t="s">
        <v>313</v>
      </c>
      <c r="B52" s="258">
        <v>60</v>
      </c>
      <c r="C52" s="258">
        <v>3</v>
      </c>
      <c r="D52" s="260">
        <v>5</v>
      </c>
      <c r="E52" s="258">
        <v>3</v>
      </c>
    </row>
    <row r="53" spans="1:5" ht="12.75">
      <c r="A53" s="124" t="s">
        <v>314</v>
      </c>
      <c r="B53" s="258">
        <v>45</v>
      </c>
      <c r="C53" s="258">
        <v>5</v>
      </c>
      <c r="D53" s="260">
        <v>11.11111111111111</v>
      </c>
      <c r="E53" s="258">
        <v>5</v>
      </c>
    </row>
    <row r="54" spans="1:5" ht="12.75">
      <c r="A54" s="122" t="s">
        <v>326</v>
      </c>
      <c r="B54" s="248"/>
      <c r="C54" s="248"/>
      <c r="D54" s="249"/>
      <c r="E54" s="248"/>
    </row>
    <row r="55" spans="1:5" ht="12.75">
      <c r="A55" s="257" t="s">
        <v>447</v>
      </c>
      <c r="B55" s="248">
        <v>242</v>
      </c>
      <c r="C55" s="248">
        <v>183</v>
      </c>
      <c r="D55" s="259">
        <v>75.6198347107438</v>
      </c>
      <c r="E55" s="248">
        <v>183</v>
      </c>
    </row>
    <row r="56" spans="1:5" ht="12.75">
      <c r="A56" s="77" t="s">
        <v>740</v>
      </c>
      <c r="B56" s="248">
        <v>265</v>
      </c>
      <c r="C56" s="248">
        <v>90</v>
      </c>
      <c r="D56" s="259">
        <v>33.9622641509434</v>
      </c>
      <c r="E56" s="248">
        <v>90</v>
      </c>
    </row>
    <row r="57" spans="1:5" ht="12.75">
      <c r="A57" s="124" t="s">
        <v>313</v>
      </c>
      <c r="B57" s="258">
        <v>239</v>
      </c>
      <c r="C57" s="258">
        <v>87</v>
      </c>
      <c r="D57" s="260">
        <v>36.40167364016737</v>
      </c>
      <c r="E57" s="258">
        <v>87</v>
      </c>
    </row>
    <row r="58" spans="1:5" ht="12.75">
      <c r="A58" s="124" t="s">
        <v>314</v>
      </c>
      <c r="B58" s="258">
        <v>26</v>
      </c>
      <c r="C58" s="258">
        <v>3</v>
      </c>
      <c r="D58" s="260">
        <v>11.538461538461538</v>
      </c>
      <c r="E58" s="258">
        <v>3</v>
      </c>
    </row>
    <row r="59" spans="1:5" ht="12.75">
      <c r="A59" s="122" t="s">
        <v>327</v>
      </c>
      <c r="B59" s="248"/>
      <c r="C59" s="248"/>
      <c r="D59" s="249"/>
      <c r="E59" s="248"/>
    </row>
    <row r="60" spans="1:5" ht="12.75">
      <c r="A60" s="257" t="s">
        <v>447</v>
      </c>
      <c r="B60" s="248">
        <v>85</v>
      </c>
      <c r="C60" s="248">
        <v>38</v>
      </c>
      <c r="D60" s="259">
        <v>44.70588235294118</v>
      </c>
      <c r="E60" s="248">
        <v>38</v>
      </c>
    </row>
    <row r="61" spans="1:5" ht="12.75">
      <c r="A61" s="77" t="s">
        <v>740</v>
      </c>
      <c r="B61" s="248">
        <v>84</v>
      </c>
      <c r="C61" s="248">
        <v>22</v>
      </c>
      <c r="D61" s="259">
        <v>26.190476190476193</v>
      </c>
      <c r="E61" s="248">
        <v>22</v>
      </c>
    </row>
    <row r="62" spans="1:5" ht="12.75">
      <c r="A62" s="124" t="s">
        <v>313</v>
      </c>
      <c r="B62" s="258">
        <v>65</v>
      </c>
      <c r="C62" s="258">
        <v>17</v>
      </c>
      <c r="D62" s="260">
        <v>26.153846153846157</v>
      </c>
      <c r="E62" s="258">
        <v>17</v>
      </c>
    </row>
    <row r="63" spans="1:5" ht="12.75">
      <c r="A63" s="124" t="s">
        <v>314</v>
      </c>
      <c r="B63" s="258">
        <v>19</v>
      </c>
      <c r="C63" s="258">
        <v>5</v>
      </c>
      <c r="D63" s="260">
        <v>26.31578947368421</v>
      </c>
      <c r="E63" s="258">
        <v>5</v>
      </c>
    </row>
    <row r="64" spans="1:5" ht="12.75">
      <c r="A64" s="122" t="s">
        <v>328</v>
      </c>
      <c r="B64" s="248"/>
      <c r="C64" s="248"/>
      <c r="D64" s="249"/>
      <c r="E64" s="248"/>
    </row>
    <row r="65" spans="1:5" ht="12.75">
      <c r="A65" s="257" t="s">
        <v>447</v>
      </c>
      <c r="B65" s="248">
        <v>0</v>
      </c>
      <c r="C65" s="248">
        <v>0</v>
      </c>
      <c r="D65" s="259"/>
      <c r="E65" s="248">
        <v>0</v>
      </c>
    </row>
    <row r="66" spans="1:5" ht="12.75">
      <c r="A66" s="77" t="s">
        <v>740</v>
      </c>
      <c r="B66" s="248">
        <v>0</v>
      </c>
      <c r="C66" s="248">
        <v>0</v>
      </c>
      <c r="D66" s="259"/>
      <c r="E66" s="248">
        <v>0</v>
      </c>
    </row>
    <row r="67" spans="1:5" ht="12.75">
      <c r="A67" s="124" t="s">
        <v>313</v>
      </c>
      <c r="B67" s="258">
        <v>0</v>
      </c>
      <c r="C67" s="258">
        <v>0</v>
      </c>
      <c r="D67" s="260"/>
      <c r="E67" s="258">
        <v>0</v>
      </c>
    </row>
    <row r="68" spans="1:5" ht="12.75">
      <c r="A68" s="124" t="s">
        <v>314</v>
      </c>
      <c r="B68" s="258">
        <v>0</v>
      </c>
      <c r="C68" s="258">
        <v>0</v>
      </c>
      <c r="D68" s="260"/>
      <c r="E68" s="258">
        <v>0</v>
      </c>
    </row>
    <row r="69" spans="1:5" ht="12.75">
      <c r="A69" s="122" t="s">
        <v>329</v>
      </c>
      <c r="B69" s="248"/>
      <c r="C69" s="248"/>
      <c r="D69" s="249"/>
      <c r="E69" s="248"/>
    </row>
    <row r="70" spans="1:5" ht="12.75">
      <c r="A70" s="257" t="s">
        <v>447</v>
      </c>
      <c r="B70" s="248">
        <v>35</v>
      </c>
      <c r="C70" s="248">
        <v>8</v>
      </c>
      <c r="D70" s="259">
        <v>22.857142857142858</v>
      </c>
      <c r="E70" s="248">
        <v>8</v>
      </c>
    </row>
    <row r="71" spans="1:5" ht="12.75">
      <c r="A71" s="77" t="s">
        <v>740</v>
      </c>
      <c r="B71" s="248">
        <v>76</v>
      </c>
      <c r="C71" s="248">
        <v>30</v>
      </c>
      <c r="D71" s="259">
        <v>39.473684210526315</v>
      </c>
      <c r="E71" s="248">
        <v>30</v>
      </c>
    </row>
    <row r="72" spans="1:5" ht="12.75">
      <c r="A72" s="124" t="s">
        <v>313</v>
      </c>
      <c r="B72" s="258">
        <v>68</v>
      </c>
      <c r="C72" s="258">
        <v>28</v>
      </c>
      <c r="D72" s="260">
        <v>41.17647058823529</v>
      </c>
      <c r="E72" s="258">
        <v>28</v>
      </c>
    </row>
    <row r="73" spans="1:5" ht="12.75">
      <c r="A73" s="124" t="s">
        <v>314</v>
      </c>
      <c r="B73" s="258">
        <v>8</v>
      </c>
      <c r="C73" s="258">
        <v>2</v>
      </c>
      <c r="D73" s="260">
        <v>25</v>
      </c>
      <c r="E73" s="258">
        <v>2</v>
      </c>
    </row>
    <row r="74" spans="1:5" ht="12.75">
      <c r="A74" s="122" t="s">
        <v>330</v>
      </c>
      <c r="B74" s="248"/>
      <c r="C74" s="248"/>
      <c r="D74" s="249"/>
      <c r="E74" s="248"/>
    </row>
    <row r="75" spans="1:5" ht="12.75">
      <c r="A75" s="257" t="s">
        <v>447</v>
      </c>
      <c r="B75" s="248">
        <v>31</v>
      </c>
      <c r="C75" s="248">
        <v>2</v>
      </c>
      <c r="D75" s="259">
        <v>6.451612903225806</v>
      </c>
      <c r="E75" s="248">
        <v>2</v>
      </c>
    </row>
    <row r="76" spans="1:5" ht="12.75">
      <c r="A76" s="77" t="s">
        <v>740</v>
      </c>
      <c r="B76" s="248">
        <v>31</v>
      </c>
      <c r="C76" s="248">
        <v>1</v>
      </c>
      <c r="D76" s="259">
        <v>3.225806451612903</v>
      </c>
      <c r="E76" s="248">
        <v>1</v>
      </c>
    </row>
    <row r="77" spans="1:5" ht="12.75">
      <c r="A77" s="124" t="s">
        <v>313</v>
      </c>
      <c r="B77" s="258">
        <v>31</v>
      </c>
      <c r="C77" s="258">
        <v>1</v>
      </c>
      <c r="D77" s="260">
        <v>3.225806451612903</v>
      </c>
      <c r="E77" s="258">
        <v>1</v>
      </c>
    </row>
    <row r="78" spans="1:5" ht="12.75">
      <c r="A78" s="124" t="s">
        <v>314</v>
      </c>
      <c r="B78" s="258">
        <v>0</v>
      </c>
      <c r="C78" s="258">
        <v>0</v>
      </c>
      <c r="D78" s="260"/>
      <c r="E78" s="258">
        <v>0</v>
      </c>
    </row>
    <row r="79" spans="1:5" ht="12.75">
      <c r="A79" s="74" t="s">
        <v>331</v>
      </c>
      <c r="B79" s="248"/>
      <c r="C79" s="248"/>
      <c r="D79" s="249"/>
      <c r="E79" s="248"/>
    </row>
    <row r="80" spans="1:5" ht="12.75">
      <c r="A80" s="257" t="s">
        <v>447</v>
      </c>
      <c r="B80" s="248">
        <v>0</v>
      </c>
      <c r="C80" s="248">
        <v>2</v>
      </c>
      <c r="D80" s="259"/>
      <c r="E80" s="248">
        <v>2</v>
      </c>
    </row>
    <row r="81" spans="1:5" ht="12.75">
      <c r="A81" s="77" t="s">
        <v>740</v>
      </c>
      <c r="B81" s="248">
        <v>18</v>
      </c>
      <c r="C81" s="248">
        <v>1</v>
      </c>
      <c r="D81" s="259">
        <v>5.555555555555555</v>
      </c>
      <c r="E81" s="248">
        <v>1</v>
      </c>
    </row>
    <row r="82" spans="1:5" ht="12.75">
      <c r="A82" s="124" t="s">
        <v>313</v>
      </c>
      <c r="B82" s="258">
        <v>18</v>
      </c>
      <c r="C82" s="258">
        <v>1</v>
      </c>
      <c r="D82" s="260">
        <v>5.555555555555555</v>
      </c>
      <c r="E82" s="258">
        <v>1</v>
      </c>
    </row>
    <row r="83" spans="1:5" ht="12.75">
      <c r="A83" s="124" t="s">
        <v>314</v>
      </c>
      <c r="B83" s="258">
        <v>0</v>
      </c>
      <c r="C83" s="258">
        <v>0</v>
      </c>
      <c r="D83" s="260"/>
      <c r="E83" s="258">
        <v>0</v>
      </c>
    </row>
    <row r="84" spans="1:5" ht="12.75">
      <c r="A84" s="122" t="s">
        <v>332</v>
      </c>
      <c r="B84" s="248"/>
      <c r="C84" s="248"/>
      <c r="D84" s="249"/>
      <c r="E84" s="248"/>
    </row>
    <row r="85" spans="1:5" ht="12.75">
      <c r="A85" s="257" t="s">
        <v>447</v>
      </c>
      <c r="B85" s="248">
        <v>188</v>
      </c>
      <c r="C85" s="248">
        <v>95</v>
      </c>
      <c r="D85" s="259">
        <v>50.53191489361703</v>
      </c>
      <c r="E85" s="248">
        <v>95</v>
      </c>
    </row>
    <row r="86" spans="1:5" ht="12.75">
      <c r="A86" s="77" t="s">
        <v>740</v>
      </c>
      <c r="B86" s="248">
        <v>250</v>
      </c>
      <c r="C86" s="248">
        <v>55</v>
      </c>
      <c r="D86" s="259">
        <v>22</v>
      </c>
      <c r="E86" s="248">
        <v>55</v>
      </c>
    </row>
    <row r="87" spans="1:5" ht="12.75">
      <c r="A87" s="124" t="s">
        <v>313</v>
      </c>
      <c r="B87" s="258">
        <v>217</v>
      </c>
      <c r="C87" s="258">
        <v>43</v>
      </c>
      <c r="D87" s="260">
        <v>19.81566820276498</v>
      </c>
      <c r="E87" s="258">
        <v>43</v>
      </c>
    </row>
    <row r="88" spans="1:5" ht="12.75">
      <c r="A88" s="124" t="s">
        <v>314</v>
      </c>
      <c r="B88" s="258">
        <v>33</v>
      </c>
      <c r="C88" s="258">
        <v>12</v>
      </c>
      <c r="D88" s="260">
        <v>36.36363636363637</v>
      </c>
      <c r="E88" s="258">
        <v>12</v>
      </c>
    </row>
    <row r="89" spans="1:5" ht="12.75">
      <c r="A89" s="122" t="s">
        <v>333</v>
      </c>
      <c r="B89" s="248"/>
      <c r="C89" s="248"/>
      <c r="D89" s="249"/>
      <c r="E89" s="248"/>
    </row>
    <row r="90" spans="1:5" ht="12.75">
      <c r="A90" s="257" t="s">
        <v>447</v>
      </c>
      <c r="B90" s="248">
        <v>0</v>
      </c>
      <c r="C90" s="248">
        <v>0</v>
      </c>
      <c r="D90" s="259"/>
      <c r="E90" s="248">
        <v>0</v>
      </c>
    </row>
    <row r="91" spans="1:5" ht="12.75">
      <c r="A91" s="77" t="s">
        <v>740</v>
      </c>
      <c r="B91" s="248">
        <v>0</v>
      </c>
      <c r="C91" s="248">
        <v>0</v>
      </c>
      <c r="D91" s="259"/>
      <c r="E91" s="248">
        <v>0</v>
      </c>
    </row>
    <row r="92" spans="1:5" ht="12.75">
      <c r="A92" s="124" t="s">
        <v>313</v>
      </c>
      <c r="B92" s="258">
        <v>0</v>
      </c>
      <c r="C92" s="258">
        <v>0</v>
      </c>
      <c r="D92" s="260"/>
      <c r="E92" s="258">
        <v>0</v>
      </c>
    </row>
    <row r="93" spans="1:5" ht="12.75">
      <c r="A93" s="124" t="s">
        <v>314</v>
      </c>
      <c r="B93" s="258">
        <v>0</v>
      </c>
      <c r="C93" s="258">
        <v>0</v>
      </c>
      <c r="D93" s="260"/>
      <c r="E93" s="258">
        <v>0</v>
      </c>
    </row>
    <row r="94" spans="1:5" ht="12.75">
      <c r="A94" s="122" t="s">
        <v>334</v>
      </c>
      <c r="B94" s="248"/>
      <c r="C94" s="248"/>
      <c r="D94" s="249"/>
      <c r="E94" s="258"/>
    </row>
    <row r="95" spans="1:5" ht="12.75">
      <c r="A95" s="257" t="s">
        <v>447</v>
      </c>
      <c r="B95" s="248">
        <v>0</v>
      </c>
      <c r="C95" s="248">
        <v>0</v>
      </c>
      <c r="D95" s="259"/>
      <c r="E95" s="248">
        <v>0</v>
      </c>
    </row>
    <row r="96" spans="1:5" ht="12.75">
      <c r="A96" s="77" t="s">
        <v>740</v>
      </c>
      <c r="B96" s="248">
        <v>0</v>
      </c>
      <c r="C96" s="248">
        <v>0</v>
      </c>
      <c r="D96" s="259"/>
      <c r="E96" s="248">
        <v>0</v>
      </c>
    </row>
    <row r="97" spans="1:5" ht="12.75">
      <c r="A97" s="124" t="s">
        <v>313</v>
      </c>
      <c r="B97" s="258">
        <v>0</v>
      </c>
      <c r="C97" s="258">
        <v>0</v>
      </c>
      <c r="D97" s="260"/>
      <c r="E97" s="258">
        <v>0</v>
      </c>
    </row>
    <row r="98" spans="1:5" ht="12.75">
      <c r="A98" s="124" t="s">
        <v>314</v>
      </c>
      <c r="B98" s="258">
        <v>0</v>
      </c>
      <c r="C98" s="258">
        <v>0</v>
      </c>
      <c r="D98" s="260"/>
      <c r="E98" s="261">
        <v>0</v>
      </c>
    </row>
    <row r="99" spans="1:5" ht="12.75">
      <c r="A99" s="122" t="s">
        <v>335</v>
      </c>
      <c r="B99" s="248"/>
      <c r="C99" s="248"/>
      <c r="D99" s="249"/>
      <c r="E99" s="248"/>
    </row>
    <row r="100" spans="1:5" ht="12.75">
      <c r="A100" s="257" t="s">
        <v>447</v>
      </c>
      <c r="B100" s="248">
        <v>0</v>
      </c>
      <c r="C100" s="248">
        <v>0</v>
      </c>
      <c r="D100" s="259"/>
      <c r="E100" s="248">
        <v>0</v>
      </c>
    </row>
    <row r="101" spans="1:5" ht="12.75">
      <c r="A101" s="77" t="s">
        <v>740</v>
      </c>
      <c r="B101" s="248">
        <v>0</v>
      </c>
      <c r="C101" s="248">
        <v>0</v>
      </c>
      <c r="D101" s="259"/>
      <c r="E101" s="248">
        <v>0</v>
      </c>
    </row>
    <row r="102" spans="1:5" ht="12.75">
      <c r="A102" s="124" t="s">
        <v>313</v>
      </c>
      <c r="B102" s="258">
        <v>0</v>
      </c>
      <c r="C102" s="258">
        <v>0</v>
      </c>
      <c r="D102" s="260"/>
      <c r="E102" s="248">
        <v>0</v>
      </c>
    </row>
    <row r="103" spans="1:5" ht="12.75">
      <c r="A103" s="124" t="s">
        <v>314</v>
      </c>
      <c r="B103" s="258">
        <v>0</v>
      </c>
      <c r="C103" s="258">
        <v>0</v>
      </c>
      <c r="D103" s="260"/>
      <c r="E103" s="248">
        <v>0</v>
      </c>
    </row>
    <row r="104" spans="1:5" ht="12.75">
      <c r="A104" s="122" t="s">
        <v>336</v>
      </c>
      <c r="B104" s="248"/>
      <c r="C104" s="248"/>
      <c r="D104" s="249"/>
      <c r="E104" s="248"/>
    </row>
    <row r="105" spans="1:5" ht="12.75">
      <c r="A105" s="257" t="s">
        <v>447</v>
      </c>
      <c r="B105" s="248">
        <v>0</v>
      </c>
      <c r="C105" s="248">
        <v>0</v>
      </c>
      <c r="D105" s="259"/>
      <c r="E105" s="248">
        <v>0</v>
      </c>
    </row>
    <row r="106" spans="1:5" ht="12.75">
      <c r="A106" s="77" t="s">
        <v>740</v>
      </c>
      <c r="B106" s="248">
        <v>0</v>
      </c>
      <c r="C106" s="248">
        <v>0</v>
      </c>
      <c r="D106" s="259"/>
      <c r="E106" s="248">
        <v>0</v>
      </c>
    </row>
    <row r="107" spans="1:5" ht="12.75">
      <c r="A107" s="124" t="s">
        <v>313</v>
      </c>
      <c r="B107" s="258">
        <v>0</v>
      </c>
      <c r="C107" s="258">
        <v>0</v>
      </c>
      <c r="D107" s="260"/>
      <c r="E107" s="248">
        <v>0</v>
      </c>
    </row>
    <row r="108" spans="1:5" ht="12.75">
      <c r="A108" s="124" t="s">
        <v>314</v>
      </c>
      <c r="B108" s="258">
        <v>0</v>
      </c>
      <c r="C108" s="258">
        <v>0</v>
      </c>
      <c r="D108" s="260"/>
      <c r="E108" s="258">
        <v>0</v>
      </c>
    </row>
    <row r="109" spans="1:5" ht="12.75">
      <c r="A109" s="122" t="s">
        <v>337</v>
      </c>
      <c r="B109" s="248"/>
      <c r="C109" s="248"/>
      <c r="D109" s="249"/>
      <c r="E109" s="258"/>
    </row>
    <row r="110" spans="1:5" ht="12.75">
      <c r="A110" s="257" t="s">
        <v>447</v>
      </c>
      <c r="B110" s="248">
        <v>0</v>
      </c>
      <c r="C110" s="248">
        <v>0</v>
      </c>
      <c r="D110" s="259"/>
      <c r="E110" s="258">
        <v>0</v>
      </c>
    </row>
    <row r="111" spans="1:5" ht="12.75">
      <c r="A111" s="77" t="s">
        <v>740</v>
      </c>
      <c r="B111" s="248">
        <v>0</v>
      </c>
      <c r="C111" s="248">
        <v>0</v>
      </c>
      <c r="D111" s="259"/>
      <c r="E111" s="248">
        <v>0</v>
      </c>
    </row>
    <row r="112" spans="1:5" ht="12.75">
      <c r="A112" s="124" t="s">
        <v>313</v>
      </c>
      <c r="B112" s="258">
        <v>0</v>
      </c>
      <c r="C112" s="258">
        <v>0</v>
      </c>
      <c r="D112" s="260"/>
      <c r="E112" s="262">
        <v>0</v>
      </c>
    </row>
    <row r="113" spans="1:5" ht="12.75">
      <c r="A113" s="124" t="s">
        <v>314</v>
      </c>
      <c r="B113" s="258">
        <v>0</v>
      </c>
      <c r="C113" s="258">
        <v>0</v>
      </c>
      <c r="D113" s="260"/>
      <c r="E113" s="262">
        <v>0</v>
      </c>
    </row>
    <row r="114" spans="1:5" ht="12.75">
      <c r="A114" s="122" t="s">
        <v>338</v>
      </c>
      <c r="B114" s="248"/>
      <c r="C114" s="248"/>
      <c r="D114" s="249"/>
      <c r="E114" s="262"/>
    </row>
    <row r="115" spans="1:5" ht="12.75">
      <c r="A115" s="257" t="s">
        <v>447</v>
      </c>
      <c r="B115" s="248">
        <v>0</v>
      </c>
      <c r="C115" s="248">
        <v>0</v>
      </c>
      <c r="D115" s="259"/>
      <c r="E115" s="262">
        <v>0</v>
      </c>
    </row>
    <row r="116" spans="1:5" ht="12.75">
      <c r="A116" s="77" t="s">
        <v>740</v>
      </c>
      <c r="B116" s="248">
        <v>0</v>
      </c>
      <c r="C116" s="248">
        <v>0</v>
      </c>
      <c r="D116" s="259"/>
      <c r="E116" s="248">
        <v>0</v>
      </c>
    </row>
    <row r="117" spans="1:5" ht="12.75">
      <c r="A117" s="124" t="s">
        <v>313</v>
      </c>
      <c r="B117" s="258">
        <v>0</v>
      </c>
      <c r="C117" s="258">
        <v>0</v>
      </c>
      <c r="D117" s="260"/>
      <c r="E117" s="258">
        <v>0</v>
      </c>
    </row>
    <row r="118" spans="1:5" ht="12.75">
      <c r="A118" s="124" t="s">
        <v>314</v>
      </c>
      <c r="B118" s="258">
        <v>0</v>
      </c>
      <c r="C118" s="258">
        <v>0</v>
      </c>
      <c r="D118" s="260"/>
      <c r="E118" s="258">
        <v>0</v>
      </c>
    </row>
    <row r="119" spans="1:5" ht="12.75">
      <c r="A119" s="122" t="s">
        <v>339</v>
      </c>
      <c r="B119" s="248"/>
      <c r="C119" s="248"/>
      <c r="D119" s="249"/>
      <c r="E119" s="248"/>
    </row>
    <row r="120" spans="1:5" ht="12.75">
      <c r="A120" s="257" t="s">
        <v>447</v>
      </c>
      <c r="B120" s="248">
        <v>0</v>
      </c>
      <c r="C120" s="248">
        <v>0</v>
      </c>
      <c r="D120" s="259"/>
      <c r="E120" s="258">
        <v>0</v>
      </c>
    </row>
    <row r="121" spans="1:5" ht="12.75">
      <c r="A121" s="77" t="s">
        <v>740</v>
      </c>
      <c r="B121" s="248">
        <v>0</v>
      </c>
      <c r="C121" s="248">
        <v>0</v>
      </c>
      <c r="D121" s="259"/>
      <c r="E121" s="248">
        <v>0</v>
      </c>
    </row>
    <row r="122" spans="1:5" ht="12.75">
      <c r="A122" s="124" t="s">
        <v>313</v>
      </c>
      <c r="B122" s="258">
        <v>0</v>
      </c>
      <c r="C122" s="258">
        <v>0</v>
      </c>
      <c r="D122" s="260"/>
      <c r="E122" s="258">
        <v>0</v>
      </c>
    </row>
    <row r="123" spans="1:5" ht="12.75">
      <c r="A123" s="124" t="s">
        <v>314</v>
      </c>
      <c r="B123" s="258">
        <v>0</v>
      </c>
      <c r="C123" s="258">
        <v>0</v>
      </c>
      <c r="D123" s="260"/>
      <c r="E123" s="258">
        <v>0</v>
      </c>
    </row>
    <row r="124" spans="1:5" ht="12.75">
      <c r="A124" s="122" t="s">
        <v>340</v>
      </c>
      <c r="B124" s="248"/>
      <c r="C124" s="248"/>
      <c r="D124" s="249"/>
      <c r="E124" s="248"/>
    </row>
    <row r="125" spans="1:5" ht="12.75">
      <c r="A125" s="257" t="s">
        <v>447</v>
      </c>
      <c r="B125" s="248">
        <v>0</v>
      </c>
      <c r="C125" s="248">
        <v>0</v>
      </c>
      <c r="D125" s="259"/>
      <c r="E125" s="248">
        <v>0</v>
      </c>
    </row>
    <row r="126" spans="1:5" ht="12.75">
      <c r="A126" s="77" t="s">
        <v>740</v>
      </c>
      <c r="B126" s="248">
        <v>0</v>
      </c>
      <c r="C126" s="248">
        <v>0</v>
      </c>
      <c r="D126" s="259"/>
      <c r="E126" s="248">
        <v>0</v>
      </c>
    </row>
    <row r="127" spans="1:5" ht="12.75">
      <c r="A127" s="124" t="s">
        <v>313</v>
      </c>
      <c r="B127" s="258">
        <v>0</v>
      </c>
      <c r="C127" s="258">
        <v>0</v>
      </c>
      <c r="D127" s="260"/>
      <c r="E127" s="248">
        <v>0</v>
      </c>
    </row>
    <row r="128" spans="1:5" ht="12.75">
      <c r="A128" s="124" t="s">
        <v>314</v>
      </c>
      <c r="B128" s="258">
        <v>0</v>
      </c>
      <c r="C128" s="258">
        <v>0</v>
      </c>
      <c r="D128" s="260"/>
      <c r="E128" s="248">
        <v>0</v>
      </c>
    </row>
    <row r="129" spans="1:5" ht="12.75">
      <c r="A129" s="122" t="s">
        <v>341</v>
      </c>
      <c r="B129" s="248"/>
      <c r="C129" s="248"/>
      <c r="D129" s="249"/>
      <c r="E129" s="248"/>
    </row>
    <row r="130" spans="1:5" ht="12.75">
      <c r="A130" s="257" t="s">
        <v>447</v>
      </c>
      <c r="B130" s="248">
        <v>0</v>
      </c>
      <c r="C130" s="248">
        <v>0</v>
      </c>
      <c r="D130" s="259"/>
      <c r="E130" s="248">
        <v>0</v>
      </c>
    </row>
    <row r="131" spans="1:5" ht="12.75">
      <c r="A131" s="77" t="s">
        <v>740</v>
      </c>
      <c r="B131" s="248">
        <v>0</v>
      </c>
      <c r="C131" s="248">
        <v>0</v>
      </c>
      <c r="D131" s="259"/>
      <c r="E131" s="248">
        <v>0</v>
      </c>
    </row>
    <row r="132" spans="1:5" ht="12.75">
      <c r="A132" s="124" t="s">
        <v>313</v>
      </c>
      <c r="B132" s="258">
        <v>0</v>
      </c>
      <c r="C132" s="258">
        <v>0</v>
      </c>
      <c r="D132" s="260"/>
      <c r="E132" s="248">
        <v>0</v>
      </c>
    </row>
    <row r="133" spans="1:5" ht="12.75">
      <c r="A133" s="124" t="s">
        <v>314</v>
      </c>
      <c r="B133" s="258">
        <v>0</v>
      </c>
      <c r="C133" s="258">
        <v>0</v>
      </c>
      <c r="D133" s="260"/>
      <c r="E133" s="258">
        <v>0</v>
      </c>
    </row>
    <row r="134" spans="1:5" ht="12.75">
      <c r="A134" s="122" t="s">
        <v>342</v>
      </c>
      <c r="B134" s="248"/>
      <c r="C134" s="248"/>
      <c r="D134" s="249"/>
      <c r="E134" s="258"/>
    </row>
    <row r="135" spans="1:5" ht="12.75">
      <c r="A135" s="257" t="s">
        <v>447</v>
      </c>
      <c r="B135" s="248">
        <v>0</v>
      </c>
      <c r="C135" s="248">
        <v>0</v>
      </c>
      <c r="D135" s="259"/>
      <c r="E135" s="248">
        <v>0</v>
      </c>
    </row>
    <row r="136" spans="1:5" ht="12.75">
      <c r="A136" s="77" t="s">
        <v>740</v>
      </c>
      <c r="B136" s="248">
        <v>0</v>
      </c>
      <c r="C136" s="248">
        <v>0</v>
      </c>
      <c r="D136" s="259"/>
      <c r="E136" s="248">
        <v>0</v>
      </c>
    </row>
    <row r="137" spans="1:5" ht="12.75">
      <c r="A137" s="124" t="s">
        <v>313</v>
      </c>
      <c r="B137" s="258">
        <v>0</v>
      </c>
      <c r="C137" s="258">
        <v>0</v>
      </c>
      <c r="D137" s="260"/>
      <c r="E137" s="258">
        <v>0</v>
      </c>
    </row>
    <row r="138" spans="1:5" ht="12.75">
      <c r="A138" s="124" t="s">
        <v>314</v>
      </c>
      <c r="B138" s="258">
        <v>0</v>
      </c>
      <c r="C138" s="258">
        <v>0</v>
      </c>
      <c r="D138" s="260"/>
      <c r="E138" s="258">
        <v>0</v>
      </c>
    </row>
    <row r="139" spans="1:5" ht="25.5">
      <c r="A139" s="74" t="s">
        <v>343</v>
      </c>
      <c r="B139" s="248"/>
      <c r="C139" s="248"/>
      <c r="D139" s="249"/>
      <c r="E139" s="258"/>
    </row>
    <row r="140" spans="1:5" ht="12.75">
      <c r="A140" s="257" t="s">
        <v>447</v>
      </c>
      <c r="B140" s="248">
        <v>0</v>
      </c>
      <c r="C140" s="248">
        <v>0</v>
      </c>
      <c r="D140" s="259"/>
      <c r="E140" s="248">
        <v>0</v>
      </c>
    </row>
    <row r="141" spans="1:5" ht="12.75">
      <c r="A141" s="77" t="s">
        <v>740</v>
      </c>
      <c r="B141" s="248">
        <v>0</v>
      </c>
      <c r="C141" s="248">
        <v>0</v>
      </c>
      <c r="D141" s="259"/>
      <c r="E141" s="248">
        <v>0</v>
      </c>
    </row>
    <row r="142" spans="1:5" ht="12.75">
      <c r="A142" s="124" t="s">
        <v>313</v>
      </c>
      <c r="B142" s="258">
        <v>0</v>
      </c>
      <c r="C142" s="258">
        <v>0</v>
      </c>
      <c r="D142" s="260"/>
      <c r="E142" s="258">
        <v>0</v>
      </c>
    </row>
    <row r="143" spans="1:5" ht="12.75">
      <c r="A143" s="124" t="s">
        <v>314</v>
      </c>
      <c r="B143" s="258">
        <v>0</v>
      </c>
      <c r="C143" s="258">
        <v>0</v>
      </c>
      <c r="D143" s="260"/>
      <c r="E143" s="258">
        <v>0</v>
      </c>
    </row>
    <row r="144" spans="1:5" ht="12.75">
      <c r="A144" s="74" t="s">
        <v>344</v>
      </c>
      <c r="B144" s="248"/>
      <c r="C144" s="248"/>
      <c r="D144" s="249"/>
      <c r="E144" s="248"/>
    </row>
    <row r="145" spans="1:5" ht="12.75">
      <c r="A145" s="257" t="s">
        <v>447</v>
      </c>
      <c r="B145" s="248">
        <v>0</v>
      </c>
      <c r="C145" s="248">
        <v>5</v>
      </c>
      <c r="D145" s="259"/>
      <c r="E145" s="248">
        <v>5</v>
      </c>
    </row>
    <row r="146" spans="1:5" ht="12.75">
      <c r="A146" s="77" t="s">
        <v>740</v>
      </c>
      <c r="B146" s="248">
        <v>0</v>
      </c>
      <c r="C146" s="248">
        <v>0</v>
      </c>
      <c r="D146" s="259"/>
      <c r="E146" s="248">
        <v>0</v>
      </c>
    </row>
    <row r="147" spans="1:5" ht="12.75">
      <c r="A147" s="124" t="s">
        <v>313</v>
      </c>
      <c r="B147" s="258">
        <v>0</v>
      </c>
      <c r="C147" s="258">
        <v>0</v>
      </c>
      <c r="D147" s="260"/>
      <c r="E147" s="258">
        <v>0</v>
      </c>
    </row>
    <row r="148" spans="1:5" ht="12.75">
      <c r="A148" s="124" t="s">
        <v>314</v>
      </c>
      <c r="B148" s="258">
        <v>0</v>
      </c>
      <c r="C148" s="258">
        <v>0</v>
      </c>
      <c r="D148" s="260"/>
      <c r="E148" s="258">
        <v>0</v>
      </c>
    </row>
    <row r="149" spans="1:5" ht="12.75">
      <c r="A149" s="74" t="s">
        <v>345</v>
      </c>
      <c r="B149" s="248"/>
      <c r="C149" s="248"/>
      <c r="D149" s="249"/>
      <c r="E149" s="24"/>
    </row>
    <row r="150" spans="1:5" ht="12.75">
      <c r="A150" s="257" t="s">
        <v>447</v>
      </c>
      <c r="B150" s="248">
        <v>0</v>
      </c>
      <c r="C150" s="248">
        <v>0</v>
      </c>
      <c r="D150" s="259"/>
      <c r="E150" s="32">
        <v>0</v>
      </c>
    </row>
    <row r="151" spans="1:5" ht="12.75">
      <c r="A151" s="77" t="s">
        <v>740</v>
      </c>
      <c r="B151" s="248">
        <v>0</v>
      </c>
      <c r="C151" s="248">
        <v>0</v>
      </c>
      <c r="D151" s="259"/>
      <c r="E151" s="248">
        <v>0</v>
      </c>
    </row>
    <row r="152" spans="1:5" ht="12.75">
      <c r="A152" s="124" t="s">
        <v>313</v>
      </c>
      <c r="B152" s="258">
        <v>0</v>
      </c>
      <c r="C152" s="258">
        <v>0</v>
      </c>
      <c r="D152" s="260"/>
      <c r="E152" s="258">
        <v>0</v>
      </c>
    </row>
    <row r="153" spans="1:5" ht="12.75">
      <c r="A153" s="124" t="s">
        <v>314</v>
      </c>
      <c r="B153" s="258">
        <v>0</v>
      </c>
      <c r="C153" s="258">
        <v>0</v>
      </c>
      <c r="D153" s="260"/>
      <c r="E153" s="258">
        <v>0</v>
      </c>
    </row>
    <row r="154" spans="1:5" ht="12.75">
      <c r="A154" s="3"/>
      <c r="B154" s="33"/>
      <c r="C154" s="33"/>
      <c r="D154" s="33"/>
      <c r="E154" s="33"/>
    </row>
    <row r="155" spans="1:5" ht="12.75">
      <c r="A155" s="3"/>
      <c r="B155" s="33"/>
      <c r="C155" s="33"/>
      <c r="D155" s="33"/>
      <c r="E155" s="33"/>
    </row>
    <row r="156" spans="1:5" ht="12.75">
      <c r="A156" s="3"/>
      <c r="B156" s="33"/>
      <c r="C156" s="33"/>
      <c r="D156" s="33"/>
      <c r="E156" s="33"/>
    </row>
    <row r="157" spans="1:5" ht="12.75">
      <c r="A157" s="63" t="s">
        <v>741</v>
      </c>
      <c r="B157" s="62"/>
      <c r="C157" s="62"/>
      <c r="D157" s="3"/>
      <c r="E157" s="62" t="s">
        <v>742</v>
      </c>
    </row>
    <row r="158" spans="1:5" ht="12.75">
      <c r="A158" s="3"/>
      <c r="B158" s="33"/>
      <c r="C158" s="33"/>
      <c r="D158" s="33"/>
      <c r="E158" s="33"/>
    </row>
    <row r="159" spans="1:5" ht="12.75">
      <c r="A159" s="3"/>
      <c r="B159" s="33"/>
      <c r="C159" s="33"/>
      <c r="D159" s="33"/>
      <c r="E159" s="33"/>
    </row>
    <row r="160" spans="1:5" ht="12.75">
      <c r="A160" s="3"/>
      <c r="B160" s="33"/>
      <c r="C160" s="33"/>
      <c r="D160" s="33"/>
      <c r="E160" s="33"/>
    </row>
    <row r="161" spans="1:5" ht="12.75">
      <c r="A161" s="8" t="s">
        <v>560</v>
      </c>
      <c r="B161" s="33"/>
      <c r="C161" s="33"/>
      <c r="D161" s="33"/>
      <c r="E161" s="33"/>
    </row>
    <row r="162" spans="1:5" ht="12.75">
      <c r="A162" s="8" t="s">
        <v>743</v>
      </c>
      <c r="B162" s="33"/>
      <c r="C162" s="33"/>
      <c r="D162" s="33"/>
      <c r="E162" s="33"/>
    </row>
  </sheetData>
  <mergeCells count="3">
    <mergeCell ref="A2:E2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H21" sqref="H21"/>
    </sheetView>
  </sheetViews>
  <sheetFormatPr defaultColWidth="9.140625" defaultRowHeight="12.75"/>
  <cols>
    <col min="1" max="1" width="41.00390625" style="168" customWidth="1"/>
    <col min="2" max="2" width="13.140625" style="168" customWidth="1"/>
    <col min="3" max="3" width="8.8515625" style="64" customWidth="1"/>
    <col min="4" max="4" width="12.421875" style="62" customWidth="1"/>
    <col min="5" max="5" width="9.8515625" style="64" customWidth="1"/>
  </cols>
  <sheetData>
    <row r="1" spans="2:5" ht="12.75">
      <c r="B1" s="5"/>
      <c r="C1" s="61"/>
      <c r="E1" s="264" t="s">
        <v>744</v>
      </c>
    </row>
    <row r="2" ht="12.75">
      <c r="A2" s="182" t="s">
        <v>745</v>
      </c>
    </row>
    <row r="4" spans="1:5" ht="15">
      <c r="A4" s="633" t="s">
        <v>746</v>
      </c>
      <c r="B4" s="633"/>
      <c r="C4" s="633"/>
      <c r="D4" s="633"/>
      <c r="E4" s="633"/>
    </row>
    <row r="5" spans="1:5" ht="12.75">
      <c r="A5" s="614" t="s">
        <v>301</v>
      </c>
      <c r="B5" s="614"/>
      <c r="C5" s="614"/>
      <c r="D5" s="614"/>
      <c r="E5" s="614"/>
    </row>
    <row r="6" ht="12.75">
      <c r="E6" s="264" t="s">
        <v>190</v>
      </c>
    </row>
    <row r="7" spans="1:5" ht="51">
      <c r="A7" s="114" t="s">
        <v>191</v>
      </c>
      <c r="B7" s="114" t="s">
        <v>303</v>
      </c>
      <c r="C7" s="192" t="s">
        <v>747</v>
      </c>
      <c r="D7" s="114" t="s">
        <v>748</v>
      </c>
      <c r="E7" s="114" t="s">
        <v>613</v>
      </c>
    </row>
    <row r="8" spans="1:5" ht="12.75">
      <c r="A8" s="171">
        <v>1</v>
      </c>
      <c r="B8" s="171">
        <v>2</v>
      </c>
      <c r="C8" s="225">
        <v>3</v>
      </c>
      <c r="D8" s="171">
        <v>4</v>
      </c>
      <c r="E8" s="225">
        <v>5</v>
      </c>
    </row>
    <row r="9" spans="1:5" ht="25.5">
      <c r="A9" s="74" t="s">
        <v>749</v>
      </c>
      <c r="B9" s="266">
        <v>748</v>
      </c>
      <c r="C9" s="266">
        <v>431</v>
      </c>
      <c r="D9" s="500">
        <v>57.6</v>
      </c>
      <c r="E9" s="267">
        <v>431</v>
      </c>
    </row>
    <row r="10" spans="1:5" ht="25.5">
      <c r="A10" s="27" t="s">
        <v>750</v>
      </c>
      <c r="B10" s="268">
        <v>691</v>
      </c>
      <c r="C10" s="268">
        <v>385</v>
      </c>
      <c r="D10" s="501">
        <v>55.7163531114327</v>
      </c>
      <c r="E10" s="265">
        <v>385</v>
      </c>
    </row>
    <row r="11" spans="1:5" ht="25.5">
      <c r="A11" s="27" t="s">
        <v>751</v>
      </c>
      <c r="B11" s="268">
        <v>57</v>
      </c>
      <c r="C11" s="268">
        <v>46</v>
      </c>
      <c r="D11" s="501">
        <v>80.7</v>
      </c>
      <c r="E11" s="265">
        <v>46</v>
      </c>
    </row>
    <row r="12" spans="1:5" ht="12.75">
      <c r="A12" s="27" t="s">
        <v>752</v>
      </c>
      <c r="B12" s="268"/>
      <c r="C12" s="268"/>
      <c r="D12" s="501"/>
      <c r="E12" s="265"/>
    </row>
    <row r="13" spans="1:5" ht="12.75">
      <c r="A13" s="74" t="s">
        <v>753</v>
      </c>
      <c r="B13" s="142">
        <v>899</v>
      </c>
      <c r="C13" s="142">
        <v>266</v>
      </c>
      <c r="D13" s="500">
        <v>29.588431590656285</v>
      </c>
      <c r="E13" s="267">
        <v>266</v>
      </c>
    </row>
    <row r="14" spans="1:5" ht="12.75">
      <c r="A14" s="77" t="s">
        <v>694</v>
      </c>
      <c r="B14" s="142">
        <v>757</v>
      </c>
      <c r="C14" s="142">
        <v>239</v>
      </c>
      <c r="D14" s="500">
        <v>31.571994715984147</v>
      </c>
      <c r="E14" s="267">
        <v>239</v>
      </c>
    </row>
    <row r="15" spans="1:5" ht="12.75">
      <c r="A15" s="77" t="s">
        <v>365</v>
      </c>
      <c r="B15" s="142">
        <v>640</v>
      </c>
      <c r="C15" s="142">
        <v>186</v>
      </c>
      <c r="D15" s="500">
        <v>29.0625</v>
      </c>
      <c r="E15" s="267">
        <v>186</v>
      </c>
    </row>
    <row r="16" spans="1:5" ht="12.75">
      <c r="A16" s="131" t="s">
        <v>366</v>
      </c>
      <c r="B16" s="268">
        <v>91</v>
      </c>
      <c r="C16" s="268">
        <v>23</v>
      </c>
      <c r="D16" s="501">
        <v>25.274725274725274</v>
      </c>
      <c r="E16" s="265">
        <v>23</v>
      </c>
    </row>
    <row r="17" spans="1:5" ht="25.5">
      <c r="A17" s="27" t="s">
        <v>754</v>
      </c>
      <c r="B17" s="256" t="s">
        <v>206</v>
      </c>
      <c r="C17" s="268">
        <v>5</v>
      </c>
      <c r="D17" s="501"/>
      <c r="E17" s="265">
        <v>5</v>
      </c>
    </row>
    <row r="18" spans="1:5" ht="12.75">
      <c r="A18" s="27" t="s">
        <v>368</v>
      </c>
      <c r="B18" s="268">
        <v>549</v>
      </c>
      <c r="C18" s="268">
        <v>158</v>
      </c>
      <c r="D18" s="501">
        <v>28.77959927140255</v>
      </c>
      <c r="E18" s="265">
        <v>158</v>
      </c>
    </row>
    <row r="19" spans="1:5" ht="12.75">
      <c r="A19" s="211" t="s">
        <v>755</v>
      </c>
      <c r="B19" s="271" t="s">
        <v>206</v>
      </c>
      <c r="C19" s="268">
        <v>144</v>
      </c>
      <c r="D19" s="501"/>
      <c r="E19" s="265">
        <v>144</v>
      </c>
    </row>
    <row r="20" spans="1:5" ht="12.75">
      <c r="A20" s="211" t="s">
        <v>756</v>
      </c>
      <c r="B20" s="271" t="s">
        <v>206</v>
      </c>
      <c r="C20" s="268">
        <v>14</v>
      </c>
      <c r="D20" s="501"/>
      <c r="E20" s="265">
        <v>14</v>
      </c>
    </row>
    <row r="21" spans="1:5" ht="12.75">
      <c r="A21" s="27" t="s">
        <v>757</v>
      </c>
      <c r="B21" s="256"/>
      <c r="C21" s="265"/>
      <c r="D21" s="501"/>
      <c r="E21" s="265"/>
    </row>
    <row r="22" spans="1:5" ht="12.75">
      <c r="A22" s="35" t="s">
        <v>369</v>
      </c>
      <c r="B22" s="256"/>
      <c r="C22" s="142"/>
      <c r="D22" s="501"/>
      <c r="E22" s="265"/>
    </row>
    <row r="23" spans="1:5" ht="25.5">
      <c r="A23" s="27" t="s">
        <v>758</v>
      </c>
      <c r="B23" s="256"/>
      <c r="C23" s="265"/>
      <c r="D23" s="501"/>
      <c r="E23" s="265"/>
    </row>
    <row r="24" spans="1:5" ht="25.5">
      <c r="A24" s="27" t="s">
        <v>759</v>
      </c>
      <c r="B24" s="256"/>
      <c r="C24" s="265"/>
      <c r="D24" s="501"/>
      <c r="E24" s="265"/>
    </row>
    <row r="25" spans="1:5" ht="12.75">
      <c r="A25" s="12" t="s">
        <v>373</v>
      </c>
      <c r="B25" s="142">
        <v>117</v>
      </c>
      <c r="C25" s="142">
        <v>53</v>
      </c>
      <c r="D25" s="500">
        <v>45.2991452991453</v>
      </c>
      <c r="E25" s="267">
        <v>53</v>
      </c>
    </row>
    <row r="26" spans="1:5" ht="12.75">
      <c r="A26" s="131" t="s">
        <v>374</v>
      </c>
      <c r="B26" s="268">
        <v>2</v>
      </c>
      <c r="C26" s="268">
        <v>0</v>
      </c>
      <c r="D26" s="501">
        <v>0</v>
      </c>
      <c r="E26" s="268">
        <v>0</v>
      </c>
    </row>
    <row r="27" spans="1:5" ht="12.75">
      <c r="A27" s="131" t="s">
        <v>375</v>
      </c>
      <c r="B27" s="256"/>
      <c r="C27" s="268"/>
      <c r="D27" s="501"/>
      <c r="E27" s="268"/>
    </row>
    <row r="28" spans="1:5" ht="12.75">
      <c r="A28" s="27" t="s">
        <v>376</v>
      </c>
      <c r="B28" s="256"/>
      <c r="C28" s="268"/>
      <c r="D28" s="501"/>
      <c r="E28" s="268"/>
    </row>
    <row r="29" spans="1:5" ht="12.75">
      <c r="A29" s="27" t="s">
        <v>760</v>
      </c>
      <c r="B29" s="268">
        <v>39</v>
      </c>
      <c r="C29" s="268">
        <v>7</v>
      </c>
      <c r="D29" s="501">
        <v>17.94871794871795</v>
      </c>
      <c r="E29" s="268">
        <v>7</v>
      </c>
    </row>
    <row r="30" spans="1:5" ht="12.75">
      <c r="A30" s="27" t="s">
        <v>379</v>
      </c>
      <c r="B30" s="268">
        <v>76</v>
      </c>
      <c r="C30" s="268">
        <v>46</v>
      </c>
      <c r="D30" s="501">
        <v>60.526315789473685</v>
      </c>
      <c r="E30" s="268">
        <v>46</v>
      </c>
    </row>
    <row r="31" spans="1:5" ht="12.75">
      <c r="A31" s="90" t="s">
        <v>761</v>
      </c>
      <c r="B31" s="142">
        <v>142</v>
      </c>
      <c r="C31" s="272">
        <v>27</v>
      </c>
      <c r="D31" s="500">
        <v>19.014084507042252</v>
      </c>
      <c r="E31" s="267">
        <v>27</v>
      </c>
    </row>
    <row r="32" spans="1:5" ht="12.75">
      <c r="A32" s="27" t="s">
        <v>762</v>
      </c>
      <c r="B32" s="268">
        <v>142</v>
      </c>
      <c r="C32" s="268">
        <v>27</v>
      </c>
      <c r="D32" s="501">
        <v>19.014084507042252</v>
      </c>
      <c r="E32" s="268">
        <v>27</v>
      </c>
    </row>
    <row r="33" spans="1:5" ht="12.75">
      <c r="A33" s="27" t="s">
        <v>763</v>
      </c>
      <c r="B33" s="268"/>
      <c r="C33" s="268"/>
      <c r="D33" s="501"/>
      <c r="E33" s="268"/>
    </row>
    <row r="34" spans="1:5" ht="12.75">
      <c r="A34" s="90" t="s">
        <v>764</v>
      </c>
      <c r="B34" s="256">
        <v>-151</v>
      </c>
      <c r="C34" s="268">
        <v>177</v>
      </c>
      <c r="D34" s="501">
        <v>-117.21854304635761</v>
      </c>
      <c r="E34" s="268">
        <v>177</v>
      </c>
    </row>
    <row r="35" spans="1:5" ht="12.75">
      <c r="A35" s="90" t="s">
        <v>404</v>
      </c>
      <c r="B35" s="256">
        <v>151</v>
      </c>
      <c r="C35" s="142"/>
      <c r="D35" s="501"/>
      <c r="E35" s="265"/>
    </row>
    <row r="36" spans="1:5" ht="25.5">
      <c r="A36" s="218" t="s">
        <v>765</v>
      </c>
      <c r="B36" s="256">
        <v>151</v>
      </c>
      <c r="C36" s="265"/>
      <c r="D36" s="501"/>
      <c r="E36" s="265"/>
    </row>
    <row r="37" spans="1:5" ht="12.75">
      <c r="A37" s="634"/>
      <c r="B37" s="634"/>
      <c r="C37" s="634"/>
      <c r="D37" s="634"/>
      <c r="E37" s="634"/>
    </row>
    <row r="38" spans="1:5" ht="12.75">
      <c r="A38" s="63" t="s">
        <v>432</v>
      </c>
      <c r="B38" s="62"/>
      <c r="C38" s="62"/>
      <c r="D38" s="62" t="s">
        <v>296</v>
      </c>
      <c r="E38" s="33"/>
    </row>
    <row r="39" spans="1:5" ht="12.75">
      <c r="A39" s="45"/>
      <c r="B39" s="274"/>
      <c r="C39" s="101"/>
      <c r="D39" s="220"/>
      <c r="E39" s="101"/>
    </row>
    <row r="40" spans="2:5" ht="12.75">
      <c r="B40" s="45"/>
      <c r="C40" s="108"/>
      <c r="D40" s="107"/>
      <c r="E40" s="101"/>
    </row>
    <row r="42" spans="2:5" ht="12.75">
      <c r="B42" s="60"/>
      <c r="C42" s="61"/>
      <c r="D42" s="276"/>
      <c r="E42" s="61"/>
    </row>
    <row r="43" spans="1:4" ht="12.75">
      <c r="A43" s="275" t="s">
        <v>297</v>
      </c>
      <c r="B43" s="64"/>
      <c r="D43" s="276"/>
    </row>
    <row r="44" spans="1:4" ht="12.75">
      <c r="A44" s="182" t="s">
        <v>562</v>
      </c>
      <c r="B44" s="64"/>
      <c r="D44" s="276"/>
    </row>
    <row r="45" spans="2:4" ht="12.75">
      <c r="B45" s="64"/>
      <c r="D45" s="276"/>
    </row>
    <row r="46" spans="2:4" ht="12.75">
      <c r="B46" s="64"/>
      <c r="D46" s="276"/>
    </row>
    <row r="47" ht="12.75">
      <c r="A47" s="33"/>
    </row>
    <row r="48" ht="12.75">
      <c r="A48" s="182"/>
    </row>
    <row r="49" spans="2:4" ht="12.75">
      <c r="B49" s="64"/>
      <c r="D49" s="276"/>
    </row>
  </sheetData>
  <mergeCells count="3">
    <mergeCell ref="A4:E4"/>
    <mergeCell ref="A5:E5"/>
    <mergeCell ref="A37:E37"/>
  </mergeCells>
  <printOptions/>
  <pageMargins left="0.75" right="0.75" top="1" bottom="1" header="0.5" footer="0.5"/>
  <pageSetup firstPageNumber="30" useFirstPageNumber="1" horizontalDpi="600" verticalDpi="6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0">
      <selection activeCell="D31" sqref="D31"/>
    </sheetView>
  </sheetViews>
  <sheetFormatPr defaultColWidth="9.140625" defaultRowHeight="17.25" customHeight="1"/>
  <cols>
    <col min="1" max="1" width="45.00390625" style="3" customWidth="1"/>
    <col min="2" max="2" width="9.57421875" style="3" customWidth="1"/>
    <col min="3" max="3" width="13.7109375" style="3" customWidth="1"/>
    <col min="4" max="4" width="12.140625" style="3" customWidth="1"/>
    <col min="5" max="5" width="10.421875" style="277" customWidth="1"/>
    <col min="6" max="6" width="10.421875" style="3" customWidth="1"/>
    <col min="7" max="16384" width="7.8515625" style="3" customWidth="1"/>
  </cols>
  <sheetData>
    <row r="1" ht="17.25" customHeight="1">
      <c r="F1" s="47" t="s">
        <v>766</v>
      </c>
    </row>
    <row r="2" spans="1:5" ht="19.5" customHeight="1">
      <c r="A2" s="635" t="s">
        <v>606</v>
      </c>
      <c r="B2" s="635"/>
      <c r="C2" s="635"/>
      <c r="D2" s="635"/>
      <c r="E2" s="635"/>
    </row>
    <row r="3" ht="14.25" customHeight="1"/>
    <row r="4" spans="1:5" ht="33.75" customHeight="1">
      <c r="A4" s="636" t="s">
        <v>767</v>
      </c>
      <c r="B4" s="636"/>
      <c r="C4" s="636"/>
      <c r="D4" s="636"/>
      <c r="E4" s="636"/>
    </row>
    <row r="5" spans="1:5" ht="16.5" customHeight="1">
      <c r="A5" s="637" t="s">
        <v>280</v>
      </c>
      <c r="B5" s="637"/>
      <c r="C5" s="637"/>
      <c r="D5" s="637"/>
      <c r="E5" s="637"/>
    </row>
    <row r="7" ht="17.25" customHeight="1">
      <c r="F7" s="63" t="s">
        <v>413</v>
      </c>
    </row>
    <row r="8" spans="1:6" s="33" customFormat="1" ht="46.5" customHeight="1">
      <c r="A8" s="52" t="s">
        <v>191</v>
      </c>
      <c r="B8" s="10" t="s">
        <v>414</v>
      </c>
      <c r="C8" s="10" t="s">
        <v>354</v>
      </c>
      <c r="D8" s="10" t="s">
        <v>193</v>
      </c>
      <c r="E8" s="278" t="s">
        <v>768</v>
      </c>
      <c r="F8" s="10" t="s">
        <v>613</v>
      </c>
    </row>
    <row r="9" spans="1:6" ht="17.25" customHeight="1">
      <c r="A9" s="52">
        <v>1</v>
      </c>
      <c r="B9" s="52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77" t="s">
        <v>416</v>
      </c>
      <c r="B10" s="122"/>
      <c r="C10" s="141">
        <v>899</v>
      </c>
      <c r="D10" s="141">
        <v>255</v>
      </c>
      <c r="E10" s="279">
        <v>28.364849833147943</v>
      </c>
      <c r="F10" s="163">
        <v>255</v>
      </c>
    </row>
    <row r="11" spans="1:6" ht="17.25" customHeight="1">
      <c r="A11" s="131" t="s">
        <v>417</v>
      </c>
      <c r="B11" s="162">
        <v>1</v>
      </c>
      <c r="C11" s="163">
        <v>53</v>
      </c>
      <c r="D11" s="163">
        <v>5</v>
      </c>
      <c r="E11" s="127">
        <v>9.433962264150944</v>
      </c>
      <c r="F11" s="163">
        <v>5</v>
      </c>
    </row>
    <row r="12" spans="1:6" ht="17.25" customHeight="1">
      <c r="A12" s="18" t="s">
        <v>418</v>
      </c>
      <c r="B12" s="162">
        <v>2</v>
      </c>
      <c r="C12" s="163">
        <v>17</v>
      </c>
      <c r="D12" s="163">
        <v>1</v>
      </c>
      <c r="E12" s="127">
        <v>5.88235294117647</v>
      </c>
      <c r="F12" s="163">
        <v>1</v>
      </c>
    </row>
    <row r="13" spans="1:6" ht="17.25" customHeight="1">
      <c r="A13" s="27" t="s">
        <v>419</v>
      </c>
      <c r="B13" s="162">
        <v>3</v>
      </c>
      <c r="C13" s="163">
        <v>102</v>
      </c>
      <c r="D13" s="163">
        <v>8</v>
      </c>
      <c r="E13" s="127">
        <v>7.8431372549019605</v>
      </c>
      <c r="F13" s="163">
        <v>8</v>
      </c>
    </row>
    <row r="14" spans="1:6" ht="17.25" customHeight="1">
      <c r="A14" s="18" t="s">
        <v>420</v>
      </c>
      <c r="B14" s="162">
        <v>4</v>
      </c>
      <c r="C14" s="163">
        <v>382</v>
      </c>
      <c r="D14" s="163">
        <v>119</v>
      </c>
      <c r="E14" s="127">
        <v>31.151832460732987</v>
      </c>
      <c r="F14" s="163">
        <v>119</v>
      </c>
    </row>
    <row r="15" spans="1:6" ht="17.25" customHeight="1">
      <c r="A15" s="18" t="s">
        <v>421</v>
      </c>
      <c r="B15" s="162">
        <v>5</v>
      </c>
      <c r="C15" s="163">
        <v>33</v>
      </c>
      <c r="D15" s="163">
        <v>21</v>
      </c>
      <c r="E15" s="127">
        <v>63.63636363636363</v>
      </c>
      <c r="F15" s="163">
        <v>21</v>
      </c>
    </row>
    <row r="16" spans="1:6" ht="17.25" customHeight="1">
      <c r="A16" s="27" t="s">
        <v>422</v>
      </c>
      <c r="B16" s="162">
        <v>6</v>
      </c>
      <c r="C16" s="163">
        <v>9</v>
      </c>
      <c r="D16" s="163">
        <v>2</v>
      </c>
      <c r="E16" s="127">
        <v>22.22222222222222</v>
      </c>
      <c r="F16" s="163">
        <v>2</v>
      </c>
    </row>
    <row r="17" spans="1:6" ht="17.25" customHeight="1">
      <c r="A17" s="27" t="s">
        <v>423</v>
      </c>
      <c r="B17" s="162">
        <v>7</v>
      </c>
      <c r="C17" s="163">
        <v>15</v>
      </c>
      <c r="D17" s="163"/>
      <c r="E17" s="127"/>
      <c r="F17" s="163"/>
    </row>
    <row r="18" spans="1:6" ht="17.25" customHeight="1">
      <c r="A18" s="18" t="s">
        <v>424</v>
      </c>
      <c r="B18" s="162">
        <v>8</v>
      </c>
      <c r="C18" s="163">
        <v>217</v>
      </c>
      <c r="D18" s="163">
        <v>47</v>
      </c>
      <c r="E18" s="127">
        <v>21.658986175115206</v>
      </c>
      <c r="F18" s="163">
        <v>47</v>
      </c>
    </row>
    <row r="19" spans="1:6" ht="17.25" customHeight="1">
      <c r="A19" s="27" t="s">
        <v>425</v>
      </c>
      <c r="B19" s="162">
        <v>9</v>
      </c>
      <c r="C19" s="18"/>
      <c r="D19" s="18"/>
      <c r="E19" s="127"/>
      <c r="F19" s="18"/>
    </row>
    <row r="20" spans="1:6" ht="25.5">
      <c r="A20" s="27" t="s">
        <v>426</v>
      </c>
      <c r="B20" s="162">
        <v>10</v>
      </c>
      <c r="C20" s="163">
        <v>14</v>
      </c>
      <c r="D20" s="163">
        <v>6</v>
      </c>
      <c r="E20" s="127">
        <v>42.857142857142854</v>
      </c>
      <c r="F20" s="163">
        <v>6</v>
      </c>
    </row>
    <row r="21" spans="1:6" ht="25.5">
      <c r="A21" s="27" t="s">
        <v>427</v>
      </c>
      <c r="B21" s="162">
        <v>11</v>
      </c>
      <c r="C21" s="163"/>
      <c r="D21" s="163"/>
      <c r="E21" s="127"/>
      <c r="F21" s="163"/>
    </row>
    <row r="22" spans="1:6" ht="17.25" customHeight="1">
      <c r="A22" s="18" t="s">
        <v>428</v>
      </c>
      <c r="B22" s="162">
        <v>12</v>
      </c>
      <c r="C22" s="163"/>
      <c r="D22" s="163"/>
      <c r="E22" s="127"/>
      <c r="F22" s="163"/>
    </row>
    <row r="23" spans="1:6" ht="17.25" customHeight="1">
      <c r="A23" s="18" t="s">
        <v>429</v>
      </c>
      <c r="B23" s="162">
        <v>13</v>
      </c>
      <c r="C23" s="163">
        <v>57</v>
      </c>
      <c r="D23" s="163">
        <v>46</v>
      </c>
      <c r="E23" s="127">
        <v>80.7017543859649</v>
      </c>
      <c r="F23" s="163">
        <v>46</v>
      </c>
    </row>
    <row r="24" spans="1:6" ht="25.5">
      <c r="A24" s="27" t="s">
        <v>769</v>
      </c>
      <c r="B24" s="162">
        <v>14</v>
      </c>
      <c r="C24" s="163"/>
      <c r="D24" s="163"/>
      <c r="E24" s="279"/>
      <c r="F24" s="163"/>
    </row>
    <row r="25" spans="2:4" ht="17.25" customHeight="1">
      <c r="B25" s="62"/>
      <c r="C25" s="65"/>
      <c r="D25" s="65"/>
    </row>
    <row r="26" spans="2:4" ht="17.25" customHeight="1">
      <c r="B26" s="62"/>
      <c r="C26" s="65"/>
      <c r="D26" s="65"/>
    </row>
    <row r="27" spans="2:4" ht="17.25" customHeight="1">
      <c r="B27" s="62"/>
      <c r="C27" s="65"/>
      <c r="D27" s="65"/>
    </row>
    <row r="28" spans="2:4" ht="17.25" customHeight="1">
      <c r="B28" s="62"/>
      <c r="C28" s="65"/>
      <c r="D28" s="65"/>
    </row>
    <row r="29" spans="1:5" ht="17.25" customHeight="1">
      <c r="A29" s="63" t="s">
        <v>65</v>
      </c>
      <c r="B29" s="62"/>
      <c r="C29" s="62"/>
      <c r="D29" s="62" t="s">
        <v>296</v>
      </c>
      <c r="E29" s="280"/>
    </row>
    <row r="30" spans="2:4" ht="17.25" customHeight="1">
      <c r="B30" s="62"/>
      <c r="C30" s="65"/>
      <c r="D30" s="65"/>
    </row>
    <row r="31" spans="2:4" ht="17.25" customHeight="1">
      <c r="B31" s="62"/>
      <c r="C31" s="65"/>
      <c r="D31" s="65"/>
    </row>
    <row r="32" spans="2:4" ht="17.25" customHeight="1">
      <c r="B32" s="62"/>
      <c r="D32" s="65"/>
    </row>
    <row r="33" spans="2:4" ht="17.25" customHeight="1">
      <c r="B33" s="62"/>
      <c r="C33" s="65"/>
      <c r="D33" s="65"/>
    </row>
    <row r="34" spans="2:4" ht="17.25" customHeight="1">
      <c r="B34" s="62"/>
      <c r="C34" s="65"/>
      <c r="D34" s="65"/>
    </row>
    <row r="35" ht="17.25" customHeight="1">
      <c r="D35" s="65"/>
    </row>
    <row r="36" spans="2:4" ht="17.25" customHeight="1">
      <c r="B36" s="62"/>
      <c r="C36" s="65"/>
      <c r="D36" s="65"/>
    </row>
    <row r="37" spans="3:4" ht="17.25" customHeight="1">
      <c r="C37" s="65"/>
      <c r="D37" s="65"/>
    </row>
    <row r="38" spans="3:4" ht="17.25" customHeight="1">
      <c r="C38" s="65"/>
      <c r="D38" s="65"/>
    </row>
    <row r="39" spans="3:4" ht="14.25" customHeight="1">
      <c r="C39" s="65"/>
      <c r="D39" s="65"/>
    </row>
    <row r="40" spans="1:4" ht="17.25" customHeight="1">
      <c r="A40" s="8"/>
      <c r="C40" s="65"/>
      <c r="D40" s="65"/>
    </row>
    <row r="41" spans="1:4" ht="17.25" customHeight="1">
      <c r="A41" s="8"/>
      <c r="C41" s="65"/>
      <c r="D41" s="65"/>
    </row>
    <row r="42" spans="3:4" ht="17.25" customHeight="1">
      <c r="C42" s="65"/>
      <c r="D42" s="65"/>
    </row>
    <row r="43" spans="3:4" ht="17.25" customHeight="1">
      <c r="C43" s="65"/>
      <c r="D43" s="65"/>
    </row>
    <row r="44" spans="3:4" ht="17.25" customHeight="1">
      <c r="C44" s="65"/>
      <c r="D44" s="65"/>
    </row>
    <row r="45" spans="3:4" ht="17.25" customHeight="1">
      <c r="C45" s="65"/>
      <c r="D45" s="65"/>
    </row>
    <row r="46" spans="2:4" ht="17.25" customHeight="1">
      <c r="B46" s="65"/>
      <c r="C46" s="65"/>
      <c r="D46" s="166"/>
    </row>
    <row r="47" spans="2:4" ht="17.25" customHeight="1">
      <c r="B47" s="65"/>
      <c r="C47" s="65"/>
      <c r="D47" s="166"/>
    </row>
    <row r="48" spans="2:4" ht="17.25" customHeight="1">
      <c r="B48" s="65"/>
      <c r="C48" s="65"/>
      <c r="D48" s="166"/>
    </row>
    <row r="49" spans="2:4" ht="17.25" customHeight="1">
      <c r="B49" s="65"/>
      <c r="C49" s="65"/>
      <c r="D49" s="166"/>
    </row>
    <row r="50" spans="2:4" ht="17.25" customHeight="1">
      <c r="B50" s="65"/>
      <c r="C50" s="65"/>
      <c r="D50" s="166"/>
    </row>
    <row r="51" spans="2:4" ht="17.25" customHeight="1">
      <c r="B51" s="65"/>
      <c r="C51" s="65"/>
      <c r="D51" s="166"/>
    </row>
    <row r="52" spans="2:4" ht="17.25" customHeight="1">
      <c r="B52" s="65"/>
      <c r="D52" s="166"/>
    </row>
    <row r="53" spans="2:4" ht="17.25" customHeight="1">
      <c r="B53" s="65"/>
      <c r="D53" s="166"/>
    </row>
    <row r="54" spans="2:4" ht="17.25" customHeight="1">
      <c r="B54" s="65"/>
      <c r="D54" s="166"/>
    </row>
    <row r="55" spans="2:4" ht="17.25" customHeight="1">
      <c r="B55" s="65"/>
      <c r="D55" s="166"/>
    </row>
    <row r="56" spans="2:4" ht="17.25" customHeight="1">
      <c r="B56" s="65"/>
      <c r="D56" s="166"/>
    </row>
    <row r="57" spans="2:4" ht="17.25" customHeight="1">
      <c r="B57" s="65"/>
      <c r="D57" s="166"/>
    </row>
    <row r="58" spans="2:4" ht="17.25" customHeight="1">
      <c r="B58" s="65"/>
      <c r="D58" s="166"/>
    </row>
    <row r="59" spans="2:4" ht="17.25" customHeight="1">
      <c r="B59" s="65"/>
      <c r="D59" s="166"/>
    </row>
    <row r="60" spans="2:4" ht="17.25" customHeight="1">
      <c r="B60" s="65"/>
      <c r="D60" s="166"/>
    </row>
    <row r="61" spans="2:4" ht="17.25" customHeight="1">
      <c r="B61" s="65"/>
      <c r="D61" s="166"/>
    </row>
    <row r="62" spans="2:4" ht="17.25" customHeight="1">
      <c r="B62" s="65"/>
      <c r="D62" s="166"/>
    </row>
    <row r="63" spans="2:4" ht="17.25" customHeight="1">
      <c r="B63" s="65"/>
      <c r="D63" s="166"/>
    </row>
    <row r="64" spans="2:4" ht="17.25" customHeight="1">
      <c r="B64" s="65"/>
      <c r="D64" s="166"/>
    </row>
    <row r="65" spans="2:4" ht="17.25" customHeight="1">
      <c r="B65" s="65"/>
      <c r="D65" s="166"/>
    </row>
    <row r="66" spans="2:4" ht="17.25" customHeight="1">
      <c r="B66" s="65"/>
      <c r="D66" s="166"/>
    </row>
    <row r="67" spans="2:4" ht="17.25" customHeight="1">
      <c r="B67" s="65"/>
      <c r="D67" s="166"/>
    </row>
    <row r="68" spans="2:4" ht="17.25" customHeight="1">
      <c r="B68" s="65"/>
      <c r="D68" s="166"/>
    </row>
    <row r="69" spans="2:4" ht="17.25" customHeight="1">
      <c r="B69" s="65"/>
      <c r="D69" s="166"/>
    </row>
    <row r="70" spans="2:4" ht="17.25" customHeight="1">
      <c r="B70" s="65"/>
      <c r="D70" s="166"/>
    </row>
    <row r="71" spans="2:4" ht="17.25" customHeight="1">
      <c r="B71" s="65"/>
      <c r="D71" s="166"/>
    </row>
    <row r="72" spans="2:4" ht="17.25" customHeight="1">
      <c r="B72" s="65"/>
      <c r="D72" s="166"/>
    </row>
    <row r="73" spans="2:4" ht="17.25" customHeight="1">
      <c r="B73" s="65"/>
      <c r="D73" s="166"/>
    </row>
    <row r="74" spans="2:4" ht="17.25" customHeight="1">
      <c r="B74" s="65"/>
      <c r="D74" s="166"/>
    </row>
    <row r="75" spans="2:4" ht="17.25" customHeight="1">
      <c r="B75" s="65"/>
      <c r="D75" s="166"/>
    </row>
    <row r="76" spans="2:4" ht="17.25" customHeight="1">
      <c r="B76" s="65"/>
      <c r="D76" s="166"/>
    </row>
    <row r="77" spans="2:4" ht="17.25" customHeight="1">
      <c r="B77" s="65"/>
      <c r="D77" s="166"/>
    </row>
    <row r="78" spans="2:4" ht="17.25" customHeight="1">
      <c r="B78" s="65"/>
      <c r="D78" s="166"/>
    </row>
    <row r="79" spans="2:4" ht="17.25" customHeight="1">
      <c r="B79" s="65"/>
      <c r="D79" s="166"/>
    </row>
    <row r="80" spans="2:4" ht="17.25" customHeight="1">
      <c r="B80" s="65"/>
      <c r="D80" s="166"/>
    </row>
    <row r="81" spans="2:4" ht="17.25" customHeight="1">
      <c r="B81" s="65"/>
      <c r="D81" s="166"/>
    </row>
    <row r="82" spans="2:4" ht="17.25" customHeight="1">
      <c r="B82" s="65"/>
      <c r="D82" s="166"/>
    </row>
    <row r="83" spans="2:4" ht="17.25" customHeight="1">
      <c r="B83" s="65"/>
      <c r="D83" s="166"/>
    </row>
    <row r="84" spans="2:4" ht="17.25" customHeight="1">
      <c r="B84" s="65"/>
      <c r="D84" s="166"/>
    </row>
    <row r="85" spans="2:4" ht="17.25" customHeight="1">
      <c r="B85" s="65"/>
      <c r="D85" s="166"/>
    </row>
    <row r="86" spans="2:4" ht="17.25" customHeight="1">
      <c r="B86" s="65"/>
      <c r="D86" s="166"/>
    </row>
    <row r="87" spans="2:4" ht="17.25" customHeight="1">
      <c r="B87" s="65"/>
      <c r="D87" s="166"/>
    </row>
    <row r="88" spans="2:4" ht="17.25" customHeight="1">
      <c r="B88" s="65"/>
      <c r="D88" s="166"/>
    </row>
    <row r="89" spans="2:4" ht="17.25" customHeight="1">
      <c r="B89" s="65"/>
      <c r="D89" s="166"/>
    </row>
    <row r="90" spans="2:4" ht="17.25" customHeight="1">
      <c r="B90" s="65"/>
      <c r="D90" s="166"/>
    </row>
    <row r="91" spans="2:4" ht="17.25" customHeight="1">
      <c r="B91" s="65"/>
      <c r="D91" s="166"/>
    </row>
    <row r="92" spans="2:4" ht="17.25" customHeight="1">
      <c r="B92" s="65"/>
      <c r="D92" s="166"/>
    </row>
    <row r="93" spans="2:4" ht="17.25" customHeight="1">
      <c r="B93" s="65"/>
      <c r="D93" s="166"/>
    </row>
    <row r="94" spans="2:4" ht="17.25" customHeight="1">
      <c r="B94" s="65"/>
      <c r="D94" s="166"/>
    </row>
    <row r="95" spans="2:4" ht="17.25" customHeight="1">
      <c r="B95" s="65"/>
      <c r="D95" s="166"/>
    </row>
    <row r="96" spans="2:4" ht="17.25" customHeight="1">
      <c r="B96" s="65"/>
      <c r="D96" s="166"/>
    </row>
    <row r="97" spans="2:4" ht="17.25" customHeight="1">
      <c r="B97" s="65"/>
      <c r="D97" s="166"/>
    </row>
    <row r="98" spans="2:4" ht="17.25" customHeight="1">
      <c r="B98" s="65"/>
      <c r="D98" s="166"/>
    </row>
    <row r="99" ht="17.25" customHeight="1">
      <c r="B99" s="65"/>
    </row>
    <row r="100" ht="17.25" customHeight="1">
      <c r="B100" s="65"/>
    </row>
    <row r="101" ht="17.25" customHeight="1">
      <c r="B101" s="65"/>
    </row>
    <row r="102" ht="17.25" customHeight="1">
      <c r="B102" s="65"/>
    </row>
    <row r="103" ht="17.25" customHeight="1">
      <c r="B103" s="65"/>
    </row>
    <row r="104" ht="17.25" customHeight="1">
      <c r="B104" s="65"/>
    </row>
    <row r="105" ht="17.25" customHeight="1">
      <c r="B105" s="65"/>
    </row>
    <row r="106" ht="17.25" customHeight="1">
      <c r="B106" s="65"/>
    </row>
    <row r="107" ht="17.25" customHeight="1">
      <c r="B107" s="65"/>
    </row>
  </sheetData>
  <mergeCells count="3">
    <mergeCell ref="A2:E2"/>
    <mergeCell ref="A4:E4"/>
    <mergeCell ref="A5:E5"/>
  </mergeCells>
  <printOptions/>
  <pageMargins left="0.75" right="0.29" top="1" bottom="1" header="0.5" footer="0.5"/>
  <pageSetup firstPageNumber="31" useFirstPageNumber="1" horizontalDpi="600" verticalDpi="600" orientation="portrait" paperSize="9" scale="91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67"/>
  <sheetViews>
    <sheetView workbookViewId="0" topLeftCell="A1">
      <selection activeCell="E137" sqref="E137"/>
    </sheetView>
  </sheetViews>
  <sheetFormatPr defaultColWidth="9.140625" defaultRowHeight="12.75"/>
  <cols>
    <col min="1" max="1" width="33.57421875" style="3" customWidth="1"/>
    <col min="2" max="2" width="10.8515625" style="3" customWidth="1"/>
    <col min="3" max="3" width="7.7109375" style="3" customWidth="1"/>
    <col min="4" max="4" width="8.140625" style="3" customWidth="1"/>
    <col min="5" max="5" width="8.7109375" style="3" customWidth="1"/>
    <col min="6" max="6" width="9.57421875" style="3" customWidth="1"/>
    <col min="7" max="7" width="8.57421875" style="3" customWidth="1"/>
    <col min="8" max="8" width="33.57421875" style="43" customWidth="1"/>
    <col min="9" max="9" width="10.8515625" style="43" customWidth="1"/>
    <col min="10" max="10" width="7.7109375" style="43" customWidth="1"/>
    <col min="11" max="11" width="8.140625" style="43" customWidth="1"/>
    <col min="12" max="12" width="8.7109375" style="43" customWidth="1"/>
    <col min="13" max="13" width="9.57421875" style="43" customWidth="1"/>
    <col min="14" max="14" width="8.57421875" style="43" customWidth="1"/>
    <col min="15" max="15" width="33.57421875" style="43" customWidth="1"/>
    <col min="16" max="16" width="10.8515625" style="43" customWidth="1"/>
    <col min="17" max="17" width="7.7109375" style="43" customWidth="1"/>
    <col min="18" max="18" width="8.140625" style="43" customWidth="1"/>
    <col min="19" max="19" width="8.7109375" style="43" customWidth="1"/>
    <col min="20" max="20" width="9.57421875" style="43" customWidth="1"/>
    <col min="21" max="21" width="8.57421875" style="43" customWidth="1"/>
    <col min="22" max="22" width="33.57421875" style="43" customWidth="1"/>
    <col min="23" max="23" width="10.8515625" style="43" customWidth="1"/>
    <col min="24" max="24" width="7.7109375" style="43" customWidth="1"/>
    <col min="25" max="25" width="8.140625" style="43" customWidth="1"/>
    <col min="26" max="26" width="8.7109375" style="43" customWidth="1"/>
    <col min="27" max="27" width="9.57421875" style="43" customWidth="1"/>
    <col min="28" max="28" width="8.57421875" style="43" customWidth="1"/>
    <col min="29" max="29" width="33.57421875" style="43" customWidth="1"/>
    <col min="30" max="30" width="10.8515625" style="43" customWidth="1"/>
    <col min="31" max="31" width="7.7109375" style="43" customWidth="1"/>
    <col min="32" max="32" width="8.140625" style="43" customWidth="1"/>
    <col min="33" max="33" width="8.7109375" style="43" customWidth="1"/>
    <col min="34" max="34" width="9.57421875" style="43" customWidth="1"/>
    <col min="35" max="35" width="8.57421875" style="43" customWidth="1"/>
    <col min="36" max="36" width="33.57421875" style="43" customWidth="1"/>
    <col min="37" max="37" width="10.8515625" style="43" customWidth="1"/>
    <col min="38" max="38" width="7.7109375" style="43" customWidth="1"/>
    <col min="39" max="39" width="8.140625" style="43" customWidth="1"/>
    <col min="40" max="40" width="8.7109375" style="43" customWidth="1"/>
    <col min="41" max="41" width="9.57421875" style="43" customWidth="1"/>
    <col min="42" max="42" width="8.57421875" style="43" customWidth="1"/>
    <col min="43" max="43" width="33.57421875" style="43" customWidth="1"/>
    <col min="44" max="44" width="10.8515625" style="43" customWidth="1"/>
    <col min="45" max="45" width="7.7109375" style="43" customWidth="1"/>
    <col min="46" max="46" width="8.140625" style="43" customWidth="1"/>
    <col min="47" max="47" width="8.7109375" style="43" customWidth="1"/>
    <col min="48" max="48" width="9.57421875" style="43" customWidth="1"/>
    <col min="49" max="49" width="8.57421875" style="43" customWidth="1"/>
    <col min="50" max="50" width="33.57421875" style="43" customWidth="1"/>
    <col min="51" max="51" width="10.8515625" style="43" customWidth="1"/>
    <col min="52" max="52" width="7.7109375" style="43" customWidth="1"/>
    <col min="53" max="53" width="8.140625" style="43" customWidth="1"/>
    <col min="54" max="54" width="8.7109375" style="43" customWidth="1"/>
    <col min="55" max="55" width="9.57421875" style="43" customWidth="1"/>
    <col min="56" max="56" width="8.57421875" style="43" customWidth="1"/>
    <col min="57" max="57" width="33.57421875" style="43" customWidth="1"/>
    <col min="58" max="58" width="10.8515625" style="43" customWidth="1"/>
    <col min="59" max="59" width="7.7109375" style="43" customWidth="1"/>
    <col min="60" max="60" width="8.140625" style="43" customWidth="1"/>
    <col min="61" max="61" width="8.7109375" style="43" customWidth="1"/>
    <col min="62" max="62" width="9.57421875" style="43" customWidth="1"/>
    <col min="63" max="63" width="8.57421875" style="43" customWidth="1"/>
    <col min="64" max="64" width="33.57421875" style="43" customWidth="1"/>
    <col min="65" max="65" width="10.8515625" style="43" customWidth="1"/>
    <col min="66" max="66" width="7.7109375" style="43" customWidth="1"/>
    <col min="67" max="67" width="8.140625" style="43" customWidth="1"/>
    <col min="68" max="68" width="8.7109375" style="43" customWidth="1"/>
    <col min="69" max="69" width="9.57421875" style="43" customWidth="1"/>
    <col min="70" max="70" width="8.57421875" style="43" customWidth="1"/>
    <col min="71" max="71" width="33.57421875" style="43" customWidth="1"/>
    <col min="72" max="72" width="10.8515625" style="43" customWidth="1"/>
    <col min="73" max="73" width="7.7109375" style="43" customWidth="1"/>
    <col min="74" max="74" width="8.140625" style="43" customWidth="1"/>
    <col min="75" max="75" width="8.7109375" style="43" customWidth="1"/>
    <col min="76" max="76" width="9.57421875" style="43" customWidth="1"/>
    <col min="77" max="77" width="8.57421875" style="43" customWidth="1"/>
    <col min="78" max="78" width="33.57421875" style="43" customWidth="1"/>
    <col min="79" max="79" width="10.8515625" style="43" customWidth="1"/>
    <col min="80" max="80" width="7.7109375" style="43" customWidth="1"/>
    <col min="81" max="81" width="8.140625" style="43" customWidth="1"/>
    <col min="82" max="82" width="8.7109375" style="43" customWidth="1"/>
    <col min="83" max="83" width="9.57421875" style="43" customWidth="1"/>
    <col min="84" max="84" width="8.57421875" style="43" customWidth="1"/>
    <col min="85" max="85" width="33.57421875" style="43" customWidth="1"/>
    <col min="86" max="86" width="10.8515625" style="43" customWidth="1"/>
    <col min="87" max="87" width="7.7109375" style="43" customWidth="1"/>
    <col min="88" max="88" width="8.140625" style="43" customWidth="1"/>
    <col min="89" max="89" width="8.7109375" style="43" customWidth="1"/>
    <col min="90" max="90" width="9.57421875" style="43" customWidth="1"/>
    <col min="91" max="91" width="8.57421875" style="43" customWidth="1"/>
    <col min="92" max="92" width="33.57421875" style="43" customWidth="1"/>
    <col min="93" max="93" width="10.8515625" style="43" customWidth="1"/>
    <col min="94" max="94" width="7.7109375" style="43" customWidth="1"/>
    <col min="95" max="95" width="8.140625" style="43" customWidth="1"/>
    <col min="96" max="96" width="8.7109375" style="43" customWidth="1"/>
    <col min="97" max="97" width="9.57421875" style="43" customWidth="1"/>
    <col min="98" max="98" width="8.57421875" style="43" customWidth="1"/>
    <col min="99" max="99" width="33.57421875" style="43" customWidth="1"/>
    <col min="100" max="100" width="10.8515625" style="43" customWidth="1"/>
    <col min="101" max="101" width="7.7109375" style="43" customWidth="1"/>
    <col min="102" max="102" width="8.140625" style="43" customWidth="1"/>
    <col min="103" max="103" width="8.7109375" style="43" customWidth="1"/>
    <col min="104" max="104" width="9.57421875" style="43" customWidth="1"/>
    <col min="105" max="105" width="8.57421875" style="43" customWidth="1"/>
    <col min="106" max="106" width="33.57421875" style="43" customWidth="1"/>
    <col min="107" max="107" width="10.8515625" style="43" customWidth="1"/>
    <col min="108" max="108" width="7.7109375" style="43" customWidth="1"/>
    <col min="109" max="109" width="8.140625" style="43" customWidth="1"/>
    <col min="110" max="110" width="8.7109375" style="43" customWidth="1"/>
    <col min="111" max="111" width="9.57421875" style="43" customWidth="1"/>
    <col min="112" max="112" width="8.57421875" style="43" customWidth="1"/>
    <col min="113" max="113" width="33.57421875" style="43" customWidth="1"/>
    <col min="114" max="114" width="10.8515625" style="43" customWidth="1"/>
    <col min="115" max="115" width="7.7109375" style="43" customWidth="1"/>
    <col min="116" max="116" width="8.140625" style="43" customWidth="1"/>
    <col min="117" max="117" width="8.7109375" style="43" customWidth="1"/>
    <col min="118" max="118" width="9.57421875" style="43" customWidth="1"/>
    <col min="119" max="119" width="8.57421875" style="43" customWidth="1"/>
    <col min="120" max="120" width="33.57421875" style="43" customWidth="1"/>
    <col min="121" max="121" width="10.8515625" style="43" customWidth="1"/>
    <col min="122" max="122" width="7.7109375" style="43" customWidth="1"/>
    <col min="123" max="123" width="8.140625" style="43" customWidth="1"/>
    <col min="124" max="124" width="8.7109375" style="43" customWidth="1"/>
    <col min="125" max="125" width="9.57421875" style="43" customWidth="1"/>
    <col min="126" max="126" width="8.57421875" style="43" customWidth="1"/>
    <col min="127" max="127" width="33.57421875" style="43" customWidth="1"/>
    <col min="128" max="128" width="10.8515625" style="43" customWidth="1"/>
    <col min="129" max="129" width="7.7109375" style="43" customWidth="1"/>
    <col min="130" max="130" width="8.140625" style="43" customWidth="1"/>
    <col min="131" max="131" width="8.7109375" style="43" customWidth="1"/>
    <col min="132" max="132" width="9.57421875" style="43" customWidth="1"/>
    <col min="133" max="133" width="8.57421875" style="43" customWidth="1"/>
    <col min="134" max="134" width="33.57421875" style="43" customWidth="1"/>
    <col min="135" max="135" width="10.8515625" style="43" customWidth="1"/>
    <col min="136" max="136" width="7.7109375" style="43" customWidth="1"/>
    <col min="137" max="137" width="8.140625" style="43" customWidth="1"/>
    <col min="138" max="138" width="8.7109375" style="43" customWidth="1"/>
    <col min="139" max="139" width="9.57421875" style="43" customWidth="1"/>
    <col min="140" max="140" width="8.57421875" style="43" customWidth="1"/>
    <col min="141" max="141" width="33.57421875" style="43" customWidth="1"/>
    <col min="142" max="142" width="10.8515625" style="43" customWidth="1"/>
    <col min="143" max="143" width="7.7109375" style="43" customWidth="1"/>
    <col min="144" max="144" width="8.140625" style="43" customWidth="1"/>
    <col min="145" max="145" width="8.7109375" style="43" customWidth="1"/>
    <col min="146" max="146" width="9.57421875" style="43" customWidth="1"/>
    <col min="147" max="147" width="8.57421875" style="43" customWidth="1"/>
    <col min="148" max="148" width="33.57421875" style="43" customWidth="1"/>
    <col min="149" max="149" width="10.8515625" style="43" customWidth="1"/>
    <col min="150" max="150" width="7.7109375" style="43" customWidth="1"/>
    <col min="151" max="151" width="8.140625" style="43" customWidth="1"/>
    <col min="152" max="152" width="8.7109375" style="43" customWidth="1"/>
    <col min="153" max="153" width="9.57421875" style="43" customWidth="1"/>
    <col min="154" max="154" width="8.57421875" style="43" customWidth="1"/>
    <col min="155" max="155" width="33.57421875" style="43" customWidth="1"/>
    <col min="156" max="156" width="10.8515625" style="43" customWidth="1"/>
    <col min="157" max="157" width="7.7109375" style="43" customWidth="1"/>
    <col min="158" max="158" width="8.140625" style="43" customWidth="1"/>
    <col min="159" max="159" width="8.7109375" style="43" customWidth="1"/>
    <col min="160" max="160" width="9.57421875" style="43" customWidth="1"/>
    <col min="161" max="161" width="8.57421875" style="43" customWidth="1"/>
    <col min="162" max="162" width="33.57421875" style="43" customWidth="1"/>
    <col min="163" max="163" width="10.8515625" style="43" customWidth="1"/>
    <col min="164" max="164" width="7.7109375" style="43" customWidth="1"/>
    <col min="165" max="165" width="8.140625" style="43" customWidth="1"/>
    <col min="166" max="166" width="8.7109375" style="43" customWidth="1"/>
    <col min="167" max="167" width="9.57421875" style="43" customWidth="1"/>
    <col min="168" max="168" width="8.57421875" style="43" customWidth="1"/>
    <col min="169" max="169" width="33.57421875" style="43" customWidth="1"/>
    <col min="170" max="170" width="10.8515625" style="43" customWidth="1"/>
    <col min="171" max="171" width="7.7109375" style="43" customWidth="1"/>
    <col min="172" max="172" width="8.140625" style="43" customWidth="1"/>
    <col min="173" max="173" width="8.7109375" style="43" customWidth="1"/>
    <col min="174" max="174" width="9.57421875" style="43" customWidth="1"/>
    <col min="175" max="175" width="8.57421875" style="43" customWidth="1"/>
    <col min="176" max="176" width="33.57421875" style="43" customWidth="1"/>
    <col min="177" max="177" width="10.8515625" style="43" customWidth="1"/>
    <col min="178" max="178" width="7.7109375" style="43" customWidth="1"/>
    <col min="179" max="179" width="8.140625" style="43" customWidth="1"/>
    <col min="180" max="180" width="8.7109375" style="43" customWidth="1"/>
    <col min="181" max="181" width="9.57421875" style="43" customWidth="1"/>
    <col min="182" max="182" width="8.57421875" style="43" customWidth="1"/>
    <col min="183" max="183" width="33.57421875" style="43" customWidth="1"/>
    <col min="184" max="184" width="10.8515625" style="43" customWidth="1"/>
    <col min="185" max="185" width="7.7109375" style="43" customWidth="1"/>
    <col min="186" max="186" width="8.140625" style="43" customWidth="1"/>
    <col min="187" max="187" width="8.7109375" style="43" customWidth="1"/>
    <col min="188" max="188" width="9.57421875" style="43" customWidth="1"/>
    <col min="189" max="189" width="8.57421875" style="43" customWidth="1"/>
    <col min="190" max="190" width="33.57421875" style="43" customWidth="1"/>
    <col min="191" max="191" width="10.8515625" style="43" customWidth="1"/>
    <col min="192" max="192" width="7.7109375" style="43" customWidth="1"/>
    <col min="193" max="193" width="8.140625" style="43" customWidth="1"/>
    <col min="194" max="194" width="8.7109375" style="43" customWidth="1"/>
    <col min="195" max="195" width="9.57421875" style="43" customWidth="1"/>
    <col min="196" max="196" width="8.57421875" style="43" customWidth="1"/>
    <col min="197" max="197" width="33.57421875" style="43" customWidth="1"/>
    <col min="198" max="198" width="10.8515625" style="43" customWidth="1"/>
    <col min="199" max="199" width="7.7109375" style="43" customWidth="1"/>
    <col min="200" max="200" width="8.140625" style="43" customWidth="1"/>
    <col min="201" max="201" width="8.7109375" style="43" customWidth="1"/>
    <col min="202" max="202" width="9.57421875" style="43" customWidth="1"/>
    <col min="203" max="203" width="8.57421875" style="43" customWidth="1"/>
    <col min="204" max="204" width="33.57421875" style="43" customWidth="1"/>
    <col min="205" max="205" width="10.8515625" style="43" customWidth="1"/>
    <col min="206" max="206" width="7.7109375" style="43" customWidth="1"/>
    <col min="207" max="207" width="8.140625" style="43" customWidth="1"/>
    <col min="208" max="208" width="8.7109375" style="43" customWidth="1"/>
    <col min="209" max="209" width="9.57421875" style="43" customWidth="1"/>
    <col min="210" max="210" width="8.57421875" style="43" customWidth="1"/>
    <col min="211" max="211" width="33.57421875" style="43" customWidth="1"/>
    <col min="212" max="212" width="10.8515625" style="43" customWidth="1"/>
    <col min="213" max="213" width="7.7109375" style="43" customWidth="1"/>
    <col min="214" max="214" width="8.140625" style="43" customWidth="1"/>
    <col min="215" max="215" width="8.7109375" style="43" customWidth="1"/>
    <col min="216" max="216" width="9.57421875" style="43" customWidth="1"/>
    <col min="217" max="217" width="8.57421875" style="43" customWidth="1"/>
    <col min="218" max="218" width="33.57421875" style="43" customWidth="1"/>
    <col min="219" max="219" width="10.8515625" style="43" customWidth="1"/>
    <col min="220" max="220" width="7.7109375" style="43" customWidth="1"/>
    <col min="221" max="221" width="8.140625" style="43" customWidth="1"/>
    <col min="222" max="222" width="8.7109375" style="43" customWidth="1"/>
    <col min="223" max="223" width="9.57421875" style="43" customWidth="1"/>
    <col min="224" max="224" width="8.57421875" style="43" customWidth="1"/>
    <col min="225" max="225" width="33.57421875" style="43" customWidth="1"/>
    <col min="226" max="226" width="10.8515625" style="43" customWidth="1"/>
    <col min="227" max="227" width="7.7109375" style="43" customWidth="1"/>
    <col min="228" max="228" width="8.140625" style="43" customWidth="1"/>
    <col min="229" max="229" width="8.7109375" style="43" customWidth="1"/>
    <col min="230" max="230" width="9.57421875" style="43" customWidth="1"/>
    <col min="231" max="231" width="8.57421875" style="43" customWidth="1"/>
    <col min="232" max="232" width="33.57421875" style="43" customWidth="1"/>
    <col min="233" max="233" width="10.8515625" style="43" customWidth="1"/>
    <col min="234" max="234" width="7.7109375" style="43" customWidth="1"/>
    <col min="235" max="235" width="8.140625" style="43" customWidth="1"/>
    <col min="236" max="236" width="8.7109375" style="43" customWidth="1"/>
    <col min="237" max="237" width="9.57421875" style="43" customWidth="1"/>
    <col min="238" max="238" width="8.57421875" style="43" customWidth="1"/>
    <col min="239" max="239" width="33.57421875" style="43" customWidth="1"/>
    <col min="240" max="240" width="10.8515625" style="43" customWidth="1"/>
    <col min="241" max="241" width="7.7109375" style="43" customWidth="1"/>
    <col min="242" max="242" width="8.140625" style="43" customWidth="1"/>
    <col min="243" max="243" width="8.7109375" style="43" customWidth="1"/>
    <col min="244" max="244" width="9.57421875" style="43" customWidth="1"/>
    <col min="245" max="245" width="8.57421875" style="43" customWidth="1"/>
    <col min="246" max="246" width="33.57421875" style="43" customWidth="1"/>
    <col min="247" max="247" width="10.8515625" style="43" customWidth="1"/>
    <col min="248" max="248" width="7.7109375" style="43" customWidth="1"/>
    <col min="249" max="249" width="8.140625" style="43" customWidth="1"/>
    <col min="250" max="250" width="8.7109375" style="43" customWidth="1"/>
    <col min="251" max="251" width="9.57421875" style="43" customWidth="1"/>
    <col min="252" max="252" width="8.57421875" style="43" customWidth="1"/>
    <col min="253" max="253" width="33.57421875" style="43" customWidth="1"/>
    <col min="254" max="254" width="10.8515625" style="43" customWidth="1"/>
    <col min="255" max="255" width="7.7109375" style="43" customWidth="1"/>
    <col min="256" max="16384" width="8.140625" style="43" customWidth="1"/>
  </cols>
  <sheetData>
    <row r="1" spans="1:256" ht="12.75">
      <c r="A1" s="5" t="s">
        <v>299</v>
      </c>
      <c r="B1" s="5"/>
      <c r="C1" s="105"/>
      <c r="D1" s="5"/>
      <c r="E1" s="5"/>
      <c r="F1" s="105"/>
      <c r="G1" s="33" t="s">
        <v>266</v>
      </c>
      <c r="H1" s="285"/>
      <c r="I1" s="285"/>
      <c r="J1" s="319"/>
      <c r="K1" s="285"/>
      <c r="L1" s="285"/>
      <c r="M1" s="319"/>
      <c r="N1" s="99"/>
      <c r="O1" s="285"/>
      <c r="P1" s="285"/>
      <c r="Q1" s="319"/>
      <c r="R1" s="285"/>
      <c r="S1" s="285"/>
      <c r="T1" s="319"/>
      <c r="U1" s="99"/>
      <c r="V1" s="285"/>
      <c r="W1" s="285"/>
      <c r="X1" s="319"/>
      <c r="Y1" s="285"/>
      <c r="Z1" s="285"/>
      <c r="AA1" s="319"/>
      <c r="AB1" s="99"/>
      <c r="AC1" s="285"/>
      <c r="AD1" s="285"/>
      <c r="AE1" s="319"/>
      <c r="AF1" s="285"/>
      <c r="AG1" s="285"/>
      <c r="AH1" s="319"/>
      <c r="AI1" s="99"/>
      <c r="AJ1" s="285"/>
      <c r="AK1" s="285"/>
      <c r="AL1" s="319"/>
      <c r="AM1" s="285"/>
      <c r="AN1" s="285"/>
      <c r="AO1" s="319"/>
      <c r="AP1" s="99"/>
      <c r="AQ1" s="285"/>
      <c r="AR1" s="285"/>
      <c r="AS1" s="319"/>
      <c r="AT1" s="285"/>
      <c r="AU1" s="285"/>
      <c r="AV1" s="319"/>
      <c r="AW1" s="99"/>
      <c r="AX1" s="285"/>
      <c r="AY1" s="285"/>
      <c r="AZ1" s="319"/>
      <c r="BA1" s="285"/>
      <c r="BB1" s="285"/>
      <c r="BC1" s="319"/>
      <c r="BD1" s="99"/>
      <c r="BE1" s="285"/>
      <c r="BF1" s="285"/>
      <c r="BG1" s="319"/>
      <c r="BH1" s="285"/>
      <c r="BI1" s="285"/>
      <c r="BJ1" s="319"/>
      <c r="BK1" s="99"/>
      <c r="BL1" s="285"/>
      <c r="BM1" s="285"/>
      <c r="BN1" s="319"/>
      <c r="BO1" s="285"/>
      <c r="BP1" s="285"/>
      <c r="BQ1" s="319"/>
      <c r="BR1" s="99"/>
      <c r="BS1" s="285"/>
      <c r="BT1" s="285"/>
      <c r="BU1" s="319"/>
      <c r="BV1" s="285"/>
      <c r="BW1" s="285"/>
      <c r="BX1" s="319"/>
      <c r="BY1" s="99"/>
      <c r="BZ1" s="285"/>
      <c r="CA1" s="285"/>
      <c r="CB1" s="319"/>
      <c r="CC1" s="285"/>
      <c r="CD1" s="285"/>
      <c r="CE1" s="319"/>
      <c r="CF1" s="99"/>
      <c r="CG1" s="285"/>
      <c r="CH1" s="285"/>
      <c r="CI1" s="319"/>
      <c r="CJ1" s="285"/>
      <c r="CK1" s="285"/>
      <c r="CL1" s="319"/>
      <c r="CM1" s="99"/>
      <c r="CN1" s="285"/>
      <c r="CO1" s="285"/>
      <c r="CP1" s="319"/>
      <c r="CQ1" s="285"/>
      <c r="CR1" s="285"/>
      <c r="CS1" s="319"/>
      <c r="CT1" s="99"/>
      <c r="CU1" s="285"/>
      <c r="CV1" s="285"/>
      <c r="CW1" s="319"/>
      <c r="CX1" s="285"/>
      <c r="CY1" s="285"/>
      <c r="CZ1" s="319"/>
      <c r="DA1" s="99"/>
      <c r="DB1" s="285"/>
      <c r="DC1" s="285"/>
      <c r="DD1" s="319"/>
      <c r="DE1" s="285"/>
      <c r="DF1" s="285"/>
      <c r="DG1" s="319"/>
      <c r="DH1" s="99"/>
      <c r="DI1" s="285"/>
      <c r="DJ1" s="285"/>
      <c r="DK1" s="319"/>
      <c r="DL1" s="285"/>
      <c r="DM1" s="285"/>
      <c r="DN1" s="319"/>
      <c r="DO1" s="99"/>
      <c r="DP1" s="285"/>
      <c r="DQ1" s="285"/>
      <c r="DR1" s="319"/>
      <c r="DS1" s="285"/>
      <c r="DT1" s="285"/>
      <c r="DU1" s="319"/>
      <c r="DV1" s="99"/>
      <c r="DW1" s="285"/>
      <c r="DX1" s="285"/>
      <c r="DY1" s="319"/>
      <c r="DZ1" s="285"/>
      <c r="EA1" s="285"/>
      <c r="EB1" s="319"/>
      <c r="EC1" s="99"/>
      <c r="ED1" s="285"/>
      <c r="EE1" s="285"/>
      <c r="EF1" s="319"/>
      <c r="EG1" s="285"/>
      <c r="EH1" s="285"/>
      <c r="EI1" s="319"/>
      <c r="EJ1" s="99"/>
      <c r="EK1" s="285"/>
      <c r="EL1" s="285"/>
      <c r="EM1" s="319"/>
      <c r="EN1" s="285"/>
      <c r="EO1" s="285"/>
      <c r="EP1" s="319"/>
      <c r="EQ1" s="99"/>
      <c r="ER1" s="285"/>
      <c r="ES1" s="285"/>
      <c r="ET1" s="319"/>
      <c r="EU1" s="285"/>
      <c r="EV1" s="285"/>
      <c r="EW1" s="319"/>
      <c r="EX1" s="99"/>
      <c r="EY1" s="285"/>
      <c r="EZ1" s="285"/>
      <c r="FA1" s="319"/>
      <c r="FB1" s="285"/>
      <c r="FC1" s="285"/>
      <c r="FD1" s="319"/>
      <c r="FE1" s="99"/>
      <c r="FF1" s="285"/>
      <c r="FG1" s="285"/>
      <c r="FH1" s="319"/>
      <c r="FI1" s="285"/>
      <c r="FJ1" s="285"/>
      <c r="FK1" s="319"/>
      <c r="FL1" s="99"/>
      <c r="FM1" s="285"/>
      <c r="FN1" s="285"/>
      <c r="FO1" s="319"/>
      <c r="FP1" s="285"/>
      <c r="FQ1" s="285"/>
      <c r="FR1" s="319"/>
      <c r="FS1" s="99"/>
      <c r="FT1" s="285"/>
      <c r="FU1" s="285"/>
      <c r="FV1" s="319"/>
      <c r="FW1" s="285"/>
      <c r="FX1" s="285"/>
      <c r="FY1" s="319"/>
      <c r="FZ1" s="99"/>
      <c r="GA1" s="285"/>
      <c r="GB1" s="285"/>
      <c r="GC1" s="319"/>
      <c r="GD1" s="285"/>
      <c r="GE1" s="285"/>
      <c r="GF1" s="319"/>
      <c r="GG1" s="99"/>
      <c r="GH1" s="285"/>
      <c r="GI1" s="285"/>
      <c r="GJ1" s="319"/>
      <c r="GK1" s="285"/>
      <c r="GL1" s="285"/>
      <c r="GM1" s="319"/>
      <c r="GN1" s="99"/>
      <c r="GO1" s="285"/>
      <c r="GP1" s="285"/>
      <c r="GQ1" s="319"/>
      <c r="GR1" s="285"/>
      <c r="GS1" s="285"/>
      <c r="GT1" s="319"/>
      <c r="GU1" s="99"/>
      <c r="GV1" s="285"/>
      <c r="GW1" s="285"/>
      <c r="GX1" s="319"/>
      <c r="GY1" s="285"/>
      <c r="GZ1" s="285"/>
      <c r="HA1" s="319"/>
      <c r="HB1" s="99"/>
      <c r="HC1" s="285"/>
      <c r="HD1" s="285"/>
      <c r="HE1" s="319"/>
      <c r="HF1" s="285"/>
      <c r="HG1" s="285"/>
      <c r="HH1" s="319"/>
      <c r="HI1" s="99"/>
      <c r="HJ1" s="285"/>
      <c r="HK1" s="285"/>
      <c r="HL1" s="319"/>
      <c r="HM1" s="285"/>
      <c r="HN1" s="285"/>
      <c r="HO1" s="319"/>
      <c r="HP1" s="99"/>
      <c r="HQ1" s="285"/>
      <c r="HR1" s="285"/>
      <c r="HS1" s="319"/>
      <c r="HT1" s="285"/>
      <c r="HU1" s="285"/>
      <c r="HV1" s="319"/>
      <c r="HW1" s="99"/>
      <c r="HX1" s="285"/>
      <c r="HY1" s="285"/>
      <c r="HZ1" s="319"/>
      <c r="IA1" s="285"/>
      <c r="IB1" s="285"/>
      <c r="IC1" s="319"/>
      <c r="ID1" s="99"/>
      <c r="IE1" s="285"/>
      <c r="IF1" s="285"/>
      <c r="IG1" s="319"/>
      <c r="IH1" s="285"/>
      <c r="II1" s="285"/>
      <c r="IJ1" s="319"/>
      <c r="IK1" s="99"/>
      <c r="IL1" s="285"/>
      <c r="IM1" s="285"/>
      <c r="IN1" s="319"/>
      <c r="IO1" s="285"/>
      <c r="IP1" s="285"/>
      <c r="IQ1" s="319"/>
      <c r="IR1" s="99"/>
      <c r="IS1" s="285"/>
      <c r="IT1" s="285"/>
      <c r="IU1" s="319"/>
      <c r="IV1" s="285"/>
    </row>
    <row r="2" spans="1:256" ht="12.75">
      <c r="A2" s="5"/>
      <c r="B2" s="5"/>
      <c r="C2" s="105"/>
      <c r="D2" s="5"/>
      <c r="E2" s="5"/>
      <c r="F2" s="105"/>
      <c r="G2" s="33"/>
      <c r="H2" s="285"/>
      <c r="I2" s="285"/>
      <c r="J2" s="319"/>
      <c r="K2" s="285"/>
      <c r="L2" s="285"/>
      <c r="M2" s="319"/>
      <c r="N2" s="99"/>
      <c r="O2" s="285"/>
      <c r="P2" s="285"/>
      <c r="Q2" s="319"/>
      <c r="R2" s="285"/>
      <c r="S2" s="285"/>
      <c r="T2" s="319"/>
      <c r="U2" s="99"/>
      <c r="V2" s="285"/>
      <c r="W2" s="285"/>
      <c r="X2" s="319"/>
      <c r="Y2" s="285"/>
      <c r="Z2" s="285"/>
      <c r="AA2" s="319"/>
      <c r="AB2" s="99"/>
      <c r="AC2" s="285"/>
      <c r="AD2" s="285"/>
      <c r="AE2" s="319"/>
      <c r="AF2" s="285"/>
      <c r="AG2" s="285"/>
      <c r="AH2" s="319"/>
      <c r="AI2" s="99"/>
      <c r="AJ2" s="285"/>
      <c r="AK2" s="285"/>
      <c r="AL2" s="319"/>
      <c r="AM2" s="285"/>
      <c r="AN2" s="285"/>
      <c r="AO2" s="319"/>
      <c r="AP2" s="99"/>
      <c r="AQ2" s="285"/>
      <c r="AR2" s="285"/>
      <c r="AS2" s="319"/>
      <c r="AT2" s="285"/>
      <c r="AU2" s="285"/>
      <c r="AV2" s="319"/>
      <c r="AW2" s="99"/>
      <c r="AX2" s="285"/>
      <c r="AY2" s="285"/>
      <c r="AZ2" s="319"/>
      <c r="BA2" s="285"/>
      <c r="BB2" s="285"/>
      <c r="BC2" s="319"/>
      <c r="BD2" s="99"/>
      <c r="BE2" s="285"/>
      <c r="BF2" s="285"/>
      <c r="BG2" s="319"/>
      <c r="BH2" s="285"/>
      <c r="BI2" s="285"/>
      <c r="BJ2" s="319"/>
      <c r="BK2" s="99"/>
      <c r="BL2" s="285"/>
      <c r="BM2" s="285"/>
      <c r="BN2" s="319"/>
      <c r="BO2" s="285"/>
      <c r="BP2" s="285"/>
      <c r="BQ2" s="319"/>
      <c r="BR2" s="99"/>
      <c r="BS2" s="285"/>
      <c r="BT2" s="285"/>
      <c r="BU2" s="319"/>
      <c r="BV2" s="285"/>
      <c r="BW2" s="285"/>
      <c r="BX2" s="319"/>
      <c r="BY2" s="99"/>
      <c r="BZ2" s="285"/>
      <c r="CA2" s="285"/>
      <c r="CB2" s="319"/>
      <c r="CC2" s="285"/>
      <c r="CD2" s="285"/>
      <c r="CE2" s="319"/>
      <c r="CF2" s="99"/>
      <c r="CG2" s="285"/>
      <c r="CH2" s="285"/>
      <c r="CI2" s="319"/>
      <c r="CJ2" s="285"/>
      <c r="CK2" s="285"/>
      <c r="CL2" s="319"/>
      <c r="CM2" s="99"/>
      <c r="CN2" s="285"/>
      <c r="CO2" s="285"/>
      <c r="CP2" s="319"/>
      <c r="CQ2" s="285"/>
      <c r="CR2" s="285"/>
      <c r="CS2" s="319"/>
      <c r="CT2" s="99"/>
      <c r="CU2" s="285"/>
      <c r="CV2" s="285"/>
      <c r="CW2" s="319"/>
      <c r="CX2" s="285"/>
      <c r="CY2" s="285"/>
      <c r="CZ2" s="319"/>
      <c r="DA2" s="99"/>
      <c r="DB2" s="285"/>
      <c r="DC2" s="285"/>
      <c r="DD2" s="319"/>
      <c r="DE2" s="285"/>
      <c r="DF2" s="285"/>
      <c r="DG2" s="319"/>
      <c r="DH2" s="99"/>
      <c r="DI2" s="285"/>
      <c r="DJ2" s="285"/>
      <c r="DK2" s="319"/>
      <c r="DL2" s="285"/>
      <c r="DM2" s="285"/>
      <c r="DN2" s="319"/>
      <c r="DO2" s="99"/>
      <c r="DP2" s="285"/>
      <c r="DQ2" s="285"/>
      <c r="DR2" s="319"/>
      <c r="DS2" s="285"/>
      <c r="DT2" s="285"/>
      <c r="DU2" s="319"/>
      <c r="DV2" s="99"/>
      <c r="DW2" s="285"/>
      <c r="DX2" s="285"/>
      <c r="DY2" s="319"/>
      <c r="DZ2" s="285"/>
      <c r="EA2" s="285"/>
      <c r="EB2" s="319"/>
      <c r="EC2" s="99"/>
      <c r="ED2" s="285"/>
      <c r="EE2" s="285"/>
      <c r="EF2" s="319"/>
      <c r="EG2" s="285"/>
      <c r="EH2" s="285"/>
      <c r="EI2" s="319"/>
      <c r="EJ2" s="99"/>
      <c r="EK2" s="285"/>
      <c r="EL2" s="285"/>
      <c r="EM2" s="319"/>
      <c r="EN2" s="285"/>
      <c r="EO2" s="285"/>
      <c r="EP2" s="319"/>
      <c r="EQ2" s="99"/>
      <c r="ER2" s="285"/>
      <c r="ES2" s="285"/>
      <c r="ET2" s="319"/>
      <c r="EU2" s="285"/>
      <c r="EV2" s="285"/>
      <c r="EW2" s="319"/>
      <c r="EX2" s="99"/>
      <c r="EY2" s="285"/>
      <c r="EZ2" s="285"/>
      <c r="FA2" s="319"/>
      <c r="FB2" s="285"/>
      <c r="FC2" s="285"/>
      <c r="FD2" s="319"/>
      <c r="FE2" s="99"/>
      <c r="FF2" s="285"/>
      <c r="FG2" s="285"/>
      <c r="FH2" s="319"/>
      <c r="FI2" s="285"/>
      <c r="FJ2" s="285"/>
      <c r="FK2" s="319"/>
      <c r="FL2" s="99"/>
      <c r="FM2" s="285"/>
      <c r="FN2" s="285"/>
      <c r="FO2" s="319"/>
      <c r="FP2" s="285"/>
      <c r="FQ2" s="285"/>
      <c r="FR2" s="319"/>
      <c r="FS2" s="99"/>
      <c r="FT2" s="285"/>
      <c r="FU2" s="285"/>
      <c r="FV2" s="319"/>
      <c r="FW2" s="285"/>
      <c r="FX2" s="285"/>
      <c r="FY2" s="319"/>
      <c r="FZ2" s="99"/>
      <c r="GA2" s="285"/>
      <c r="GB2" s="285"/>
      <c r="GC2" s="319"/>
      <c r="GD2" s="285"/>
      <c r="GE2" s="285"/>
      <c r="GF2" s="319"/>
      <c r="GG2" s="99"/>
      <c r="GH2" s="285"/>
      <c r="GI2" s="285"/>
      <c r="GJ2" s="319"/>
      <c r="GK2" s="285"/>
      <c r="GL2" s="285"/>
      <c r="GM2" s="319"/>
      <c r="GN2" s="99"/>
      <c r="GO2" s="285"/>
      <c r="GP2" s="285"/>
      <c r="GQ2" s="319"/>
      <c r="GR2" s="285"/>
      <c r="GS2" s="285"/>
      <c r="GT2" s="319"/>
      <c r="GU2" s="99"/>
      <c r="GV2" s="285"/>
      <c r="GW2" s="285"/>
      <c r="GX2" s="319"/>
      <c r="GY2" s="285"/>
      <c r="GZ2" s="285"/>
      <c r="HA2" s="319"/>
      <c r="HB2" s="99"/>
      <c r="HC2" s="285"/>
      <c r="HD2" s="285"/>
      <c r="HE2" s="319"/>
      <c r="HF2" s="285"/>
      <c r="HG2" s="285"/>
      <c r="HH2" s="319"/>
      <c r="HI2" s="99"/>
      <c r="HJ2" s="285"/>
      <c r="HK2" s="285"/>
      <c r="HL2" s="319"/>
      <c r="HM2" s="285"/>
      <c r="HN2" s="285"/>
      <c r="HO2" s="319"/>
      <c r="HP2" s="99"/>
      <c r="HQ2" s="285"/>
      <c r="HR2" s="285"/>
      <c r="HS2" s="319"/>
      <c r="HT2" s="285"/>
      <c r="HU2" s="285"/>
      <c r="HV2" s="319"/>
      <c r="HW2" s="99"/>
      <c r="HX2" s="285"/>
      <c r="HY2" s="285"/>
      <c r="HZ2" s="319"/>
      <c r="IA2" s="285"/>
      <c r="IB2" s="285"/>
      <c r="IC2" s="319"/>
      <c r="ID2" s="99"/>
      <c r="IE2" s="285"/>
      <c r="IF2" s="285"/>
      <c r="IG2" s="319"/>
      <c r="IH2" s="285"/>
      <c r="II2" s="285"/>
      <c r="IJ2" s="319"/>
      <c r="IK2" s="99"/>
      <c r="IL2" s="285"/>
      <c r="IM2" s="285"/>
      <c r="IN2" s="319"/>
      <c r="IO2" s="285"/>
      <c r="IP2" s="285"/>
      <c r="IQ2" s="319"/>
      <c r="IR2" s="99"/>
      <c r="IS2" s="285"/>
      <c r="IT2" s="285"/>
      <c r="IU2" s="319"/>
      <c r="IV2" s="285"/>
    </row>
    <row r="3" spans="1:256" ht="15.75">
      <c r="A3" s="281" t="s">
        <v>267</v>
      </c>
      <c r="B3" s="105"/>
      <c r="C3" s="105"/>
      <c r="D3" s="105"/>
      <c r="E3" s="105"/>
      <c r="F3" s="105"/>
      <c r="G3" s="33"/>
      <c r="H3" s="550"/>
      <c r="I3" s="319"/>
      <c r="J3" s="319"/>
      <c r="K3" s="319"/>
      <c r="L3" s="319"/>
      <c r="M3" s="319"/>
      <c r="N3" s="99"/>
      <c r="O3" s="550"/>
      <c r="P3" s="319"/>
      <c r="Q3" s="319"/>
      <c r="R3" s="319"/>
      <c r="S3" s="319"/>
      <c r="T3" s="319"/>
      <c r="U3" s="99"/>
      <c r="V3" s="550"/>
      <c r="W3" s="319"/>
      <c r="X3" s="319"/>
      <c r="Y3" s="319"/>
      <c r="Z3" s="319"/>
      <c r="AA3" s="319"/>
      <c r="AB3" s="99"/>
      <c r="AC3" s="550"/>
      <c r="AD3" s="319"/>
      <c r="AE3" s="319"/>
      <c r="AF3" s="319"/>
      <c r="AG3" s="319"/>
      <c r="AH3" s="319"/>
      <c r="AI3" s="99"/>
      <c r="AJ3" s="550"/>
      <c r="AK3" s="319"/>
      <c r="AL3" s="319"/>
      <c r="AM3" s="319"/>
      <c r="AN3" s="319"/>
      <c r="AO3" s="319"/>
      <c r="AP3" s="99"/>
      <c r="AQ3" s="550"/>
      <c r="AR3" s="319"/>
      <c r="AS3" s="319"/>
      <c r="AT3" s="319"/>
      <c r="AU3" s="319"/>
      <c r="AV3" s="319"/>
      <c r="AW3" s="99"/>
      <c r="AX3" s="550"/>
      <c r="AY3" s="319"/>
      <c r="AZ3" s="319"/>
      <c r="BA3" s="319"/>
      <c r="BB3" s="319"/>
      <c r="BC3" s="319"/>
      <c r="BD3" s="99"/>
      <c r="BE3" s="550"/>
      <c r="BF3" s="319"/>
      <c r="BG3" s="319"/>
      <c r="BH3" s="319"/>
      <c r="BI3" s="319"/>
      <c r="BJ3" s="319"/>
      <c r="BK3" s="99"/>
      <c r="BL3" s="550"/>
      <c r="BM3" s="319"/>
      <c r="BN3" s="319"/>
      <c r="BO3" s="319"/>
      <c r="BP3" s="319"/>
      <c r="BQ3" s="319"/>
      <c r="BR3" s="99"/>
      <c r="BS3" s="550"/>
      <c r="BT3" s="319"/>
      <c r="BU3" s="319"/>
      <c r="BV3" s="319"/>
      <c r="BW3" s="319"/>
      <c r="BX3" s="319"/>
      <c r="BY3" s="99"/>
      <c r="BZ3" s="550"/>
      <c r="CA3" s="319"/>
      <c r="CB3" s="319"/>
      <c r="CC3" s="319"/>
      <c r="CD3" s="319"/>
      <c r="CE3" s="319"/>
      <c r="CF3" s="99"/>
      <c r="CG3" s="550"/>
      <c r="CH3" s="319"/>
      <c r="CI3" s="319"/>
      <c r="CJ3" s="319"/>
      <c r="CK3" s="319"/>
      <c r="CL3" s="319"/>
      <c r="CM3" s="99"/>
      <c r="CN3" s="550"/>
      <c r="CO3" s="319"/>
      <c r="CP3" s="319"/>
      <c r="CQ3" s="319"/>
      <c r="CR3" s="319"/>
      <c r="CS3" s="319"/>
      <c r="CT3" s="99"/>
      <c r="CU3" s="550"/>
      <c r="CV3" s="319"/>
      <c r="CW3" s="319"/>
      <c r="CX3" s="319"/>
      <c r="CY3" s="319"/>
      <c r="CZ3" s="319"/>
      <c r="DA3" s="99"/>
      <c r="DB3" s="550"/>
      <c r="DC3" s="319"/>
      <c r="DD3" s="319"/>
      <c r="DE3" s="319"/>
      <c r="DF3" s="319"/>
      <c r="DG3" s="319"/>
      <c r="DH3" s="99"/>
      <c r="DI3" s="550"/>
      <c r="DJ3" s="319"/>
      <c r="DK3" s="319"/>
      <c r="DL3" s="319"/>
      <c r="DM3" s="319"/>
      <c r="DN3" s="319"/>
      <c r="DO3" s="99"/>
      <c r="DP3" s="550"/>
      <c r="DQ3" s="319"/>
      <c r="DR3" s="319"/>
      <c r="DS3" s="319"/>
      <c r="DT3" s="319"/>
      <c r="DU3" s="319"/>
      <c r="DV3" s="99"/>
      <c r="DW3" s="550"/>
      <c r="DX3" s="319"/>
      <c r="DY3" s="319"/>
      <c r="DZ3" s="319"/>
      <c r="EA3" s="319"/>
      <c r="EB3" s="319"/>
      <c r="EC3" s="99"/>
      <c r="ED3" s="550"/>
      <c r="EE3" s="319"/>
      <c r="EF3" s="319"/>
      <c r="EG3" s="319"/>
      <c r="EH3" s="319"/>
      <c r="EI3" s="319"/>
      <c r="EJ3" s="99"/>
      <c r="EK3" s="550"/>
      <c r="EL3" s="319"/>
      <c r="EM3" s="319"/>
      <c r="EN3" s="319"/>
      <c r="EO3" s="319"/>
      <c r="EP3" s="319"/>
      <c r="EQ3" s="99"/>
      <c r="ER3" s="550"/>
      <c r="ES3" s="319"/>
      <c r="ET3" s="319"/>
      <c r="EU3" s="319"/>
      <c r="EV3" s="319"/>
      <c r="EW3" s="319"/>
      <c r="EX3" s="99"/>
      <c r="EY3" s="550"/>
      <c r="EZ3" s="319"/>
      <c r="FA3" s="319"/>
      <c r="FB3" s="319"/>
      <c r="FC3" s="319"/>
      <c r="FD3" s="319"/>
      <c r="FE3" s="99"/>
      <c r="FF3" s="550"/>
      <c r="FG3" s="319"/>
      <c r="FH3" s="319"/>
      <c r="FI3" s="319"/>
      <c r="FJ3" s="319"/>
      <c r="FK3" s="319"/>
      <c r="FL3" s="99"/>
      <c r="FM3" s="550"/>
      <c r="FN3" s="319"/>
      <c r="FO3" s="319"/>
      <c r="FP3" s="319"/>
      <c r="FQ3" s="319"/>
      <c r="FR3" s="319"/>
      <c r="FS3" s="99"/>
      <c r="FT3" s="550"/>
      <c r="FU3" s="319"/>
      <c r="FV3" s="319"/>
      <c r="FW3" s="319"/>
      <c r="FX3" s="319"/>
      <c r="FY3" s="319"/>
      <c r="FZ3" s="99"/>
      <c r="GA3" s="550"/>
      <c r="GB3" s="319"/>
      <c r="GC3" s="319"/>
      <c r="GD3" s="319"/>
      <c r="GE3" s="319"/>
      <c r="GF3" s="319"/>
      <c r="GG3" s="99"/>
      <c r="GH3" s="550"/>
      <c r="GI3" s="319"/>
      <c r="GJ3" s="319"/>
      <c r="GK3" s="319"/>
      <c r="GL3" s="319"/>
      <c r="GM3" s="319"/>
      <c r="GN3" s="99"/>
      <c r="GO3" s="550"/>
      <c r="GP3" s="319"/>
      <c r="GQ3" s="319"/>
      <c r="GR3" s="319"/>
      <c r="GS3" s="319"/>
      <c r="GT3" s="319"/>
      <c r="GU3" s="99"/>
      <c r="GV3" s="550"/>
      <c r="GW3" s="319"/>
      <c r="GX3" s="319"/>
      <c r="GY3" s="319"/>
      <c r="GZ3" s="319"/>
      <c r="HA3" s="319"/>
      <c r="HB3" s="99"/>
      <c r="HC3" s="550"/>
      <c r="HD3" s="319"/>
      <c r="HE3" s="319"/>
      <c r="HF3" s="319"/>
      <c r="HG3" s="319"/>
      <c r="HH3" s="319"/>
      <c r="HI3" s="99"/>
      <c r="HJ3" s="550"/>
      <c r="HK3" s="319"/>
      <c r="HL3" s="319"/>
      <c r="HM3" s="319"/>
      <c r="HN3" s="319"/>
      <c r="HO3" s="319"/>
      <c r="HP3" s="99"/>
      <c r="HQ3" s="550"/>
      <c r="HR3" s="319"/>
      <c r="HS3" s="319"/>
      <c r="HT3" s="319"/>
      <c r="HU3" s="319"/>
      <c r="HV3" s="319"/>
      <c r="HW3" s="99"/>
      <c r="HX3" s="550"/>
      <c r="HY3" s="319"/>
      <c r="HZ3" s="319"/>
      <c r="IA3" s="319"/>
      <c r="IB3" s="319"/>
      <c r="IC3" s="319"/>
      <c r="ID3" s="99"/>
      <c r="IE3" s="550"/>
      <c r="IF3" s="319"/>
      <c r="IG3" s="319"/>
      <c r="IH3" s="319"/>
      <c r="II3" s="319"/>
      <c r="IJ3" s="319"/>
      <c r="IK3" s="99"/>
      <c r="IL3" s="550"/>
      <c r="IM3" s="319"/>
      <c r="IN3" s="319"/>
      <c r="IO3" s="319"/>
      <c r="IP3" s="319"/>
      <c r="IQ3" s="319"/>
      <c r="IR3" s="99"/>
      <c r="IS3" s="550"/>
      <c r="IT3" s="319"/>
      <c r="IU3" s="319"/>
      <c r="IV3" s="319"/>
    </row>
    <row r="4" spans="1:256" ht="12.75">
      <c r="A4" s="105" t="s">
        <v>301</v>
      </c>
      <c r="B4" s="105"/>
      <c r="C4" s="105"/>
      <c r="D4" s="105"/>
      <c r="E4" s="105"/>
      <c r="F4" s="105"/>
      <c r="G4" s="33"/>
      <c r="H4" s="319"/>
      <c r="I4" s="319"/>
      <c r="J4" s="319"/>
      <c r="K4" s="319"/>
      <c r="L4" s="319"/>
      <c r="M4" s="319"/>
      <c r="N4" s="99"/>
      <c r="O4" s="319"/>
      <c r="P4" s="319"/>
      <c r="Q4" s="319"/>
      <c r="R4" s="319"/>
      <c r="S4" s="319"/>
      <c r="T4" s="319"/>
      <c r="U4" s="99"/>
      <c r="V4" s="319"/>
      <c r="W4" s="319"/>
      <c r="X4" s="319"/>
      <c r="Y4" s="319"/>
      <c r="Z4" s="319"/>
      <c r="AA4" s="319"/>
      <c r="AB4" s="99"/>
      <c r="AC4" s="319"/>
      <c r="AD4" s="319"/>
      <c r="AE4" s="319"/>
      <c r="AF4" s="319"/>
      <c r="AG4" s="319"/>
      <c r="AH4" s="319"/>
      <c r="AI4" s="99"/>
      <c r="AJ4" s="319"/>
      <c r="AK4" s="319"/>
      <c r="AL4" s="319"/>
      <c r="AM4" s="319"/>
      <c r="AN4" s="319"/>
      <c r="AO4" s="319"/>
      <c r="AP4" s="99"/>
      <c r="AQ4" s="319"/>
      <c r="AR4" s="319"/>
      <c r="AS4" s="319"/>
      <c r="AT4" s="319"/>
      <c r="AU4" s="319"/>
      <c r="AV4" s="319"/>
      <c r="AW4" s="99"/>
      <c r="AX4" s="319"/>
      <c r="AY4" s="319"/>
      <c r="AZ4" s="319"/>
      <c r="BA4" s="319"/>
      <c r="BB4" s="319"/>
      <c r="BC4" s="319"/>
      <c r="BD4" s="99"/>
      <c r="BE4" s="319"/>
      <c r="BF4" s="319"/>
      <c r="BG4" s="319"/>
      <c r="BH4" s="319"/>
      <c r="BI4" s="319"/>
      <c r="BJ4" s="319"/>
      <c r="BK4" s="99"/>
      <c r="BL4" s="319"/>
      <c r="BM4" s="319"/>
      <c r="BN4" s="319"/>
      <c r="BO4" s="319"/>
      <c r="BP4" s="319"/>
      <c r="BQ4" s="319"/>
      <c r="BR4" s="99"/>
      <c r="BS4" s="319"/>
      <c r="BT4" s="319"/>
      <c r="BU4" s="319"/>
      <c r="BV4" s="319"/>
      <c r="BW4" s="319"/>
      <c r="BX4" s="319"/>
      <c r="BY4" s="99"/>
      <c r="BZ4" s="319"/>
      <c r="CA4" s="319"/>
      <c r="CB4" s="319"/>
      <c r="CC4" s="319"/>
      <c r="CD4" s="319"/>
      <c r="CE4" s="319"/>
      <c r="CF4" s="99"/>
      <c r="CG4" s="319"/>
      <c r="CH4" s="319"/>
      <c r="CI4" s="319"/>
      <c r="CJ4" s="319"/>
      <c r="CK4" s="319"/>
      <c r="CL4" s="319"/>
      <c r="CM4" s="99"/>
      <c r="CN4" s="319"/>
      <c r="CO4" s="319"/>
      <c r="CP4" s="319"/>
      <c r="CQ4" s="319"/>
      <c r="CR4" s="319"/>
      <c r="CS4" s="319"/>
      <c r="CT4" s="99"/>
      <c r="CU4" s="319"/>
      <c r="CV4" s="319"/>
      <c r="CW4" s="319"/>
      <c r="CX4" s="319"/>
      <c r="CY4" s="319"/>
      <c r="CZ4" s="319"/>
      <c r="DA4" s="99"/>
      <c r="DB4" s="319"/>
      <c r="DC4" s="319"/>
      <c r="DD4" s="319"/>
      <c r="DE4" s="319"/>
      <c r="DF4" s="319"/>
      <c r="DG4" s="319"/>
      <c r="DH4" s="99"/>
      <c r="DI4" s="319"/>
      <c r="DJ4" s="319"/>
      <c r="DK4" s="319"/>
      <c r="DL4" s="319"/>
      <c r="DM4" s="319"/>
      <c r="DN4" s="319"/>
      <c r="DO4" s="99"/>
      <c r="DP4" s="319"/>
      <c r="DQ4" s="319"/>
      <c r="DR4" s="319"/>
      <c r="DS4" s="319"/>
      <c r="DT4" s="319"/>
      <c r="DU4" s="319"/>
      <c r="DV4" s="99"/>
      <c r="DW4" s="319"/>
      <c r="DX4" s="319"/>
      <c r="DY4" s="319"/>
      <c r="DZ4" s="319"/>
      <c r="EA4" s="319"/>
      <c r="EB4" s="319"/>
      <c r="EC4" s="99"/>
      <c r="ED4" s="319"/>
      <c r="EE4" s="319"/>
      <c r="EF4" s="319"/>
      <c r="EG4" s="319"/>
      <c r="EH4" s="319"/>
      <c r="EI4" s="319"/>
      <c r="EJ4" s="99"/>
      <c r="EK4" s="319"/>
      <c r="EL4" s="319"/>
      <c r="EM4" s="319"/>
      <c r="EN4" s="319"/>
      <c r="EO4" s="319"/>
      <c r="EP4" s="319"/>
      <c r="EQ4" s="99"/>
      <c r="ER4" s="319"/>
      <c r="ES4" s="319"/>
      <c r="ET4" s="319"/>
      <c r="EU4" s="319"/>
      <c r="EV4" s="319"/>
      <c r="EW4" s="319"/>
      <c r="EX4" s="99"/>
      <c r="EY4" s="319"/>
      <c r="EZ4" s="319"/>
      <c r="FA4" s="319"/>
      <c r="FB4" s="319"/>
      <c r="FC4" s="319"/>
      <c r="FD4" s="319"/>
      <c r="FE4" s="99"/>
      <c r="FF4" s="319"/>
      <c r="FG4" s="319"/>
      <c r="FH4" s="319"/>
      <c r="FI4" s="319"/>
      <c r="FJ4" s="319"/>
      <c r="FK4" s="319"/>
      <c r="FL4" s="99"/>
      <c r="FM4" s="319"/>
      <c r="FN4" s="319"/>
      <c r="FO4" s="319"/>
      <c r="FP4" s="319"/>
      <c r="FQ4" s="319"/>
      <c r="FR4" s="319"/>
      <c r="FS4" s="99"/>
      <c r="FT4" s="319"/>
      <c r="FU4" s="319"/>
      <c r="FV4" s="319"/>
      <c r="FW4" s="319"/>
      <c r="FX4" s="319"/>
      <c r="FY4" s="319"/>
      <c r="FZ4" s="99"/>
      <c r="GA4" s="319"/>
      <c r="GB4" s="319"/>
      <c r="GC4" s="319"/>
      <c r="GD4" s="319"/>
      <c r="GE4" s="319"/>
      <c r="GF4" s="319"/>
      <c r="GG4" s="99"/>
      <c r="GH4" s="319"/>
      <c r="GI4" s="319"/>
      <c r="GJ4" s="319"/>
      <c r="GK4" s="319"/>
      <c r="GL4" s="319"/>
      <c r="GM4" s="319"/>
      <c r="GN4" s="99"/>
      <c r="GO4" s="319"/>
      <c r="GP4" s="319"/>
      <c r="GQ4" s="319"/>
      <c r="GR4" s="319"/>
      <c r="GS4" s="319"/>
      <c r="GT4" s="319"/>
      <c r="GU4" s="99"/>
      <c r="GV4" s="319"/>
      <c r="GW4" s="319"/>
      <c r="GX4" s="319"/>
      <c r="GY4" s="319"/>
      <c r="GZ4" s="319"/>
      <c r="HA4" s="319"/>
      <c r="HB4" s="99"/>
      <c r="HC4" s="319"/>
      <c r="HD4" s="319"/>
      <c r="HE4" s="319"/>
      <c r="HF4" s="319"/>
      <c r="HG4" s="319"/>
      <c r="HH4" s="319"/>
      <c r="HI4" s="99"/>
      <c r="HJ4" s="319"/>
      <c r="HK4" s="319"/>
      <c r="HL4" s="319"/>
      <c r="HM4" s="319"/>
      <c r="HN4" s="319"/>
      <c r="HO4" s="319"/>
      <c r="HP4" s="99"/>
      <c r="HQ4" s="319"/>
      <c r="HR4" s="319"/>
      <c r="HS4" s="319"/>
      <c r="HT4" s="319"/>
      <c r="HU4" s="319"/>
      <c r="HV4" s="319"/>
      <c r="HW4" s="99"/>
      <c r="HX4" s="319"/>
      <c r="HY4" s="319"/>
      <c r="HZ4" s="319"/>
      <c r="IA4" s="319"/>
      <c r="IB4" s="319"/>
      <c r="IC4" s="319"/>
      <c r="ID4" s="99"/>
      <c r="IE4" s="319"/>
      <c r="IF4" s="319"/>
      <c r="IG4" s="319"/>
      <c r="IH4" s="319"/>
      <c r="II4" s="319"/>
      <c r="IJ4" s="319"/>
      <c r="IK4" s="99"/>
      <c r="IL4" s="319"/>
      <c r="IM4" s="319"/>
      <c r="IN4" s="319"/>
      <c r="IO4" s="319"/>
      <c r="IP4" s="319"/>
      <c r="IQ4" s="319"/>
      <c r="IR4" s="99"/>
      <c r="IS4" s="319"/>
      <c r="IT4" s="319"/>
      <c r="IU4" s="319"/>
      <c r="IV4" s="319"/>
    </row>
    <row r="5" spans="1:256" ht="14.25">
      <c r="A5" s="33"/>
      <c r="B5" s="33"/>
      <c r="C5" s="33"/>
      <c r="D5" s="50"/>
      <c r="E5" s="62"/>
      <c r="F5" s="33"/>
      <c r="G5" s="69" t="s">
        <v>413</v>
      </c>
      <c r="H5" s="99"/>
      <c r="I5" s="99"/>
      <c r="J5" s="99"/>
      <c r="K5" s="458"/>
      <c r="L5" s="107"/>
      <c r="M5" s="99"/>
      <c r="N5" s="573"/>
      <c r="O5" s="99"/>
      <c r="P5" s="99"/>
      <c r="Q5" s="99"/>
      <c r="R5" s="458"/>
      <c r="S5" s="107"/>
      <c r="T5" s="99"/>
      <c r="U5" s="573"/>
      <c r="V5" s="99"/>
      <c r="W5" s="99"/>
      <c r="X5" s="99"/>
      <c r="Y5" s="458"/>
      <c r="Z5" s="107"/>
      <c r="AA5" s="99"/>
      <c r="AB5" s="573"/>
      <c r="AC5" s="99"/>
      <c r="AD5" s="99"/>
      <c r="AE5" s="99"/>
      <c r="AF5" s="458"/>
      <c r="AG5" s="107"/>
      <c r="AH5" s="99"/>
      <c r="AI5" s="573"/>
      <c r="AJ5" s="99"/>
      <c r="AK5" s="99"/>
      <c r="AL5" s="99"/>
      <c r="AM5" s="458"/>
      <c r="AN5" s="107"/>
      <c r="AO5" s="99"/>
      <c r="AP5" s="573"/>
      <c r="AQ5" s="99"/>
      <c r="AR5" s="99"/>
      <c r="AS5" s="99"/>
      <c r="AT5" s="458"/>
      <c r="AU5" s="107"/>
      <c r="AV5" s="99"/>
      <c r="AW5" s="573"/>
      <c r="AX5" s="99"/>
      <c r="AY5" s="99"/>
      <c r="AZ5" s="99"/>
      <c r="BA5" s="458"/>
      <c r="BB5" s="107"/>
      <c r="BC5" s="99"/>
      <c r="BD5" s="573"/>
      <c r="BE5" s="99"/>
      <c r="BF5" s="99"/>
      <c r="BG5" s="99"/>
      <c r="BH5" s="458"/>
      <c r="BI5" s="107"/>
      <c r="BJ5" s="99"/>
      <c r="BK5" s="573"/>
      <c r="BL5" s="99"/>
      <c r="BM5" s="99"/>
      <c r="BN5" s="99"/>
      <c r="BO5" s="458"/>
      <c r="BP5" s="107"/>
      <c r="BQ5" s="99"/>
      <c r="BR5" s="573"/>
      <c r="BS5" s="99"/>
      <c r="BT5" s="99"/>
      <c r="BU5" s="99"/>
      <c r="BV5" s="458"/>
      <c r="BW5" s="107"/>
      <c r="BX5" s="99"/>
      <c r="BY5" s="573"/>
      <c r="BZ5" s="99"/>
      <c r="CA5" s="99"/>
      <c r="CB5" s="99"/>
      <c r="CC5" s="458"/>
      <c r="CD5" s="107"/>
      <c r="CE5" s="99"/>
      <c r="CF5" s="573"/>
      <c r="CG5" s="99"/>
      <c r="CH5" s="99"/>
      <c r="CI5" s="99"/>
      <c r="CJ5" s="458"/>
      <c r="CK5" s="107"/>
      <c r="CL5" s="99"/>
      <c r="CM5" s="573"/>
      <c r="CN5" s="99"/>
      <c r="CO5" s="99"/>
      <c r="CP5" s="99"/>
      <c r="CQ5" s="458"/>
      <c r="CR5" s="107"/>
      <c r="CS5" s="99"/>
      <c r="CT5" s="573"/>
      <c r="CU5" s="99"/>
      <c r="CV5" s="99"/>
      <c r="CW5" s="99"/>
      <c r="CX5" s="458"/>
      <c r="CY5" s="107"/>
      <c r="CZ5" s="99"/>
      <c r="DA5" s="573"/>
      <c r="DB5" s="99"/>
      <c r="DC5" s="99"/>
      <c r="DD5" s="99"/>
      <c r="DE5" s="458"/>
      <c r="DF5" s="107"/>
      <c r="DG5" s="99"/>
      <c r="DH5" s="573"/>
      <c r="DI5" s="99"/>
      <c r="DJ5" s="99"/>
      <c r="DK5" s="99"/>
      <c r="DL5" s="458"/>
      <c r="DM5" s="107"/>
      <c r="DN5" s="99"/>
      <c r="DO5" s="573"/>
      <c r="DP5" s="99"/>
      <c r="DQ5" s="99"/>
      <c r="DR5" s="99"/>
      <c r="DS5" s="458"/>
      <c r="DT5" s="107"/>
      <c r="DU5" s="99"/>
      <c r="DV5" s="573"/>
      <c r="DW5" s="99"/>
      <c r="DX5" s="99"/>
      <c r="DY5" s="99"/>
      <c r="DZ5" s="458"/>
      <c r="EA5" s="107"/>
      <c r="EB5" s="99"/>
      <c r="EC5" s="573"/>
      <c r="ED5" s="99"/>
      <c r="EE5" s="99"/>
      <c r="EF5" s="99"/>
      <c r="EG5" s="458"/>
      <c r="EH5" s="107"/>
      <c r="EI5" s="99"/>
      <c r="EJ5" s="573"/>
      <c r="EK5" s="99"/>
      <c r="EL5" s="99"/>
      <c r="EM5" s="99"/>
      <c r="EN5" s="458"/>
      <c r="EO5" s="107"/>
      <c r="EP5" s="99"/>
      <c r="EQ5" s="573"/>
      <c r="ER5" s="99"/>
      <c r="ES5" s="99"/>
      <c r="ET5" s="99"/>
      <c r="EU5" s="458"/>
      <c r="EV5" s="107"/>
      <c r="EW5" s="99"/>
      <c r="EX5" s="573"/>
      <c r="EY5" s="99"/>
      <c r="EZ5" s="99"/>
      <c r="FA5" s="99"/>
      <c r="FB5" s="458"/>
      <c r="FC5" s="107"/>
      <c r="FD5" s="99"/>
      <c r="FE5" s="573"/>
      <c r="FF5" s="99"/>
      <c r="FG5" s="99"/>
      <c r="FH5" s="99"/>
      <c r="FI5" s="458"/>
      <c r="FJ5" s="107"/>
      <c r="FK5" s="99"/>
      <c r="FL5" s="573"/>
      <c r="FM5" s="99"/>
      <c r="FN5" s="99"/>
      <c r="FO5" s="99"/>
      <c r="FP5" s="458"/>
      <c r="FQ5" s="107"/>
      <c r="FR5" s="99"/>
      <c r="FS5" s="573"/>
      <c r="FT5" s="99"/>
      <c r="FU5" s="99"/>
      <c r="FV5" s="99"/>
      <c r="FW5" s="458"/>
      <c r="FX5" s="107"/>
      <c r="FY5" s="99"/>
      <c r="FZ5" s="573"/>
      <c r="GA5" s="99"/>
      <c r="GB5" s="99"/>
      <c r="GC5" s="99"/>
      <c r="GD5" s="458"/>
      <c r="GE5" s="107"/>
      <c r="GF5" s="99"/>
      <c r="GG5" s="573"/>
      <c r="GH5" s="99"/>
      <c r="GI5" s="99"/>
      <c r="GJ5" s="99"/>
      <c r="GK5" s="458"/>
      <c r="GL5" s="107"/>
      <c r="GM5" s="99"/>
      <c r="GN5" s="573"/>
      <c r="GO5" s="99"/>
      <c r="GP5" s="99"/>
      <c r="GQ5" s="99"/>
      <c r="GR5" s="458"/>
      <c r="GS5" s="107"/>
      <c r="GT5" s="99"/>
      <c r="GU5" s="573"/>
      <c r="GV5" s="99"/>
      <c r="GW5" s="99"/>
      <c r="GX5" s="99"/>
      <c r="GY5" s="458"/>
      <c r="GZ5" s="107"/>
      <c r="HA5" s="99"/>
      <c r="HB5" s="573"/>
      <c r="HC5" s="99"/>
      <c r="HD5" s="99"/>
      <c r="HE5" s="99"/>
      <c r="HF5" s="458"/>
      <c r="HG5" s="107"/>
      <c r="HH5" s="99"/>
      <c r="HI5" s="573"/>
      <c r="HJ5" s="99"/>
      <c r="HK5" s="99"/>
      <c r="HL5" s="99"/>
      <c r="HM5" s="458"/>
      <c r="HN5" s="107"/>
      <c r="HO5" s="99"/>
      <c r="HP5" s="573"/>
      <c r="HQ5" s="99"/>
      <c r="HR5" s="99"/>
      <c r="HS5" s="99"/>
      <c r="HT5" s="458"/>
      <c r="HU5" s="107"/>
      <c r="HV5" s="99"/>
      <c r="HW5" s="573"/>
      <c r="HX5" s="99"/>
      <c r="HY5" s="99"/>
      <c r="HZ5" s="99"/>
      <c r="IA5" s="458"/>
      <c r="IB5" s="107"/>
      <c r="IC5" s="99"/>
      <c r="ID5" s="573"/>
      <c r="IE5" s="99"/>
      <c r="IF5" s="99"/>
      <c r="IG5" s="99"/>
      <c r="IH5" s="458"/>
      <c r="II5" s="107"/>
      <c r="IJ5" s="99"/>
      <c r="IK5" s="573"/>
      <c r="IL5" s="99"/>
      <c r="IM5" s="99"/>
      <c r="IN5" s="99"/>
      <c r="IO5" s="458"/>
      <c r="IP5" s="107"/>
      <c r="IQ5" s="99"/>
      <c r="IR5" s="573"/>
      <c r="IS5" s="99"/>
      <c r="IT5" s="99"/>
      <c r="IU5" s="99"/>
      <c r="IV5" s="458"/>
    </row>
    <row r="6" spans="1:256" ht="78.75">
      <c r="A6" s="10" t="s">
        <v>191</v>
      </c>
      <c r="B6" s="10" t="s">
        <v>192</v>
      </c>
      <c r="C6" s="10" t="s">
        <v>303</v>
      </c>
      <c r="D6" s="10" t="s">
        <v>193</v>
      </c>
      <c r="E6" s="10" t="s">
        <v>304</v>
      </c>
      <c r="F6" s="10" t="s">
        <v>305</v>
      </c>
      <c r="G6" s="10" t="s">
        <v>569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73">
        <v>7</v>
      </c>
      <c r="H7" s="97"/>
      <c r="I7" s="97"/>
      <c r="J7" s="97"/>
      <c r="K7" s="97"/>
      <c r="L7" s="97"/>
      <c r="M7" s="97"/>
      <c r="N7" s="98"/>
      <c r="O7" s="97"/>
      <c r="P7" s="97"/>
      <c r="Q7" s="97"/>
      <c r="R7" s="97"/>
      <c r="S7" s="97"/>
      <c r="T7" s="97"/>
      <c r="U7" s="98"/>
      <c r="V7" s="97"/>
      <c r="W7" s="97"/>
      <c r="X7" s="97"/>
      <c r="Y7" s="97"/>
      <c r="Z7" s="97"/>
      <c r="AA7" s="97"/>
      <c r="AB7" s="98"/>
      <c r="AC7" s="97"/>
      <c r="AD7" s="97"/>
      <c r="AE7" s="97"/>
      <c r="AF7" s="97"/>
      <c r="AG7" s="97"/>
      <c r="AH7" s="97"/>
      <c r="AI7" s="98"/>
      <c r="AJ7" s="97"/>
      <c r="AK7" s="97"/>
      <c r="AL7" s="97"/>
      <c r="AM7" s="97"/>
      <c r="AN7" s="97"/>
      <c r="AO7" s="97"/>
      <c r="AP7" s="98"/>
      <c r="AQ7" s="97"/>
      <c r="AR7" s="97"/>
      <c r="AS7" s="97"/>
      <c r="AT7" s="97"/>
      <c r="AU7" s="97"/>
      <c r="AV7" s="97"/>
      <c r="AW7" s="98"/>
      <c r="AX7" s="97"/>
      <c r="AY7" s="97"/>
      <c r="AZ7" s="97"/>
      <c r="BA7" s="97"/>
      <c r="BB7" s="97"/>
      <c r="BC7" s="97"/>
      <c r="BD7" s="98"/>
      <c r="BE7" s="97"/>
      <c r="BF7" s="97"/>
      <c r="BG7" s="97"/>
      <c r="BH7" s="97"/>
      <c r="BI7" s="97"/>
      <c r="BJ7" s="97"/>
      <c r="BK7" s="98"/>
      <c r="BL7" s="97"/>
      <c r="BM7" s="97"/>
      <c r="BN7" s="97"/>
      <c r="BO7" s="97"/>
      <c r="BP7" s="97"/>
      <c r="BQ7" s="97"/>
      <c r="BR7" s="98"/>
      <c r="BS7" s="97"/>
      <c r="BT7" s="97"/>
      <c r="BU7" s="97"/>
      <c r="BV7" s="97"/>
      <c r="BW7" s="97"/>
      <c r="BX7" s="97"/>
      <c r="BY7" s="98"/>
      <c r="BZ7" s="97"/>
      <c r="CA7" s="97"/>
      <c r="CB7" s="97"/>
      <c r="CC7" s="97"/>
      <c r="CD7" s="97"/>
      <c r="CE7" s="97"/>
      <c r="CF7" s="98"/>
      <c r="CG7" s="97"/>
      <c r="CH7" s="97"/>
      <c r="CI7" s="97"/>
      <c r="CJ7" s="97"/>
      <c r="CK7" s="97"/>
      <c r="CL7" s="97"/>
      <c r="CM7" s="98"/>
      <c r="CN7" s="97"/>
      <c r="CO7" s="97"/>
      <c r="CP7" s="97"/>
      <c r="CQ7" s="97"/>
      <c r="CR7" s="97"/>
      <c r="CS7" s="97"/>
      <c r="CT7" s="98"/>
      <c r="CU7" s="97"/>
      <c r="CV7" s="97"/>
      <c r="CW7" s="97"/>
      <c r="CX7" s="97"/>
      <c r="CY7" s="97"/>
      <c r="CZ7" s="97"/>
      <c r="DA7" s="98"/>
      <c r="DB7" s="97"/>
      <c r="DC7" s="97"/>
      <c r="DD7" s="97"/>
      <c r="DE7" s="97"/>
      <c r="DF7" s="97"/>
      <c r="DG7" s="97"/>
      <c r="DH7" s="98"/>
      <c r="DI7" s="97"/>
      <c r="DJ7" s="97"/>
      <c r="DK7" s="97"/>
      <c r="DL7" s="97"/>
      <c r="DM7" s="97"/>
      <c r="DN7" s="97"/>
      <c r="DO7" s="98"/>
      <c r="DP7" s="97"/>
      <c r="DQ7" s="97"/>
      <c r="DR7" s="97"/>
      <c r="DS7" s="97"/>
      <c r="DT7" s="97"/>
      <c r="DU7" s="97"/>
      <c r="DV7" s="98"/>
      <c r="DW7" s="97"/>
      <c r="DX7" s="97"/>
      <c r="DY7" s="97"/>
      <c r="DZ7" s="97"/>
      <c r="EA7" s="97"/>
      <c r="EB7" s="97"/>
      <c r="EC7" s="98"/>
      <c r="ED7" s="97"/>
      <c r="EE7" s="97"/>
      <c r="EF7" s="97"/>
      <c r="EG7" s="97"/>
      <c r="EH7" s="97"/>
      <c r="EI7" s="97"/>
      <c r="EJ7" s="98"/>
      <c r="EK7" s="97"/>
      <c r="EL7" s="97"/>
      <c r="EM7" s="97"/>
      <c r="EN7" s="97"/>
      <c r="EO7" s="97"/>
      <c r="EP7" s="97"/>
      <c r="EQ7" s="98"/>
      <c r="ER7" s="97"/>
      <c r="ES7" s="97"/>
      <c r="ET7" s="97"/>
      <c r="EU7" s="97"/>
      <c r="EV7" s="97"/>
      <c r="EW7" s="97"/>
      <c r="EX7" s="98"/>
      <c r="EY7" s="97"/>
      <c r="EZ7" s="97"/>
      <c r="FA7" s="97"/>
      <c r="FB7" s="97"/>
      <c r="FC7" s="97"/>
      <c r="FD7" s="97"/>
      <c r="FE7" s="98"/>
      <c r="FF7" s="97"/>
      <c r="FG7" s="97"/>
      <c r="FH7" s="97"/>
      <c r="FI7" s="97"/>
      <c r="FJ7" s="97"/>
      <c r="FK7" s="97"/>
      <c r="FL7" s="98"/>
      <c r="FM7" s="97"/>
      <c r="FN7" s="97"/>
      <c r="FO7" s="97"/>
      <c r="FP7" s="97"/>
      <c r="FQ7" s="97"/>
      <c r="FR7" s="97"/>
      <c r="FS7" s="98"/>
      <c r="FT7" s="97"/>
      <c r="FU7" s="97"/>
      <c r="FV7" s="97"/>
      <c r="FW7" s="97"/>
      <c r="FX7" s="97"/>
      <c r="FY7" s="97"/>
      <c r="FZ7" s="98"/>
      <c r="GA7" s="97"/>
      <c r="GB7" s="97"/>
      <c r="GC7" s="97"/>
      <c r="GD7" s="97"/>
      <c r="GE7" s="97"/>
      <c r="GF7" s="97"/>
      <c r="GG7" s="98"/>
      <c r="GH7" s="97"/>
      <c r="GI7" s="97"/>
      <c r="GJ7" s="97"/>
      <c r="GK7" s="97"/>
      <c r="GL7" s="97"/>
      <c r="GM7" s="97"/>
      <c r="GN7" s="98"/>
      <c r="GO7" s="97"/>
      <c r="GP7" s="97"/>
      <c r="GQ7" s="97"/>
      <c r="GR7" s="97"/>
      <c r="GS7" s="97"/>
      <c r="GT7" s="97"/>
      <c r="GU7" s="98"/>
      <c r="GV7" s="97"/>
      <c r="GW7" s="97"/>
      <c r="GX7" s="97"/>
      <c r="GY7" s="97"/>
      <c r="GZ7" s="97"/>
      <c r="HA7" s="97"/>
      <c r="HB7" s="98"/>
      <c r="HC7" s="97"/>
      <c r="HD7" s="97"/>
      <c r="HE7" s="97"/>
      <c r="HF7" s="97"/>
      <c r="HG7" s="97"/>
      <c r="HH7" s="97"/>
      <c r="HI7" s="98"/>
      <c r="HJ7" s="97"/>
      <c r="HK7" s="97"/>
      <c r="HL7" s="97"/>
      <c r="HM7" s="97"/>
      <c r="HN7" s="97"/>
      <c r="HO7" s="97"/>
      <c r="HP7" s="98"/>
      <c r="HQ7" s="97"/>
      <c r="HR7" s="97"/>
      <c r="HS7" s="97"/>
      <c r="HT7" s="97"/>
      <c r="HU7" s="97"/>
      <c r="HV7" s="97"/>
      <c r="HW7" s="98"/>
      <c r="HX7" s="97"/>
      <c r="HY7" s="97"/>
      <c r="HZ7" s="97"/>
      <c r="IA7" s="97"/>
      <c r="IB7" s="97"/>
      <c r="IC7" s="97"/>
      <c r="ID7" s="98"/>
      <c r="IE7" s="97"/>
      <c r="IF7" s="97"/>
      <c r="IG7" s="97"/>
      <c r="IH7" s="97"/>
      <c r="II7" s="97"/>
      <c r="IJ7" s="97"/>
      <c r="IK7" s="98"/>
      <c r="IL7" s="97"/>
      <c r="IM7" s="97"/>
      <c r="IN7" s="97"/>
      <c r="IO7" s="97"/>
      <c r="IP7" s="97"/>
      <c r="IQ7" s="97"/>
      <c r="IR7" s="98"/>
      <c r="IS7" s="97"/>
      <c r="IT7" s="97"/>
      <c r="IU7" s="97"/>
      <c r="IV7" s="97"/>
    </row>
    <row r="8" spans="1:256" ht="38.25">
      <c r="A8" s="465" t="s">
        <v>268</v>
      </c>
      <c r="B8" s="502">
        <v>57965</v>
      </c>
      <c r="C8" s="503">
        <v>3553</v>
      </c>
      <c r="D8" s="503">
        <v>1002</v>
      </c>
      <c r="E8" s="279">
        <v>1.7286293452945745</v>
      </c>
      <c r="F8" s="279">
        <v>28.201519842386713</v>
      </c>
      <c r="G8" s="503">
        <v>1002</v>
      </c>
      <c r="H8" s="574"/>
      <c r="I8" s="575"/>
      <c r="J8" s="422"/>
      <c r="K8" s="422"/>
      <c r="L8" s="576"/>
      <c r="M8" s="576"/>
      <c r="N8" s="422"/>
      <c r="O8" s="574"/>
      <c r="P8" s="575"/>
      <c r="Q8" s="422"/>
      <c r="R8" s="422"/>
      <c r="S8" s="576"/>
      <c r="T8" s="576"/>
      <c r="U8" s="422"/>
      <c r="V8" s="574"/>
      <c r="W8" s="575"/>
      <c r="X8" s="422"/>
      <c r="Y8" s="422"/>
      <c r="Z8" s="576"/>
      <c r="AA8" s="576"/>
      <c r="AB8" s="422"/>
      <c r="AC8" s="574"/>
      <c r="AD8" s="575"/>
      <c r="AE8" s="422"/>
      <c r="AF8" s="422"/>
      <c r="AG8" s="576"/>
      <c r="AH8" s="576"/>
      <c r="AI8" s="422"/>
      <c r="AJ8" s="574"/>
      <c r="AK8" s="575"/>
      <c r="AL8" s="422"/>
      <c r="AM8" s="422"/>
      <c r="AN8" s="576"/>
      <c r="AO8" s="576"/>
      <c r="AP8" s="422"/>
      <c r="AQ8" s="574"/>
      <c r="AR8" s="575"/>
      <c r="AS8" s="422"/>
      <c r="AT8" s="422"/>
      <c r="AU8" s="576"/>
      <c r="AV8" s="576"/>
      <c r="AW8" s="422"/>
      <c r="AX8" s="574"/>
      <c r="AY8" s="575"/>
      <c r="AZ8" s="422"/>
      <c r="BA8" s="422"/>
      <c r="BB8" s="576"/>
      <c r="BC8" s="576"/>
      <c r="BD8" s="422"/>
      <c r="BE8" s="574"/>
      <c r="BF8" s="575"/>
      <c r="BG8" s="422"/>
      <c r="BH8" s="422"/>
      <c r="BI8" s="576"/>
      <c r="BJ8" s="576"/>
      <c r="BK8" s="422"/>
      <c r="BL8" s="574"/>
      <c r="BM8" s="575"/>
      <c r="BN8" s="422"/>
      <c r="BO8" s="422"/>
      <c r="BP8" s="576"/>
      <c r="BQ8" s="576"/>
      <c r="BR8" s="422"/>
      <c r="BS8" s="574"/>
      <c r="BT8" s="575"/>
      <c r="BU8" s="422"/>
      <c r="BV8" s="422"/>
      <c r="BW8" s="576"/>
      <c r="BX8" s="576"/>
      <c r="BY8" s="422"/>
      <c r="BZ8" s="574"/>
      <c r="CA8" s="575"/>
      <c r="CB8" s="422"/>
      <c r="CC8" s="422"/>
      <c r="CD8" s="576"/>
      <c r="CE8" s="576"/>
      <c r="CF8" s="422"/>
      <c r="CG8" s="574"/>
      <c r="CH8" s="575"/>
      <c r="CI8" s="422"/>
      <c r="CJ8" s="422"/>
      <c r="CK8" s="576"/>
      <c r="CL8" s="576"/>
      <c r="CM8" s="422"/>
      <c r="CN8" s="574"/>
      <c r="CO8" s="575"/>
      <c r="CP8" s="422"/>
      <c r="CQ8" s="422"/>
      <c r="CR8" s="576"/>
      <c r="CS8" s="576"/>
      <c r="CT8" s="422"/>
      <c r="CU8" s="574"/>
      <c r="CV8" s="575"/>
      <c r="CW8" s="422"/>
      <c r="CX8" s="422"/>
      <c r="CY8" s="576"/>
      <c r="CZ8" s="576"/>
      <c r="DA8" s="422"/>
      <c r="DB8" s="574"/>
      <c r="DC8" s="575"/>
      <c r="DD8" s="422"/>
      <c r="DE8" s="422"/>
      <c r="DF8" s="576"/>
      <c r="DG8" s="576"/>
      <c r="DH8" s="422"/>
      <c r="DI8" s="574"/>
      <c r="DJ8" s="575"/>
      <c r="DK8" s="422"/>
      <c r="DL8" s="422"/>
      <c r="DM8" s="576"/>
      <c r="DN8" s="576"/>
      <c r="DO8" s="422"/>
      <c r="DP8" s="574"/>
      <c r="DQ8" s="575"/>
      <c r="DR8" s="422"/>
      <c r="DS8" s="422"/>
      <c r="DT8" s="576"/>
      <c r="DU8" s="576"/>
      <c r="DV8" s="422"/>
      <c r="DW8" s="574"/>
      <c r="DX8" s="575"/>
      <c r="DY8" s="422"/>
      <c r="DZ8" s="422"/>
      <c r="EA8" s="576"/>
      <c r="EB8" s="576"/>
      <c r="EC8" s="422"/>
      <c r="ED8" s="574"/>
      <c r="EE8" s="575"/>
      <c r="EF8" s="422"/>
      <c r="EG8" s="422"/>
      <c r="EH8" s="576"/>
      <c r="EI8" s="576"/>
      <c r="EJ8" s="422"/>
      <c r="EK8" s="574"/>
      <c r="EL8" s="575"/>
      <c r="EM8" s="422"/>
      <c r="EN8" s="422"/>
      <c r="EO8" s="576"/>
      <c r="EP8" s="576"/>
      <c r="EQ8" s="422"/>
      <c r="ER8" s="574"/>
      <c r="ES8" s="575"/>
      <c r="ET8" s="422"/>
      <c r="EU8" s="422"/>
      <c r="EV8" s="576"/>
      <c r="EW8" s="576"/>
      <c r="EX8" s="422"/>
      <c r="EY8" s="574"/>
      <c r="EZ8" s="575"/>
      <c r="FA8" s="422"/>
      <c r="FB8" s="422"/>
      <c r="FC8" s="576"/>
      <c r="FD8" s="576"/>
      <c r="FE8" s="422"/>
      <c r="FF8" s="574"/>
      <c r="FG8" s="575"/>
      <c r="FH8" s="422"/>
      <c r="FI8" s="422"/>
      <c r="FJ8" s="576"/>
      <c r="FK8" s="576"/>
      <c r="FL8" s="422"/>
      <c r="FM8" s="574"/>
      <c r="FN8" s="575"/>
      <c r="FO8" s="422"/>
      <c r="FP8" s="422"/>
      <c r="FQ8" s="576"/>
      <c r="FR8" s="576"/>
      <c r="FS8" s="422"/>
      <c r="FT8" s="574"/>
      <c r="FU8" s="575"/>
      <c r="FV8" s="422"/>
      <c r="FW8" s="422"/>
      <c r="FX8" s="576"/>
      <c r="FY8" s="576"/>
      <c r="FZ8" s="422"/>
      <c r="GA8" s="574"/>
      <c r="GB8" s="575"/>
      <c r="GC8" s="422"/>
      <c r="GD8" s="422"/>
      <c r="GE8" s="576"/>
      <c r="GF8" s="576"/>
      <c r="GG8" s="422"/>
      <c r="GH8" s="574"/>
      <c r="GI8" s="575"/>
      <c r="GJ8" s="422"/>
      <c r="GK8" s="422"/>
      <c r="GL8" s="576"/>
      <c r="GM8" s="576"/>
      <c r="GN8" s="422"/>
      <c r="GO8" s="574"/>
      <c r="GP8" s="575"/>
      <c r="GQ8" s="422"/>
      <c r="GR8" s="422"/>
      <c r="GS8" s="576"/>
      <c r="GT8" s="576"/>
      <c r="GU8" s="422"/>
      <c r="GV8" s="574"/>
      <c r="GW8" s="575"/>
      <c r="GX8" s="422"/>
      <c r="GY8" s="422"/>
      <c r="GZ8" s="576"/>
      <c r="HA8" s="576"/>
      <c r="HB8" s="422"/>
      <c r="HC8" s="574"/>
      <c r="HD8" s="575"/>
      <c r="HE8" s="422"/>
      <c r="HF8" s="422"/>
      <c r="HG8" s="576"/>
      <c r="HH8" s="576"/>
      <c r="HI8" s="422"/>
      <c r="HJ8" s="574"/>
      <c r="HK8" s="575"/>
      <c r="HL8" s="422"/>
      <c r="HM8" s="422"/>
      <c r="HN8" s="576"/>
      <c r="HO8" s="576"/>
      <c r="HP8" s="422"/>
      <c r="HQ8" s="574"/>
      <c r="HR8" s="575"/>
      <c r="HS8" s="422"/>
      <c r="HT8" s="422"/>
      <c r="HU8" s="576"/>
      <c r="HV8" s="576"/>
      <c r="HW8" s="422"/>
      <c r="HX8" s="574"/>
      <c r="HY8" s="575"/>
      <c r="HZ8" s="422"/>
      <c r="IA8" s="422"/>
      <c r="IB8" s="576"/>
      <c r="IC8" s="576"/>
      <c r="ID8" s="422"/>
      <c r="IE8" s="574"/>
      <c r="IF8" s="575"/>
      <c r="IG8" s="422"/>
      <c r="IH8" s="422"/>
      <c r="II8" s="576"/>
      <c r="IJ8" s="576"/>
      <c r="IK8" s="422"/>
      <c r="IL8" s="574"/>
      <c r="IM8" s="575"/>
      <c r="IN8" s="422"/>
      <c r="IO8" s="422"/>
      <c r="IP8" s="576"/>
      <c r="IQ8" s="576"/>
      <c r="IR8" s="422"/>
      <c r="IS8" s="574"/>
      <c r="IT8" s="575"/>
      <c r="IU8" s="422"/>
      <c r="IV8" s="422"/>
    </row>
    <row r="9" spans="1:256" ht="12.75">
      <c r="A9" s="504" t="s">
        <v>311</v>
      </c>
      <c r="B9" s="502">
        <v>45600</v>
      </c>
      <c r="C9" s="502">
        <v>3360</v>
      </c>
      <c r="D9" s="502">
        <v>902</v>
      </c>
      <c r="E9" s="279">
        <v>1.9780701754385965</v>
      </c>
      <c r="F9" s="279">
        <v>26.845238095238095</v>
      </c>
      <c r="G9" s="502">
        <v>902</v>
      </c>
      <c r="H9" s="577"/>
      <c r="I9" s="575"/>
      <c r="J9" s="575"/>
      <c r="K9" s="575"/>
      <c r="L9" s="576"/>
      <c r="M9" s="576"/>
      <c r="N9" s="575"/>
      <c r="O9" s="577"/>
      <c r="P9" s="575"/>
      <c r="Q9" s="575"/>
      <c r="R9" s="575"/>
      <c r="S9" s="576"/>
      <c r="T9" s="576"/>
      <c r="U9" s="575"/>
      <c r="V9" s="577"/>
      <c r="W9" s="575"/>
      <c r="X9" s="575"/>
      <c r="Y9" s="575"/>
      <c r="Z9" s="576"/>
      <c r="AA9" s="576"/>
      <c r="AB9" s="575"/>
      <c r="AC9" s="577"/>
      <c r="AD9" s="575"/>
      <c r="AE9" s="575"/>
      <c r="AF9" s="575"/>
      <c r="AG9" s="576"/>
      <c r="AH9" s="576"/>
      <c r="AI9" s="575"/>
      <c r="AJ9" s="577"/>
      <c r="AK9" s="575"/>
      <c r="AL9" s="575"/>
      <c r="AM9" s="575"/>
      <c r="AN9" s="576"/>
      <c r="AO9" s="576"/>
      <c r="AP9" s="575"/>
      <c r="AQ9" s="577"/>
      <c r="AR9" s="575"/>
      <c r="AS9" s="575"/>
      <c r="AT9" s="575"/>
      <c r="AU9" s="576"/>
      <c r="AV9" s="576"/>
      <c r="AW9" s="575"/>
      <c r="AX9" s="577"/>
      <c r="AY9" s="575"/>
      <c r="AZ9" s="575"/>
      <c r="BA9" s="575"/>
      <c r="BB9" s="576"/>
      <c r="BC9" s="576"/>
      <c r="BD9" s="575"/>
      <c r="BE9" s="577"/>
      <c r="BF9" s="575"/>
      <c r="BG9" s="575"/>
      <c r="BH9" s="575"/>
      <c r="BI9" s="576"/>
      <c r="BJ9" s="576"/>
      <c r="BK9" s="575"/>
      <c r="BL9" s="577"/>
      <c r="BM9" s="575"/>
      <c r="BN9" s="575"/>
      <c r="BO9" s="575"/>
      <c r="BP9" s="576"/>
      <c r="BQ9" s="576"/>
      <c r="BR9" s="575"/>
      <c r="BS9" s="577"/>
      <c r="BT9" s="575"/>
      <c r="BU9" s="575"/>
      <c r="BV9" s="575"/>
      <c r="BW9" s="576"/>
      <c r="BX9" s="576"/>
      <c r="BY9" s="575"/>
      <c r="BZ9" s="577"/>
      <c r="CA9" s="575"/>
      <c r="CB9" s="575"/>
      <c r="CC9" s="575"/>
      <c r="CD9" s="576"/>
      <c r="CE9" s="576"/>
      <c r="CF9" s="575"/>
      <c r="CG9" s="577"/>
      <c r="CH9" s="575"/>
      <c r="CI9" s="575"/>
      <c r="CJ9" s="575"/>
      <c r="CK9" s="576"/>
      <c r="CL9" s="576"/>
      <c r="CM9" s="575"/>
      <c r="CN9" s="577"/>
      <c r="CO9" s="575"/>
      <c r="CP9" s="575"/>
      <c r="CQ9" s="575"/>
      <c r="CR9" s="576"/>
      <c r="CS9" s="576"/>
      <c r="CT9" s="575"/>
      <c r="CU9" s="577"/>
      <c r="CV9" s="575"/>
      <c r="CW9" s="575"/>
      <c r="CX9" s="575"/>
      <c r="CY9" s="576"/>
      <c r="CZ9" s="576"/>
      <c r="DA9" s="575"/>
      <c r="DB9" s="577"/>
      <c r="DC9" s="575"/>
      <c r="DD9" s="575"/>
      <c r="DE9" s="575"/>
      <c r="DF9" s="576"/>
      <c r="DG9" s="576"/>
      <c r="DH9" s="575"/>
      <c r="DI9" s="577"/>
      <c r="DJ9" s="575"/>
      <c r="DK9" s="575"/>
      <c r="DL9" s="575"/>
      <c r="DM9" s="576"/>
      <c r="DN9" s="576"/>
      <c r="DO9" s="575"/>
      <c r="DP9" s="577"/>
      <c r="DQ9" s="575"/>
      <c r="DR9" s="575"/>
      <c r="DS9" s="575"/>
      <c r="DT9" s="576"/>
      <c r="DU9" s="576"/>
      <c r="DV9" s="575"/>
      <c r="DW9" s="577"/>
      <c r="DX9" s="575"/>
      <c r="DY9" s="575"/>
      <c r="DZ9" s="575"/>
      <c r="EA9" s="576"/>
      <c r="EB9" s="576"/>
      <c r="EC9" s="575"/>
      <c r="ED9" s="577"/>
      <c r="EE9" s="575"/>
      <c r="EF9" s="575"/>
      <c r="EG9" s="575"/>
      <c r="EH9" s="576"/>
      <c r="EI9" s="576"/>
      <c r="EJ9" s="575"/>
      <c r="EK9" s="577"/>
      <c r="EL9" s="575"/>
      <c r="EM9" s="575"/>
      <c r="EN9" s="575"/>
      <c r="EO9" s="576"/>
      <c r="EP9" s="576"/>
      <c r="EQ9" s="575"/>
      <c r="ER9" s="577"/>
      <c r="ES9" s="575"/>
      <c r="ET9" s="575"/>
      <c r="EU9" s="575"/>
      <c r="EV9" s="576"/>
      <c r="EW9" s="576"/>
      <c r="EX9" s="575"/>
      <c r="EY9" s="577"/>
      <c r="EZ9" s="575"/>
      <c r="FA9" s="575"/>
      <c r="FB9" s="575"/>
      <c r="FC9" s="576"/>
      <c r="FD9" s="576"/>
      <c r="FE9" s="575"/>
      <c r="FF9" s="577"/>
      <c r="FG9" s="575"/>
      <c r="FH9" s="575"/>
      <c r="FI9" s="575"/>
      <c r="FJ9" s="576"/>
      <c r="FK9" s="576"/>
      <c r="FL9" s="575"/>
      <c r="FM9" s="577"/>
      <c r="FN9" s="575"/>
      <c r="FO9" s="575"/>
      <c r="FP9" s="575"/>
      <c r="FQ9" s="576"/>
      <c r="FR9" s="576"/>
      <c r="FS9" s="575"/>
      <c r="FT9" s="577"/>
      <c r="FU9" s="575"/>
      <c r="FV9" s="575"/>
      <c r="FW9" s="575"/>
      <c r="FX9" s="576"/>
      <c r="FY9" s="576"/>
      <c r="FZ9" s="575"/>
      <c r="GA9" s="577"/>
      <c r="GB9" s="575"/>
      <c r="GC9" s="575"/>
      <c r="GD9" s="575"/>
      <c r="GE9" s="576"/>
      <c r="GF9" s="576"/>
      <c r="GG9" s="575"/>
      <c r="GH9" s="577"/>
      <c r="GI9" s="575"/>
      <c r="GJ9" s="575"/>
      <c r="GK9" s="575"/>
      <c r="GL9" s="576"/>
      <c r="GM9" s="576"/>
      <c r="GN9" s="575"/>
      <c r="GO9" s="577"/>
      <c r="GP9" s="575"/>
      <c r="GQ9" s="575"/>
      <c r="GR9" s="575"/>
      <c r="GS9" s="576"/>
      <c r="GT9" s="576"/>
      <c r="GU9" s="575"/>
      <c r="GV9" s="577"/>
      <c r="GW9" s="575"/>
      <c r="GX9" s="575"/>
      <c r="GY9" s="575"/>
      <c r="GZ9" s="576"/>
      <c r="HA9" s="576"/>
      <c r="HB9" s="575"/>
      <c r="HC9" s="577"/>
      <c r="HD9" s="575"/>
      <c r="HE9" s="575"/>
      <c r="HF9" s="575"/>
      <c r="HG9" s="576"/>
      <c r="HH9" s="576"/>
      <c r="HI9" s="575"/>
      <c r="HJ9" s="577"/>
      <c r="HK9" s="575"/>
      <c r="HL9" s="575"/>
      <c r="HM9" s="575"/>
      <c r="HN9" s="576"/>
      <c r="HO9" s="576"/>
      <c r="HP9" s="575"/>
      <c r="HQ9" s="577"/>
      <c r="HR9" s="575"/>
      <c r="HS9" s="575"/>
      <c r="HT9" s="575"/>
      <c r="HU9" s="576"/>
      <c r="HV9" s="576"/>
      <c r="HW9" s="575"/>
      <c r="HX9" s="577"/>
      <c r="HY9" s="575"/>
      <c r="HZ9" s="575"/>
      <c r="IA9" s="575"/>
      <c r="IB9" s="576"/>
      <c r="IC9" s="576"/>
      <c r="ID9" s="575"/>
      <c r="IE9" s="577"/>
      <c r="IF9" s="575"/>
      <c r="IG9" s="575"/>
      <c r="IH9" s="575"/>
      <c r="II9" s="576"/>
      <c r="IJ9" s="576"/>
      <c r="IK9" s="575"/>
      <c r="IL9" s="577"/>
      <c r="IM9" s="575"/>
      <c r="IN9" s="575"/>
      <c r="IO9" s="575"/>
      <c r="IP9" s="576"/>
      <c r="IQ9" s="576"/>
      <c r="IR9" s="575"/>
      <c r="IS9" s="577"/>
      <c r="IT9" s="575"/>
      <c r="IU9" s="575"/>
      <c r="IV9" s="575"/>
    </row>
    <row r="10" spans="1:256" ht="12.75">
      <c r="A10" s="471" t="s">
        <v>269</v>
      </c>
      <c r="B10" s="54">
        <v>26117</v>
      </c>
      <c r="C10" s="248">
        <v>1751</v>
      </c>
      <c r="D10" s="248">
        <v>399</v>
      </c>
      <c r="E10" s="16">
        <v>1.527740552130796</v>
      </c>
      <c r="F10" s="16">
        <v>22.786978869217588</v>
      </c>
      <c r="G10" s="248">
        <v>399</v>
      </c>
      <c r="H10" s="578"/>
      <c r="I10" s="579"/>
      <c r="J10" s="580"/>
      <c r="K10" s="580"/>
      <c r="L10" s="581"/>
      <c r="M10" s="581"/>
      <c r="N10" s="580"/>
      <c r="O10" s="578"/>
      <c r="P10" s="579"/>
      <c r="Q10" s="580"/>
      <c r="R10" s="580"/>
      <c r="S10" s="581"/>
      <c r="T10" s="581"/>
      <c r="U10" s="580"/>
      <c r="V10" s="578"/>
      <c r="W10" s="579"/>
      <c r="X10" s="580"/>
      <c r="Y10" s="580"/>
      <c r="Z10" s="581"/>
      <c r="AA10" s="581"/>
      <c r="AB10" s="580"/>
      <c r="AC10" s="578"/>
      <c r="AD10" s="579"/>
      <c r="AE10" s="580"/>
      <c r="AF10" s="580"/>
      <c r="AG10" s="581"/>
      <c r="AH10" s="581"/>
      <c r="AI10" s="580"/>
      <c r="AJ10" s="578"/>
      <c r="AK10" s="579"/>
      <c r="AL10" s="580"/>
      <c r="AM10" s="580"/>
      <c r="AN10" s="581"/>
      <c r="AO10" s="581"/>
      <c r="AP10" s="580"/>
      <c r="AQ10" s="578"/>
      <c r="AR10" s="579"/>
      <c r="AS10" s="580"/>
      <c r="AT10" s="580"/>
      <c r="AU10" s="581"/>
      <c r="AV10" s="581"/>
      <c r="AW10" s="580"/>
      <c r="AX10" s="578"/>
      <c r="AY10" s="579"/>
      <c r="AZ10" s="580"/>
      <c r="BA10" s="580"/>
      <c r="BB10" s="581"/>
      <c r="BC10" s="581"/>
      <c r="BD10" s="580"/>
      <c r="BE10" s="578"/>
      <c r="BF10" s="579"/>
      <c r="BG10" s="580"/>
      <c r="BH10" s="580"/>
      <c r="BI10" s="581"/>
      <c r="BJ10" s="581"/>
      <c r="BK10" s="580"/>
      <c r="BL10" s="578"/>
      <c r="BM10" s="579"/>
      <c r="BN10" s="580"/>
      <c r="BO10" s="580"/>
      <c r="BP10" s="581"/>
      <c r="BQ10" s="581"/>
      <c r="BR10" s="580"/>
      <c r="BS10" s="578"/>
      <c r="BT10" s="579"/>
      <c r="BU10" s="580"/>
      <c r="BV10" s="580"/>
      <c r="BW10" s="581"/>
      <c r="BX10" s="581"/>
      <c r="BY10" s="580"/>
      <c r="BZ10" s="578"/>
      <c r="CA10" s="579"/>
      <c r="CB10" s="580"/>
      <c r="CC10" s="580"/>
      <c r="CD10" s="581"/>
      <c r="CE10" s="581"/>
      <c r="CF10" s="580"/>
      <c r="CG10" s="578"/>
      <c r="CH10" s="579"/>
      <c r="CI10" s="580"/>
      <c r="CJ10" s="580"/>
      <c r="CK10" s="581"/>
      <c r="CL10" s="581"/>
      <c r="CM10" s="580"/>
      <c r="CN10" s="578"/>
      <c r="CO10" s="579"/>
      <c r="CP10" s="580"/>
      <c r="CQ10" s="580"/>
      <c r="CR10" s="581"/>
      <c r="CS10" s="581"/>
      <c r="CT10" s="580"/>
      <c r="CU10" s="578"/>
      <c r="CV10" s="579"/>
      <c r="CW10" s="580"/>
      <c r="CX10" s="580"/>
      <c r="CY10" s="581"/>
      <c r="CZ10" s="581"/>
      <c r="DA10" s="580"/>
      <c r="DB10" s="578"/>
      <c r="DC10" s="579"/>
      <c r="DD10" s="580"/>
      <c r="DE10" s="580"/>
      <c r="DF10" s="581"/>
      <c r="DG10" s="581"/>
      <c r="DH10" s="580"/>
      <c r="DI10" s="578"/>
      <c r="DJ10" s="579"/>
      <c r="DK10" s="580"/>
      <c r="DL10" s="580"/>
      <c r="DM10" s="581"/>
      <c r="DN10" s="581"/>
      <c r="DO10" s="580"/>
      <c r="DP10" s="578"/>
      <c r="DQ10" s="579"/>
      <c r="DR10" s="580"/>
      <c r="DS10" s="580"/>
      <c r="DT10" s="581"/>
      <c r="DU10" s="581"/>
      <c r="DV10" s="580"/>
      <c r="DW10" s="578"/>
      <c r="DX10" s="579"/>
      <c r="DY10" s="580"/>
      <c r="DZ10" s="580"/>
      <c r="EA10" s="581"/>
      <c r="EB10" s="581"/>
      <c r="EC10" s="580"/>
      <c r="ED10" s="578"/>
      <c r="EE10" s="579"/>
      <c r="EF10" s="580"/>
      <c r="EG10" s="580"/>
      <c r="EH10" s="581"/>
      <c r="EI10" s="581"/>
      <c r="EJ10" s="580"/>
      <c r="EK10" s="578"/>
      <c r="EL10" s="579"/>
      <c r="EM10" s="580"/>
      <c r="EN10" s="580"/>
      <c r="EO10" s="581"/>
      <c r="EP10" s="581"/>
      <c r="EQ10" s="580"/>
      <c r="ER10" s="578"/>
      <c r="ES10" s="579"/>
      <c r="ET10" s="580"/>
      <c r="EU10" s="580"/>
      <c r="EV10" s="581"/>
      <c r="EW10" s="581"/>
      <c r="EX10" s="580"/>
      <c r="EY10" s="578"/>
      <c r="EZ10" s="579"/>
      <c r="FA10" s="580"/>
      <c r="FB10" s="580"/>
      <c r="FC10" s="581"/>
      <c r="FD10" s="581"/>
      <c r="FE10" s="580"/>
      <c r="FF10" s="578"/>
      <c r="FG10" s="579"/>
      <c r="FH10" s="580"/>
      <c r="FI10" s="580"/>
      <c r="FJ10" s="581"/>
      <c r="FK10" s="581"/>
      <c r="FL10" s="580"/>
      <c r="FM10" s="578"/>
      <c r="FN10" s="579"/>
      <c r="FO10" s="580"/>
      <c r="FP10" s="580"/>
      <c r="FQ10" s="581"/>
      <c r="FR10" s="581"/>
      <c r="FS10" s="580"/>
      <c r="FT10" s="578"/>
      <c r="FU10" s="579"/>
      <c r="FV10" s="580"/>
      <c r="FW10" s="580"/>
      <c r="FX10" s="581"/>
      <c r="FY10" s="581"/>
      <c r="FZ10" s="580"/>
      <c r="GA10" s="578"/>
      <c r="GB10" s="579"/>
      <c r="GC10" s="580"/>
      <c r="GD10" s="580"/>
      <c r="GE10" s="581"/>
      <c r="GF10" s="581"/>
      <c r="GG10" s="580"/>
      <c r="GH10" s="578"/>
      <c r="GI10" s="579"/>
      <c r="GJ10" s="580"/>
      <c r="GK10" s="580"/>
      <c r="GL10" s="581"/>
      <c r="GM10" s="581"/>
      <c r="GN10" s="580"/>
      <c r="GO10" s="578"/>
      <c r="GP10" s="579"/>
      <c r="GQ10" s="580"/>
      <c r="GR10" s="580"/>
      <c r="GS10" s="581"/>
      <c r="GT10" s="581"/>
      <c r="GU10" s="580"/>
      <c r="GV10" s="578"/>
      <c r="GW10" s="579"/>
      <c r="GX10" s="580"/>
      <c r="GY10" s="580"/>
      <c r="GZ10" s="581"/>
      <c r="HA10" s="581"/>
      <c r="HB10" s="580"/>
      <c r="HC10" s="578"/>
      <c r="HD10" s="579"/>
      <c r="HE10" s="580"/>
      <c r="HF10" s="580"/>
      <c r="HG10" s="581"/>
      <c r="HH10" s="581"/>
      <c r="HI10" s="580"/>
      <c r="HJ10" s="578"/>
      <c r="HK10" s="579"/>
      <c r="HL10" s="580"/>
      <c r="HM10" s="580"/>
      <c r="HN10" s="581"/>
      <c r="HO10" s="581"/>
      <c r="HP10" s="580"/>
      <c r="HQ10" s="578"/>
      <c r="HR10" s="579"/>
      <c r="HS10" s="580"/>
      <c r="HT10" s="580"/>
      <c r="HU10" s="581"/>
      <c r="HV10" s="581"/>
      <c r="HW10" s="580"/>
      <c r="HX10" s="578"/>
      <c r="HY10" s="579"/>
      <c r="HZ10" s="580"/>
      <c r="IA10" s="580"/>
      <c r="IB10" s="581"/>
      <c r="IC10" s="581"/>
      <c r="ID10" s="580"/>
      <c r="IE10" s="578"/>
      <c r="IF10" s="579"/>
      <c r="IG10" s="580"/>
      <c r="IH10" s="580"/>
      <c r="II10" s="581"/>
      <c r="IJ10" s="581"/>
      <c r="IK10" s="580"/>
      <c r="IL10" s="578"/>
      <c r="IM10" s="579"/>
      <c r="IN10" s="580"/>
      <c r="IO10" s="580"/>
      <c r="IP10" s="581"/>
      <c r="IQ10" s="581"/>
      <c r="IR10" s="580"/>
      <c r="IS10" s="578"/>
      <c r="IT10" s="579"/>
      <c r="IU10" s="580"/>
      <c r="IV10" s="580"/>
    </row>
    <row r="11" spans="1:256" ht="12.75">
      <c r="A11" s="471" t="s">
        <v>270</v>
      </c>
      <c r="B11" s="54">
        <v>19483</v>
      </c>
      <c r="C11" s="248">
        <v>1609</v>
      </c>
      <c r="D11" s="248">
        <v>503</v>
      </c>
      <c r="E11" s="16">
        <v>2.5817379253708364</v>
      </c>
      <c r="F11" s="16">
        <v>31.261653200745805</v>
      </c>
      <c r="G11" s="248">
        <v>503</v>
      </c>
      <c r="H11" s="578"/>
      <c r="I11" s="579"/>
      <c r="J11" s="580"/>
      <c r="K11" s="580"/>
      <c r="L11" s="581"/>
      <c r="M11" s="581"/>
      <c r="N11" s="580"/>
      <c r="O11" s="578"/>
      <c r="P11" s="579"/>
      <c r="Q11" s="580"/>
      <c r="R11" s="580"/>
      <c r="S11" s="581"/>
      <c r="T11" s="581"/>
      <c r="U11" s="580"/>
      <c r="V11" s="578"/>
      <c r="W11" s="579"/>
      <c r="X11" s="580"/>
      <c r="Y11" s="580"/>
      <c r="Z11" s="581"/>
      <c r="AA11" s="581"/>
      <c r="AB11" s="580"/>
      <c r="AC11" s="578"/>
      <c r="AD11" s="579"/>
      <c r="AE11" s="580"/>
      <c r="AF11" s="580"/>
      <c r="AG11" s="581"/>
      <c r="AH11" s="581"/>
      <c r="AI11" s="580"/>
      <c r="AJ11" s="578"/>
      <c r="AK11" s="579"/>
      <c r="AL11" s="580"/>
      <c r="AM11" s="580"/>
      <c r="AN11" s="581"/>
      <c r="AO11" s="581"/>
      <c r="AP11" s="580"/>
      <c r="AQ11" s="578"/>
      <c r="AR11" s="579"/>
      <c r="AS11" s="580"/>
      <c r="AT11" s="580"/>
      <c r="AU11" s="581"/>
      <c r="AV11" s="581"/>
      <c r="AW11" s="580"/>
      <c r="AX11" s="578"/>
      <c r="AY11" s="579"/>
      <c r="AZ11" s="580"/>
      <c r="BA11" s="580"/>
      <c r="BB11" s="581"/>
      <c r="BC11" s="581"/>
      <c r="BD11" s="580"/>
      <c r="BE11" s="578"/>
      <c r="BF11" s="579"/>
      <c r="BG11" s="580"/>
      <c r="BH11" s="580"/>
      <c r="BI11" s="581"/>
      <c r="BJ11" s="581"/>
      <c r="BK11" s="580"/>
      <c r="BL11" s="578"/>
      <c r="BM11" s="579"/>
      <c r="BN11" s="580"/>
      <c r="BO11" s="580"/>
      <c r="BP11" s="581"/>
      <c r="BQ11" s="581"/>
      <c r="BR11" s="580"/>
      <c r="BS11" s="578"/>
      <c r="BT11" s="579"/>
      <c r="BU11" s="580"/>
      <c r="BV11" s="580"/>
      <c r="BW11" s="581"/>
      <c r="BX11" s="581"/>
      <c r="BY11" s="580"/>
      <c r="BZ11" s="578"/>
      <c r="CA11" s="579"/>
      <c r="CB11" s="580"/>
      <c r="CC11" s="580"/>
      <c r="CD11" s="581"/>
      <c r="CE11" s="581"/>
      <c r="CF11" s="580"/>
      <c r="CG11" s="578"/>
      <c r="CH11" s="579"/>
      <c r="CI11" s="580"/>
      <c r="CJ11" s="580"/>
      <c r="CK11" s="581"/>
      <c r="CL11" s="581"/>
      <c r="CM11" s="580"/>
      <c r="CN11" s="578"/>
      <c r="CO11" s="579"/>
      <c r="CP11" s="580"/>
      <c r="CQ11" s="580"/>
      <c r="CR11" s="581"/>
      <c r="CS11" s="581"/>
      <c r="CT11" s="580"/>
      <c r="CU11" s="578"/>
      <c r="CV11" s="579"/>
      <c r="CW11" s="580"/>
      <c r="CX11" s="580"/>
      <c r="CY11" s="581"/>
      <c r="CZ11" s="581"/>
      <c r="DA11" s="580"/>
      <c r="DB11" s="578"/>
      <c r="DC11" s="579"/>
      <c r="DD11" s="580"/>
      <c r="DE11" s="580"/>
      <c r="DF11" s="581"/>
      <c r="DG11" s="581"/>
      <c r="DH11" s="580"/>
      <c r="DI11" s="578"/>
      <c r="DJ11" s="579"/>
      <c r="DK11" s="580"/>
      <c r="DL11" s="580"/>
      <c r="DM11" s="581"/>
      <c r="DN11" s="581"/>
      <c r="DO11" s="580"/>
      <c r="DP11" s="578"/>
      <c r="DQ11" s="579"/>
      <c r="DR11" s="580"/>
      <c r="DS11" s="580"/>
      <c r="DT11" s="581"/>
      <c r="DU11" s="581"/>
      <c r="DV11" s="580"/>
      <c r="DW11" s="578"/>
      <c r="DX11" s="579"/>
      <c r="DY11" s="580"/>
      <c r="DZ11" s="580"/>
      <c r="EA11" s="581"/>
      <c r="EB11" s="581"/>
      <c r="EC11" s="580"/>
      <c r="ED11" s="578"/>
      <c r="EE11" s="579"/>
      <c r="EF11" s="580"/>
      <c r="EG11" s="580"/>
      <c r="EH11" s="581"/>
      <c r="EI11" s="581"/>
      <c r="EJ11" s="580"/>
      <c r="EK11" s="578"/>
      <c r="EL11" s="579"/>
      <c r="EM11" s="580"/>
      <c r="EN11" s="580"/>
      <c r="EO11" s="581"/>
      <c r="EP11" s="581"/>
      <c r="EQ11" s="580"/>
      <c r="ER11" s="578"/>
      <c r="ES11" s="579"/>
      <c r="ET11" s="580"/>
      <c r="EU11" s="580"/>
      <c r="EV11" s="581"/>
      <c r="EW11" s="581"/>
      <c r="EX11" s="580"/>
      <c r="EY11" s="578"/>
      <c r="EZ11" s="579"/>
      <c r="FA11" s="580"/>
      <c r="FB11" s="580"/>
      <c r="FC11" s="581"/>
      <c r="FD11" s="581"/>
      <c r="FE11" s="580"/>
      <c r="FF11" s="578"/>
      <c r="FG11" s="579"/>
      <c r="FH11" s="580"/>
      <c r="FI11" s="580"/>
      <c r="FJ11" s="581"/>
      <c r="FK11" s="581"/>
      <c r="FL11" s="580"/>
      <c r="FM11" s="578"/>
      <c r="FN11" s="579"/>
      <c r="FO11" s="580"/>
      <c r="FP11" s="580"/>
      <c r="FQ11" s="581"/>
      <c r="FR11" s="581"/>
      <c r="FS11" s="580"/>
      <c r="FT11" s="578"/>
      <c r="FU11" s="579"/>
      <c r="FV11" s="580"/>
      <c r="FW11" s="580"/>
      <c r="FX11" s="581"/>
      <c r="FY11" s="581"/>
      <c r="FZ11" s="580"/>
      <c r="GA11" s="578"/>
      <c r="GB11" s="579"/>
      <c r="GC11" s="580"/>
      <c r="GD11" s="580"/>
      <c r="GE11" s="581"/>
      <c r="GF11" s="581"/>
      <c r="GG11" s="580"/>
      <c r="GH11" s="578"/>
      <c r="GI11" s="579"/>
      <c r="GJ11" s="580"/>
      <c r="GK11" s="580"/>
      <c r="GL11" s="581"/>
      <c r="GM11" s="581"/>
      <c r="GN11" s="580"/>
      <c r="GO11" s="578"/>
      <c r="GP11" s="579"/>
      <c r="GQ11" s="580"/>
      <c r="GR11" s="580"/>
      <c r="GS11" s="581"/>
      <c r="GT11" s="581"/>
      <c r="GU11" s="580"/>
      <c r="GV11" s="578"/>
      <c r="GW11" s="579"/>
      <c r="GX11" s="580"/>
      <c r="GY11" s="580"/>
      <c r="GZ11" s="581"/>
      <c r="HA11" s="581"/>
      <c r="HB11" s="580"/>
      <c r="HC11" s="578"/>
      <c r="HD11" s="579"/>
      <c r="HE11" s="580"/>
      <c r="HF11" s="580"/>
      <c r="HG11" s="581"/>
      <c r="HH11" s="581"/>
      <c r="HI11" s="580"/>
      <c r="HJ11" s="578"/>
      <c r="HK11" s="579"/>
      <c r="HL11" s="580"/>
      <c r="HM11" s="580"/>
      <c r="HN11" s="581"/>
      <c r="HO11" s="581"/>
      <c r="HP11" s="580"/>
      <c r="HQ11" s="578"/>
      <c r="HR11" s="579"/>
      <c r="HS11" s="580"/>
      <c r="HT11" s="580"/>
      <c r="HU11" s="581"/>
      <c r="HV11" s="581"/>
      <c r="HW11" s="580"/>
      <c r="HX11" s="578"/>
      <c r="HY11" s="579"/>
      <c r="HZ11" s="580"/>
      <c r="IA11" s="580"/>
      <c r="IB11" s="581"/>
      <c r="IC11" s="581"/>
      <c r="ID11" s="580"/>
      <c r="IE11" s="578"/>
      <c r="IF11" s="579"/>
      <c r="IG11" s="580"/>
      <c r="IH11" s="580"/>
      <c r="II11" s="581"/>
      <c r="IJ11" s="581"/>
      <c r="IK11" s="580"/>
      <c r="IL11" s="578"/>
      <c r="IM11" s="579"/>
      <c r="IN11" s="580"/>
      <c r="IO11" s="580"/>
      <c r="IP11" s="581"/>
      <c r="IQ11" s="581"/>
      <c r="IR11" s="580"/>
      <c r="IS11" s="578"/>
      <c r="IT11" s="579"/>
      <c r="IU11" s="580"/>
      <c r="IV11" s="580"/>
    </row>
    <row r="12" spans="1:256" ht="12.75">
      <c r="A12" s="504" t="s">
        <v>271</v>
      </c>
      <c r="B12" s="502">
        <v>12365</v>
      </c>
      <c r="C12" s="503">
        <v>193</v>
      </c>
      <c r="D12" s="503">
        <v>100</v>
      </c>
      <c r="E12" s="279">
        <v>0.8087343307723414</v>
      </c>
      <c r="F12" s="279">
        <v>51.813471502590666</v>
      </c>
      <c r="G12" s="503">
        <v>100</v>
      </c>
      <c r="H12" s="577"/>
      <c r="I12" s="575"/>
      <c r="J12" s="422"/>
      <c r="K12" s="422"/>
      <c r="L12" s="576"/>
      <c r="M12" s="576"/>
      <c r="N12" s="422"/>
      <c r="O12" s="577"/>
      <c r="P12" s="575"/>
      <c r="Q12" s="422"/>
      <c r="R12" s="422"/>
      <c r="S12" s="576"/>
      <c r="T12" s="576"/>
      <c r="U12" s="422"/>
      <c r="V12" s="577"/>
      <c r="W12" s="575"/>
      <c r="X12" s="422"/>
      <c r="Y12" s="422"/>
      <c r="Z12" s="576"/>
      <c r="AA12" s="576"/>
      <c r="AB12" s="422"/>
      <c r="AC12" s="577"/>
      <c r="AD12" s="575"/>
      <c r="AE12" s="422"/>
      <c r="AF12" s="422"/>
      <c r="AG12" s="576"/>
      <c r="AH12" s="576"/>
      <c r="AI12" s="422"/>
      <c r="AJ12" s="577"/>
      <c r="AK12" s="575"/>
      <c r="AL12" s="422"/>
      <c r="AM12" s="422"/>
      <c r="AN12" s="576"/>
      <c r="AO12" s="576"/>
      <c r="AP12" s="422"/>
      <c r="AQ12" s="577"/>
      <c r="AR12" s="575"/>
      <c r="AS12" s="422"/>
      <c r="AT12" s="422"/>
      <c r="AU12" s="576"/>
      <c r="AV12" s="576"/>
      <c r="AW12" s="422"/>
      <c r="AX12" s="577"/>
      <c r="AY12" s="575"/>
      <c r="AZ12" s="422"/>
      <c r="BA12" s="422"/>
      <c r="BB12" s="576"/>
      <c r="BC12" s="576"/>
      <c r="BD12" s="422"/>
      <c r="BE12" s="577"/>
      <c r="BF12" s="575"/>
      <c r="BG12" s="422"/>
      <c r="BH12" s="422"/>
      <c r="BI12" s="576"/>
      <c r="BJ12" s="576"/>
      <c r="BK12" s="422"/>
      <c r="BL12" s="577"/>
      <c r="BM12" s="575"/>
      <c r="BN12" s="422"/>
      <c r="BO12" s="422"/>
      <c r="BP12" s="576"/>
      <c r="BQ12" s="576"/>
      <c r="BR12" s="422"/>
      <c r="BS12" s="577"/>
      <c r="BT12" s="575"/>
      <c r="BU12" s="422"/>
      <c r="BV12" s="422"/>
      <c r="BW12" s="576"/>
      <c r="BX12" s="576"/>
      <c r="BY12" s="422"/>
      <c r="BZ12" s="577"/>
      <c r="CA12" s="575"/>
      <c r="CB12" s="422"/>
      <c r="CC12" s="422"/>
      <c r="CD12" s="576"/>
      <c r="CE12" s="576"/>
      <c r="CF12" s="422"/>
      <c r="CG12" s="577"/>
      <c r="CH12" s="575"/>
      <c r="CI12" s="422"/>
      <c r="CJ12" s="422"/>
      <c r="CK12" s="576"/>
      <c r="CL12" s="576"/>
      <c r="CM12" s="422"/>
      <c r="CN12" s="577"/>
      <c r="CO12" s="575"/>
      <c r="CP12" s="422"/>
      <c r="CQ12" s="422"/>
      <c r="CR12" s="576"/>
      <c r="CS12" s="576"/>
      <c r="CT12" s="422"/>
      <c r="CU12" s="577"/>
      <c r="CV12" s="575"/>
      <c r="CW12" s="422"/>
      <c r="CX12" s="422"/>
      <c r="CY12" s="576"/>
      <c r="CZ12" s="576"/>
      <c r="DA12" s="422"/>
      <c r="DB12" s="577"/>
      <c r="DC12" s="575"/>
      <c r="DD12" s="422"/>
      <c r="DE12" s="422"/>
      <c r="DF12" s="576"/>
      <c r="DG12" s="576"/>
      <c r="DH12" s="422"/>
      <c r="DI12" s="577"/>
      <c r="DJ12" s="575"/>
      <c r="DK12" s="422"/>
      <c r="DL12" s="422"/>
      <c r="DM12" s="576"/>
      <c r="DN12" s="576"/>
      <c r="DO12" s="422"/>
      <c r="DP12" s="577"/>
      <c r="DQ12" s="575"/>
      <c r="DR12" s="422"/>
      <c r="DS12" s="422"/>
      <c r="DT12" s="576"/>
      <c r="DU12" s="576"/>
      <c r="DV12" s="422"/>
      <c r="DW12" s="577"/>
      <c r="DX12" s="575"/>
      <c r="DY12" s="422"/>
      <c r="DZ12" s="422"/>
      <c r="EA12" s="576"/>
      <c r="EB12" s="576"/>
      <c r="EC12" s="422"/>
      <c r="ED12" s="577"/>
      <c r="EE12" s="575"/>
      <c r="EF12" s="422"/>
      <c r="EG12" s="422"/>
      <c r="EH12" s="576"/>
      <c r="EI12" s="576"/>
      <c r="EJ12" s="422"/>
      <c r="EK12" s="577"/>
      <c r="EL12" s="575"/>
      <c r="EM12" s="422"/>
      <c r="EN12" s="422"/>
      <c r="EO12" s="576"/>
      <c r="EP12" s="576"/>
      <c r="EQ12" s="422"/>
      <c r="ER12" s="577"/>
      <c r="ES12" s="575"/>
      <c r="ET12" s="422"/>
      <c r="EU12" s="422"/>
      <c r="EV12" s="576"/>
      <c r="EW12" s="576"/>
      <c r="EX12" s="422"/>
      <c r="EY12" s="577"/>
      <c r="EZ12" s="575"/>
      <c r="FA12" s="422"/>
      <c r="FB12" s="422"/>
      <c r="FC12" s="576"/>
      <c r="FD12" s="576"/>
      <c r="FE12" s="422"/>
      <c r="FF12" s="577"/>
      <c r="FG12" s="575"/>
      <c r="FH12" s="422"/>
      <c r="FI12" s="422"/>
      <c r="FJ12" s="576"/>
      <c r="FK12" s="576"/>
      <c r="FL12" s="422"/>
      <c r="FM12" s="577"/>
      <c r="FN12" s="575"/>
      <c r="FO12" s="422"/>
      <c r="FP12" s="422"/>
      <c r="FQ12" s="576"/>
      <c r="FR12" s="576"/>
      <c r="FS12" s="422"/>
      <c r="FT12" s="577"/>
      <c r="FU12" s="575"/>
      <c r="FV12" s="422"/>
      <c r="FW12" s="422"/>
      <c r="FX12" s="576"/>
      <c r="FY12" s="576"/>
      <c r="FZ12" s="422"/>
      <c r="GA12" s="577"/>
      <c r="GB12" s="575"/>
      <c r="GC12" s="422"/>
      <c r="GD12" s="422"/>
      <c r="GE12" s="576"/>
      <c r="GF12" s="576"/>
      <c r="GG12" s="422"/>
      <c r="GH12" s="577"/>
      <c r="GI12" s="575"/>
      <c r="GJ12" s="422"/>
      <c r="GK12" s="422"/>
      <c r="GL12" s="576"/>
      <c r="GM12" s="576"/>
      <c r="GN12" s="422"/>
      <c r="GO12" s="577"/>
      <c r="GP12" s="575"/>
      <c r="GQ12" s="422"/>
      <c r="GR12" s="422"/>
      <c r="GS12" s="576"/>
      <c r="GT12" s="576"/>
      <c r="GU12" s="422"/>
      <c r="GV12" s="577"/>
      <c r="GW12" s="575"/>
      <c r="GX12" s="422"/>
      <c r="GY12" s="422"/>
      <c r="GZ12" s="576"/>
      <c r="HA12" s="576"/>
      <c r="HB12" s="422"/>
      <c r="HC12" s="577"/>
      <c r="HD12" s="575"/>
      <c r="HE12" s="422"/>
      <c r="HF12" s="422"/>
      <c r="HG12" s="576"/>
      <c r="HH12" s="576"/>
      <c r="HI12" s="422"/>
      <c r="HJ12" s="577"/>
      <c r="HK12" s="575"/>
      <c r="HL12" s="422"/>
      <c r="HM12" s="422"/>
      <c r="HN12" s="576"/>
      <c r="HO12" s="576"/>
      <c r="HP12" s="422"/>
      <c r="HQ12" s="577"/>
      <c r="HR12" s="575"/>
      <c r="HS12" s="422"/>
      <c r="HT12" s="422"/>
      <c r="HU12" s="576"/>
      <c r="HV12" s="576"/>
      <c r="HW12" s="422"/>
      <c r="HX12" s="577"/>
      <c r="HY12" s="575"/>
      <c r="HZ12" s="422"/>
      <c r="IA12" s="422"/>
      <c r="IB12" s="576"/>
      <c r="IC12" s="576"/>
      <c r="ID12" s="422"/>
      <c r="IE12" s="577"/>
      <c r="IF12" s="575"/>
      <c r="IG12" s="422"/>
      <c r="IH12" s="422"/>
      <c r="II12" s="576"/>
      <c r="IJ12" s="576"/>
      <c r="IK12" s="422"/>
      <c r="IL12" s="577"/>
      <c r="IM12" s="575"/>
      <c r="IN12" s="422"/>
      <c r="IO12" s="422"/>
      <c r="IP12" s="576"/>
      <c r="IQ12" s="576"/>
      <c r="IR12" s="422"/>
      <c r="IS12" s="577"/>
      <c r="IT12" s="575"/>
      <c r="IU12" s="422"/>
      <c r="IV12" s="422"/>
    </row>
    <row r="13" spans="1:256" ht="12.75">
      <c r="A13" s="471" t="s">
        <v>269</v>
      </c>
      <c r="B13" s="54">
        <v>7130</v>
      </c>
      <c r="C13" s="248">
        <v>94</v>
      </c>
      <c r="D13" s="248">
        <v>38</v>
      </c>
      <c r="E13" s="16">
        <v>0.5329593267882188</v>
      </c>
      <c r="F13" s="16">
        <v>40.42553191489361</v>
      </c>
      <c r="G13" s="248">
        <v>38</v>
      </c>
      <c r="H13" s="578"/>
      <c r="I13" s="579"/>
      <c r="J13" s="580"/>
      <c r="K13" s="580"/>
      <c r="L13" s="581"/>
      <c r="M13" s="581"/>
      <c r="N13" s="580"/>
      <c r="O13" s="578"/>
      <c r="P13" s="579"/>
      <c r="Q13" s="580"/>
      <c r="R13" s="580"/>
      <c r="S13" s="581"/>
      <c r="T13" s="581"/>
      <c r="U13" s="580"/>
      <c r="V13" s="578"/>
      <c r="W13" s="579"/>
      <c r="X13" s="580"/>
      <c r="Y13" s="580"/>
      <c r="Z13" s="581"/>
      <c r="AA13" s="581"/>
      <c r="AB13" s="580"/>
      <c r="AC13" s="578"/>
      <c r="AD13" s="579"/>
      <c r="AE13" s="580"/>
      <c r="AF13" s="580"/>
      <c r="AG13" s="581"/>
      <c r="AH13" s="581"/>
      <c r="AI13" s="580"/>
      <c r="AJ13" s="578"/>
      <c r="AK13" s="579"/>
      <c r="AL13" s="580"/>
      <c r="AM13" s="580"/>
      <c r="AN13" s="581"/>
      <c r="AO13" s="581"/>
      <c r="AP13" s="580"/>
      <c r="AQ13" s="578"/>
      <c r="AR13" s="579"/>
      <c r="AS13" s="580"/>
      <c r="AT13" s="580"/>
      <c r="AU13" s="581"/>
      <c r="AV13" s="581"/>
      <c r="AW13" s="580"/>
      <c r="AX13" s="578"/>
      <c r="AY13" s="579"/>
      <c r="AZ13" s="580"/>
      <c r="BA13" s="580"/>
      <c r="BB13" s="581"/>
      <c r="BC13" s="581"/>
      <c r="BD13" s="580"/>
      <c r="BE13" s="578"/>
      <c r="BF13" s="579"/>
      <c r="BG13" s="580"/>
      <c r="BH13" s="580"/>
      <c r="BI13" s="581"/>
      <c r="BJ13" s="581"/>
      <c r="BK13" s="580"/>
      <c r="BL13" s="578"/>
      <c r="BM13" s="579"/>
      <c r="BN13" s="580"/>
      <c r="BO13" s="580"/>
      <c r="BP13" s="581"/>
      <c r="BQ13" s="581"/>
      <c r="BR13" s="580"/>
      <c r="BS13" s="578"/>
      <c r="BT13" s="579"/>
      <c r="BU13" s="580"/>
      <c r="BV13" s="580"/>
      <c r="BW13" s="581"/>
      <c r="BX13" s="581"/>
      <c r="BY13" s="580"/>
      <c r="BZ13" s="578"/>
      <c r="CA13" s="579"/>
      <c r="CB13" s="580"/>
      <c r="CC13" s="580"/>
      <c r="CD13" s="581"/>
      <c r="CE13" s="581"/>
      <c r="CF13" s="580"/>
      <c r="CG13" s="578"/>
      <c r="CH13" s="579"/>
      <c r="CI13" s="580"/>
      <c r="CJ13" s="580"/>
      <c r="CK13" s="581"/>
      <c r="CL13" s="581"/>
      <c r="CM13" s="580"/>
      <c r="CN13" s="578"/>
      <c r="CO13" s="579"/>
      <c r="CP13" s="580"/>
      <c r="CQ13" s="580"/>
      <c r="CR13" s="581"/>
      <c r="CS13" s="581"/>
      <c r="CT13" s="580"/>
      <c r="CU13" s="578"/>
      <c r="CV13" s="579"/>
      <c r="CW13" s="580"/>
      <c r="CX13" s="580"/>
      <c r="CY13" s="581"/>
      <c r="CZ13" s="581"/>
      <c r="DA13" s="580"/>
      <c r="DB13" s="578"/>
      <c r="DC13" s="579"/>
      <c r="DD13" s="580"/>
      <c r="DE13" s="580"/>
      <c r="DF13" s="581"/>
      <c r="DG13" s="581"/>
      <c r="DH13" s="580"/>
      <c r="DI13" s="578"/>
      <c r="DJ13" s="579"/>
      <c r="DK13" s="580"/>
      <c r="DL13" s="580"/>
      <c r="DM13" s="581"/>
      <c r="DN13" s="581"/>
      <c r="DO13" s="580"/>
      <c r="DP13" s="578"/>
      <c r="DQ13" s="579"/>
      <c r="DR13" s="580"/>
      <c r="DS13" s="580"/>
      <c r="DT13" s="581"/>
      <c r="DU13" s="581"/>
      <c r="DV13" s="580"/>
      <c r="DW13" s="578"/>
      <c r="DX13" s="579"/>
      <c r="DY13" s="580"/>
      <c r="DZ13" s="580"/>
      <c r="EA13" s="581"/>
      <c r="EB13" s="581"/>
      <c r="EC13" s="580"/>
      <c r="ED13" s="578"/>
      <c r="EE13" s="579"/>
      <c r="EF13" s="580"/>
      <c r="EG13" s="580"/>
      <c r="EH13" s="581"/>
      <c r="EI13" s="581"/>
      <c r="EJ13" s="580"/>
      <c r="EK13" s="578"/>
      <c r="EL13" s="579"/>
      <c r="EM13" s="580"/>
      <c r="EN13" s="580"/>
      <c r="EO13" s="581"/>
      <c r="EP13" s="581"/>
      <c r="EQ13" s="580"/>
      <c r="ER13" s="578"/>
      <c r="ES13" s="579"/>
      <c r="ET13" s="580"/>
      <c r="EU13" s="580"/>
      <c r="EV13" s="581"/>
      <c r="EW13" s="581"/>
      <c r="EX13" s="580"/>
      <c r="EY13" s="578"/>
      <c r="EZ13" s="579"/>
      <c r="FA13" s="580"/>
      <c r="FB13" s="580"/>
      <c r="FC13" s="581"/>
      <c r="FD13" s="581"/>
      <c r="FE13" s="580"/>
      <c r="FF13" s="578"/>
      <c r="FG13" s="579"/>
      <c r="FH13" s="580"/>
      <c r="FI13" s="580"/>
      <c r="FJ13" s="581"/>
      <c r="FK13" s="581"/>
      <c r="FL13" s="580"/>
      <c r="FM13" s="578"/>
      <c r="FN13" s="579"/>
      <c r="FO13" s="580"/>
      <c r="FP13" s="580"/>
      <c r="FQ13" s="581"/>
      <c r="FR13" s="581"/>
      <c r="FS13" s="580"/>
      <c r="FT13" s="578"/>
      <c r="FU13" s="579"/>
      <c r="FV13" s="580"/>
      <c r="FW13" s="580"/>
      <c r="FX13" s="581"/>
      <c r="FY13" s="581"/>
      <c r="FZ13" s="580"/>
      <c r="GA13" s="578"/>
      <c r="GB13" s="579"/>
      <c r="GC13" s="580"/>
      <c r="GD13" s="580"/>
      <c r="GE13" s="581"/>
      <c r="GF13" s="581"/>
      <c r="GG13" s="580"/>
      <c r="GH13" s="578"/>
      <c r="GI13" s="579"/>
      <c r="GJ13" s="580"/>
      <c r="GK13" s="580"/>
      <c r="GL13" s="581"/>
      <c r="GM13" s="581"/>
      <c r="GN13" s="580"/>
      <c r="GO13" s="578"/>
      <c r="GP13" s="579"/>
      <c r="GQ13" s="580"/>
      <c r="GR13" s="580"/>
      <c r="GS13" s="581"/>
      <c r="GT13" s="581"/>
      <c r="GU13" s="580"/>
      <c r="GV13" s="578"/>
      <c r="GW13" s="579"/>
      <c r="GX13" s="580"/>
      <c r="GY13" s="580"/>
      <c r="GZ13" s="581"/>
      <c r="HA13" s="581"/>
      <c r="HB13" s="580"/>
      <c r="HC13" s="578"/>
      <c r="HD13" s="579"/>
      <c r="HE13" s="580"/>
      <c r="HF13" s="580"/>
      <c r="HG13" s="581"/>
      <c r="HH13" s="581"/>
      <c r="HI13" s="580"/>
      <c r="HJ13" s="578"/>
      <c r="HK13" s="579"/>
      <c r="HL13" s="580"/>
      <c r="HM13" s="580"/>
      <c r="HN13" s="581"/>
      <c r="HO13" s="581"/>
      <c r="HP13" s="580"/>
      <c r="HQ13" s="578"/>
      <c r="HR13" s="579"/>
      <c r="HS13" s="580"/>
      <c r="HT13" s="580"/>
      <c r="HU13" s="581"/>
      <c r="HV13" s="581"/>
      <c r="HW13" s="580"/>
      <c r="HX13" s="578"/>
      <c r="HY13" s="579"/>
      <c r="HZ13" s="580"/>
      <c r="IA13" s="580"/>
      <c r="IB13" s="581"/>
      <c r="IC13" s="581"/>
      <c r="ID13" s="580"/>
      <c r="IE13" s="578"/>
      <c r="IF13" s="579"/>
      <c r="IG13" s="580"/>
      <c r="IH13" s="580"/>
      <c r="II13" s="581"/>
      <c r="IJ13" s="581"/>
      <c r="IK13" s="580"/>
      <c r="IL13" s="578"/>
      <c r="IM13" s="579"/>
      <c r="IN13" s="580"/>
      <c r="IO13" s="580"/>
      <c r="IP13" s="581"/>
      <c r="IQ13" s="581"/>
      <c r="IR13" s="580"/>
      <c r="IS13" s="578"/>
      <c r="IT13" s="579"/>
      <c r="IU13" s="580"/>
      <c r="IV13" s="580"/>
    </row>
    <row r="14" spans="1:256" ht="12.75">
      <c r="A14" s="471" t="s">
        <v>270</v>
      </c>
      <c r="B14" s="54">
        <v>5235</v>
      </c>
      <c r="C14" s="468">
        <v>99</v>
      </c>
      <c r="D14" s="468">
        <v>62</v>
      </c>
      <c r="E14" s="16">
        <v>1.1843361986628462</v>
      </c>
      <c r="F14" s="16">
        <v>62.62626262626263</v>
      </c>
      <c r="G14" s="468">
        <v>62</v>
      </c>
      <c r="H14" s="578"/>
      <c r="I14" s="579"/>
      <c r="J14" s="582"/>
      <c r="K14" s="582"/>
      <c r="L14" s="581"/>
      <c r="M14" s="581"/>
      <c r="N14" s="582"/>
      <c r="O14" s="578"/>
      <c r="P14" s="579"/>
      <c r="Q14" s="582"/>
      <c r="R14" s="582"/>
      <c r="S14" s="581"/>
      <c r="T14" s="581"/>
      <c r="U14" s="582"/>
      <c r="V14" s="578"/>
      <c r="W14" s="579"/>
      <c r="X14" s="582"/>
      <c r="Y14" s="582"/>
      <c r="Z14" s="581"/>
      <c r="AA14" s="581"/>
      <c r="AB14" s="582"/>
      <c r="AC14" s="578"/>
      <c r="AD14" s="579"/>
      <c r="AE14" s="582"/>
      <c r="AF14" s="582"/>
      <c r="AG14" s="581"/>
      <c r="AH14" s="581"/>
      <c r="AI14" s="582"/>
      <c r="AJ14" s="578"/>
      <c r="AK14" s="579"/>
      <c r="AL14" s="582"/>
      <c r="AM14" s="582"/>
      <c r="AN14" s="581"/>
      <c r="AO14" s="581"/>
      <c r="AP14" s="582"/>
      <c r="AQ14" s="578"/>
      <c r="AR14" s="579"/>
      <c r="AS14" s="582"/>
      <c r="AT14" s="582"/>
      <c r="AU14" s="581"/>
      <c r="AV14" s="581"/>
      <c r="AW14" s="582"/>
      <c r="AX14" s="578"/>
      <c r="AY14" s="579"/>
      <c r="AZ14" s="582"/>
      <c r="BA14" s="582"/>
      <c r="BB14" s="581"/>
      <c r="BC14" s="581"/>
      <c r="BD14" s="582"/>
      <c r="BE14" s="578"/>
      <c r="BF14" s="579"/>
      <c r="BG14" s="582"/>
      <c r="BH14" s="582"/>
      <c r="BI14" s="581"/>
      <c r="BJ14" s="581"/>
      <c r="BK14" s="582"/>
      <c r="BL14" s="578"/>
      <c r="BM14" s="579"/>
      <c r="BN14" s="582"/>
      <c r="BO14" s="582"/>
      <c r="BP14" s="581"/>
      <c r="BQ14" s="581"/>
      <c r="BR14" s="582"/>
      <c r="BS14" s="578"/>
      <c r="BT14" s="579"/>
      <c r="BU14" s="582"/>
      <c r="BV14" s="582"/>
      <c r="BW14" s="581"/>
      <c r="BX14" s="581"/>
      <c r="BY14" s="582"/>
      <c r="BZ14" s="578"/>
      <c r="CA14" s="579"/>
      <c r="CB14" s="582"/>
      <c r="CC14" s="582"/>
      <c r="CD14" s="581"/>
      <c r="CE14" s="581"/>
      <c r="CF14" s="582"/>
      <c r="CG14" s="578"/>
      <c r="CH14" s="579"/>
      <c r="CI14" s="582"/>
      <c r="CJ14" s="582"/>
      <c r="CK14" s="581"/>
      <c r="CL14" s="581"/>
      <c r="CM14" s="582"/>
      <c r="CN14" s="578"/>
      <c r="CO14" s="579"/>
      <c r="CP14" s="582"/>
      <c r="CQ14" s="582"/>
      <c r="CR14" s="581"/>
      <c r="CS14" s="581"/>
      <c r="CT14" s="582"/>
      <c r="CU14" s="578"/>
      <c r="CV14" s="579"/>
      <c r="CW14" s="582"/>
      <c r="CX14" s="582"/>
      <c r="CY14" s="581"/>
      <c r="CZ14" s="581"/>
      <c r="DA14" s="582"/>
      <c r="DB14" s="578"/>
      <c r="DC14" s="579"/>
      <c r="DD14" s="582"/>
      <c r="DE14" s="582"/>
      <c r="DF14" s="581"/>
      <c r="DG14" s="581"/>
      <c r="DH14" s="582"/>
      <c r="DI14" s="578"/>
      <c r="DJ14" s="579"/>
      <c r="DK14" s="582"/>
      <c r="DL14" s="582"/>
      <c r="DM14" s="581"/>
      <c r="DN14" s="581"/>
      <c r="DO14" s="582"/>
      <c r="DP14" s="578"/>
      <c r="DQ14" s="579"/>
      <c r="DR14" s="582"/>
      <c r="DS14" s="582"/>
      <c r="DT14" s="581"/>
      <c r="DU14" s="581"/>
      <c r="DV14" s="582"/>
      <c r="DW14" s="578"/>
      <c r="DX14" s="579"/>
      <c r="DY14" s="582"/>
      <c r="DZ14" s="582"/>
      <c r="EA14" s="581"/>
      <c r="EB14" s="581"/>
      <c r="EC14" s="582"/>
      <c r="ED14" s="578"/>
      <c r="EE14" s="579"/>
      <c r="EF14" s="582"/>
      <c r="EG14" s="582"/>
      <c r="EH14" s="581"/>
      <c r="EI14" s="581"/>
      <c r="EJ14" s="582"/>
      <c r="EK14" s="578"/>
      <c r="EL14" s="579"/>
      <c r="EM14" s="582"/>
      <c r="EN14" s="582"/>
      <c r="EO14" s="581"/>
      <c r="EP14" s="581"/>
      <c r="EQ14" s="582"/>
      <c r="ER14" s="578"/>
      <c r="ES14" s="579"/>
      <c r="ET14" s="582"/>
      <c r="EU14" s="582"/>
      <c r="EV14" s="581"/>
      <c r="EW14" s="581"/>
      <c r="EX14" s="582"/>
      <c r="EY14" s="578"/>
      <c r="EZ14" s="579"/>
      <c r="FA14" s="582"/>
      <c r="FB14" s="582"/>
      <c r="FC14" s="581"/>
      <c r="FD14" s="581"/>
      <c r="FE14" s="582"/>
      <c r="FF14" s="578"/>
      <c r="FG14" s="579"/>
      <c r="FH14" s="582"/>
      <c r="FI14" s="582"/>
      <c r="FJ14" s="581"/>
      <c r="FK14" s="581"/>
      <c r="FL14" s="582"/>
      <c r="FM14" s="578"/>
      <c r="FN14" s="579"/>
      <c r="FO14" s="582"/>
      <c r="FP14" s="582"/>
      <c r="FQ14" s="581"/>
      <c r="FR14" s="581"/>
      <c r="FS14" s="582"/>
      <c r="FT14" s="578"/>
      <c r="FU14" s="579"/>
      <c r="FV14" s="582"/>
      <c r="FW14" s="582"/>
      <c r="FX14" s="581"/>
      <c r="FY14" s="581"/>
      <c r="FZ14" s="582"/>
      <c r="GA14" s="578"/>
      <c r="GB14" s="579"/>
      <c r="GC14" s="582"/>
      <c r="GD14" s="582"/>
      <c r="GE14" s="581"/>
      <c r="GF14" s="581"/>
      <c r="GG14" s="582"/>
      <c r="GH14" s="578"/>
      <c r="GI14" s="579"/>
      <c r="GJ14" s="582"/>
      <c r="GK14" s="582"/>
      <c r="GL14" s="581"/>
      <c r="GM14" s="581"/>
      <c r="GN14" s="582"/>
      <c r="GO14" s="578"/>
      <c r="GP14" s="579"/>
      <c r="GQ14" s="582"/>
      <c r="GR14" s="582"/>
      <c r="GS14" s="581"/>
      <c r="GT14" s="581"/>
      <c r="GU14" s="582"/>
      <c r="GV14" s="578"/>
      <c r="GW14" s="579"/>
      <c r="GX14" s="582"/>
      <c r="GY14" s="582"/>
      <c r="GZ14" s="581"/>
      <c r="HA14" s="581"/>
      <c r="HB14" s="582"/>
      <c r="HC14" s="578"/>
      <c r="HD14" s="579"/>
      <c r="HE14" s="582"/>
      <c r="HF14" s="582"/>
      <c r="HG14" s="581"/>
      <c r="HH14" s="581"/>
      <c r="HI14" s="582"/>
      <c r="HJ14" s="578"/>
      <c r="HK14" s="579"/>
      <c r="HL14" s="582"/>
      <c r="HM14" s="582"/>
      <c r="HN14" s="581"/>
      <c r="HO14" s="581"/>
      <c r="HP14" s="582"/>
      <c r="HQ14" s="578"/>
      <c r="HR14" s="579"/>
      <c r="HS14" s="582"/>
      <c r="HT14" s="582"/>
      <c r="HU14" s="581"/>
      <c r="HV14" s="581"/>
      <c r="HW14" s="582"/>
      <c r="HX14" s="578"/>
      <c r="HY14" s="579"/>
      <c r="HZ14" s="582"/>
      <c r="IA14" s="582"/>
      <c r="IB14" s="581"/>
      <c r="IC14" s="581"/>
      <c r="ID14" s="582"/>
      <c r="IE14" s="578"/>
      <c r="IF14" s="579"/>
      <c r="IG14" s="582"/>
      <c r="IH14" s="582"/>
      <c r="II14" s="581"/>
      <c r="IJ14" s="581"/>
      <c r="IK14" s="582"/>
      <c r="IL14" s="578"/>
      <c r="IM14" s="579"/>
      <c r="IN14" s="582"/>
      <c r="IO14" s="582"/>
      <c r="IP14" s="581"/>
      <c r="IQ14" s="581"/>
      <c r="IR14" s="582"/>
      <c r="IS14" s="578"/>
      <c r="IT14" s="579"/>
      <c r="IU14" s="582"/>
      <c r="IV14" s="582"/>
    </row>
    <row r="15" spans="1:256" ht="12.75">
      <c r="A15" s="32" t="s">
        <v>319</v>
      </c>
      <c r="B15" s="248"/>
      <c r="C15" s="248"/>
      <c r="D15" s="248"/>
      <c r="E15" s="16"/>
      <c r="F15" s="16"/>
      <c r="G15" s="248"/>
      <c r="H15" s="583"/>
      <c r="I15" s="580"/>
      <c r="J15" s="580"/>
      <c r="K15" s="580"/>
      <c r="L15" s="581"/>
      <c r="M15" s="581"/>
      <c r="N15" s="580"/>
      <c r="O15" s="583"/>
      <c r="P15" s="580"/>
      <c r="Q15" s="580"/>
      <c r="R15" s="580"/>
      <c r="S15" s="581"/>
      <c r="T15" s="581"/>
      <c r="U15" s="580"/>
      <c r="V15" s="583"/>
      <c r="W15" s="580"/>
      <c r="X15" s="580"/>
      <c r="Y15" s="580"/>
      <c r="Z15" s="581"/>
      <c r="AA15" s="581"/>
      <c r="AB15" s="580"/>
      <c r="AC15" s="583"/>
      <c r="AD15" s="580"/>
      <c r="AE15" s="580"/>
      <c r="AF15" s="580"/>
      <c r="AG15" s="581"/>
      <c r="AH15" s="581"/>
      <c r="AI15" s="580"/>
      <c r="AJ15" s="583"/>
      <c r="AK15" s="580"/>
      <c r="AL15" s="580"/>
      <c r="AM15" s="580"/>
      <c r="AN15" s="581"/>
      <c r="AO15" s="581"/>
      <c r="AP15" s="580"/>
      <c r="AQ15" s="583"/>
      <c r="AR15" s="580"/>
      <c r="AS15" s="580"/>
      <c r="AT15" s="580"/>
      <c r="AU15" s="581"/>
      <c r="AV15" s="581"/>
      <c r="AW15" s="580"/>
      <c r="AX15" s="583"/>
      <c r="AY15" s="580"/>
      <c r="AZ15" s="580"/>
      <c r="BA15" s="580"/>
      <c r="BB15" s="581"/>
      <c r="BC15" s="581"/>
      <c r="BD15" s="580"/>
      <c r="BE15" s="583"/>
      <c r="BF15" s="580"/>
      <c r="BG15" s="580"/>
      <c r="BH15" s="580"/>
      <c r="BI15" s="581"/>
      <c r="BJ15" s="581"/>
      <c r="BK15" s="580"/>
      <c r="BL15" s="583"/>
      <c r="BM15" s="580"/>
      <c r="BN15" s="580"/>
      <c r="BO15" s="580"/>
      <c r="BP15" s="581"/>
      <c r="BQ15" s="581"/>
      <c r="BR15" s="580"/>
      <c r="BS15" s="583"/>
      <c r="BT15" s="580"/>
      <c r="BU15" s="580"/>
      <c r="BV15" s="580"/>
      <c r="BW15" s="581"/>
      <c r="BX15" s="581"/>
      <c r="BY15" s="580"/>
      <c r="BZ15" s="583"/>
      <c r="CA15" s="580"/>
      <c r="CB15" s="580"/>
      <c r="CC15" s="580"/>
      <c r="CD15" s="581"/>
      <c r="CE15" s="581"/>
      <c r="CF15" s="580"/>
      <c r="CG15" s="583"/>
      <c r="CH15" s="580"/>
      <c r="CI15" s="580"/>
      <c r="CJ15" s="580"/>
      <c r="CK15" s="581"/>
      <c r="CL15" s="581"/>
      <c r="CM15" s="580"/>
      <c r="CN15" s="583"/>
      <c r="CO15" s="580"/>
      <c r="CP15" s="580"/>
      <c r="CQ15" s="580"/>
      <c r="CR15" s="581"/>
      <c r="CS15" s="581"/>
      <c r="CT15" s="580"/>
      <c r="CU15" s="583"/>
      <c r="CV15" s="580"/>
      <c r="CW15" s="580"/>
      <c r="CX15" s="580"/>
      <c r="CY15" s="581"/>
      <c r="CZ15" s="581"/>
      <c r="DA15" s="580"/>
      <c r="DB15" s="583"/>
      <c r="DC15" s="580"/>
      <c r="DD15" s="580"/>
      <c r="DE15" s="580"/>
      <c r="DF15" s="581"/>
      <c r="DG15" s="581"/>
      <c r="DH15" s="580"/>
      <c r="DI15" s="583"/>
      <c r="DJ15" s="580"/>
      <c r="DK15" s="580"/>
      <c r="DL15" s="580"/>
      <c r="DM15" s="581"/>
      <c r="DN15" s="581"/>
      <c r="DO15" s="580"/>
      <c r="DP15" s="583"/>
      <c r="DQ15" s="580"/>
      <c r="DR15" s="580"/>
      <c r="DS15" s="580"/>
      <c r="DT15" s="581"/>
      <c r="DU15" s="581"/>
      <c r="DV15" s="580"/>
      <c r="DW15" s="583"/>
      <c r="DX15" s="580"/>
      <c r="DY15" s="580"/>
      <c r="DZ15" s="580"/>
      <c r="EA15" s="581"/>
      <c r="EB15" s="581"/>
      <c r="EC15" s="580"/>
      <c r="ED15" s="583"/>
      <c r="EE15" s="580"/>
      <c r="EF15" s="580"/>
      <c r="EG15" s="580"/>
      <c r="EH15" s="581"/>
      <c r="EI15" s="581"/>
      <c r="EJ15" s="580"/>
      <c r="EK15" s="583"/>
      <c r="EL15" s="580"/>
      <c r="EM15" s="580"/>
      <c r="EN15" s="580"/>
      <c r="EO15" s="581"/>
      <c r="EP15" s="581"/>
      <c r="EQ15" s="580"/>
      <c r="ER15" s="583"/>
      <c r="ES15" s="580"/>
      <c r="ET15" s="580"/>
      <c r="EU15" s="580"/>
      <c r="EV15" s="581"/>
      <c r="EW15" s="581"/>
      <c r="EX15" s="580"/>
      <c r="EY15" s="583"/>
      <c r="EZ15" s="580"/>
      <c r="FA15" s="580"/>
      <c r="FB15" s="580"/>
      <c r="FC15" s="581"/>
      <c r="FD15" s="581"/>
      <c r="FE15" s="580"/>
      <c r="FF15" s="583"/>
      <c r="FG15" s="580"/>
      <c r="FH15" s="580"/>
      <c r="FI15" s="580"/>
      <c r="FJ15" s="581"/>
      <c r="FK15" s="581"/>
      <c r="FL15" s="580"/>
      <c r="FM15" s="583"/>
      <c r="FN15" s="580"/>
      <c r="FO15" s="580"/>
      <c r="FP15" s="580"/>
      <c r="FQ15" s="581"/>
      <c r="FR15" s="581"/>
      <c r="FS15" s="580"/>
      <c r="FT15" s="583"/>
      <c r="FU15" s="580"/>
      <c r="FV15" s="580"/>
      <c r="FW15" s="580"/>
      <c r="FX15" s="581"/>
      <c r="FY15" s="581"/>
      <c r="FZ15" s="580"/>
      <c r="GA15" s="583"/>
      <c r="GB15" s="580"/>
      <c r="GC15" s="580"/>
      <c r="GD15" s="580"/>
      <c r="GE15" s="581"/>
      <c r="GF15" s="581"/>
      <c r="GG15" s="580"/>
      <c r="GH15" s="583"/>
      <c r="GI15" s="580"/>
      <c r="GJ15" s="580"/>
      <c r="GK15" s="580"/>
      <c r="GL15" s="581"/>
      <c r="GM15" s="581"/>
      <c r="GN15" s="580"/>
      <c r="GO15" s="583"/>
      <c r="GP15" s="580"/>
      <c r="GQ15" s="580"/>
      <c r="GR15" s="580"/>
      <c r="GS15" s="581"/>
      <c r="GT15" s="581"/>
      <c r="GU15" s="580"/>
      <c r="GV15" s="583"/>
      <c r="GW15" s="580"/>
      <c r="GX15" s="580"/>
      <c r="GY15" s="580"/>
      <c r="GZ15" s="581"/>
      <c r="HA15" s="581"/>
      <c r="HB15" s="580"/>
      <c r="HC15" s="583"/>
      <c r="HD15" s="580"/>
      <c r="HE15" s="580"/>
      <c r="HF15" s="580"/>
      <c r="HG15" s="581"/>
      <c r="HH15" s="581"/>
      <c r="HI15" s="580"/>
      <c r="HJ15" s="583"/>
      <c r="HK15" s="580"/>
      <c r="HL15" s="580"/>
      <c r="HM15" s="580"/>
      <c r="HN15" s="581"/>
      <c r="HO15" s="581"/>
      <c r="HP15" s="580"/>
      <c r="HQ15" s="583"/>
      <c r="HR15" s="580"/>
      <c r="HS15" s="580"/>
      <c r="HT15" s="580"/>
      <c r="HU15" s="581"/>
      <c r="HV15" s="581"/>
      <c r="HW15" s="580"/>
      <c r="HX15" s="583"/>
      <c r="HY15" s="580"/>
      <c r="HZ15" s="580"/>
      <c r="IA15" s="580"/>
      <c r="IB15" s="581"/>
      <c r="IC15" s="581"/>
      <c r="ID15" s="580"/>
      <c r="IE15" s="583"/>
      <c r="IF15" s="580"/>
      <c r="IG15" s="580"/>
      <c r="IH15" s="580"/>
      <c r="II15" s="581"/>
      <c r="IJ15" s="581"/>
      <c r="IK15" s="580"/>
      <c r="IL15" s="583"/>
      <c r="IM15" s="580"/>
      <c r="IN15" s="580"/>
      <c r="IO15" s="580"/>
      <c r="IP15" s="581"/>
      <c r="IQ15" s="581"/>
      <c r="IR15" s="580"/>
      <c r="IS15" s="583"/>
      <c r="IT15" s="580"/>
      <c r="IU15" s="580"/>
      <c r="IV15" s="580"/>
    </row>
    <row r="16" spans="1:256" ht="12.75">
      <c r="A16" s="505" t="s">
        <v>272</v>
      </c>
      <c r="B16" s="475"/>
      <c r="C16" s="475"/>
      <c r="D16" s="475"/>
      <c r="E16" s="506"/>
      <c r="F16" s="506"/>
      <c r="G16" s="475"/>
      <c r="H16" s="584"/>
      <c r="I16" s="585"/>
      <c r="J16" s="585"/>
      <c r="K16" s="585"/>
      <c r="L16" s="586"/>
      <c r="M16" s="586"/>
      <c r="N16" s="585"/>
      <c r="O16" s="584"/>
      <c r="P16" s="585"/>
      <c r="Q16" s="585"/>
      <c r="R16" s="585"/>
      <c r="S16" s="586"/>
      <c r="T16" s="586"/>
      <c r="U16" s="585"/>
      <c r="V16" s="584"/>
      <c r="W16" s="585"/>
      <c r="X16" s="585"/>
      <c r="Y16" s="585"/>
      <c r="Z16" s="586"/>
      <c r="AA16" s="586"/>
      <c r="AB16" s="585"/>
      <c r="AC16" s="584"/>
      <c r="AD16" s="585"/>
      <c r="AE16" s="585"/>
      <c r="AF16" s="585"/>
      <c r="AG16" s="586"/>
      <c r="AH16" s="586"/>
      <c r="AI16" s="585"/>
      <c r="AJ16" s="584"/>
      <c r="AK16" s="585"/>
      <c r="AL16" s="585"/>
      <c r="AM16" s="585"/>
      <c r="AN16" s="586"/>
      <c r="AO16" s="586"/>
      <c r="AP16" s="585"/>
      <c r="AQ16" s="584"/>
      <c r="AR16" s="585"/>
      <c r="AS16" s="585"/>
      <c r="AT16" s="585"/>
      <c r="AU16" s="586"/>
      <c r="AV16" s="586"/>
      <c r="AW16" s="585"/>
      <c r="AX16" s="584"/>
      <c r="AY16" s="585"/>
      <c r="AZ16" s="585"/>
      <c r="BA16" s="585"/>
      <c r="BB16" s="586"/>
      <c r="BC16" s="586"/>
      <c r="BD16" s="585"/>
      <c r="BE16" s="584"/>
      <c r="BF16" s="585"/>
      <c r="BG16" s="585"/>
      <c r="BH16" s="585"/>
      <c r="BI16" s="586"/>
      <c r="BJ16" s="586"/>
      <c r="BK16" s="585"/>
      <c r="BL16" s="584"/>
      <c r="BM16" s="585"/>
      <c r="BN16" s="585"/>
      <c r="BO16" s="585"/>
      <c r="BP16" s="586"/>
      <c r="BQ16" s="586"/>
      <c r="BR16" s="585"/>
      <c r="BS16" s="584"/>
      <c r="BT16" s="585"/>
      <c r="BU16" s="585"/>
      <c r="BV16" s="585"/>
      <c r="BW16" s="586"/>
      <c r="BX16" s="586"/>
      <c r="BY16" s="585"/>
      <c r="BZ16" s="584"/>
      <c r="CA16" s="585"/>
      <c r="CB16" s="585"/>
      <c r="CC16" s="585"/>
      <c r="CD16" s="586"/>
      <c r="CE16" s="586"/>
      <c r="CF16" s="585"/>
      <c r="CG16" s="584"/>
      <c r="CH16" s="585"/>
      <c r="CI16" s="585"/>
      <c r="CJ16" s="585"/>
      <c r="CK16" s="586"/>
      <c r="CL16" s="586"/>
      <c r="CM16" s="585"/>
      <c r="CN16" s="584"/>
      <c r="CO16" s="585"/>
      <c r="CP16" s="585"/>
      <c r="CQ16" s="585"/>
      <c r="CR16" s="586"/>
      <c r="CS16" s="586"/>
      <c r="CT16" s="585"/>
      <c r="CU16" s="584"/>
      <c r="CV16" s="585"/>
      <c r="CW16" s="585"/>
      <c r="CX16" s="585"/>
      <c r="CY16" s="586"/>
      <c r="CZ16" s="586"/>
      <c r="DA16" s="585"/>
      <c r="DB16" s="584"/>
      <c r="DC16" s="585"/>
      <c r="DD16" s="585"/>
      <c r="DE16" s="585"/>
      <c r="DF16" s="586"/>
      <c r="DG16" s="586"/>
      <c r="DH16" s="585"/>
      <c r="DI16" s="584"/>
      <c r="DJ16" s="585"/>
      <c r="DK16" s="585"/>
      <c r="DL16" s="585"/>
      <c r="DM16" s="586"/>
      <c r="DN16" s="586"/>
      <c r="DO16" s="585"/>
      <c r="DP16" s="584"/>
      <c r="DQ16" s="585"/>
      <c r="DR16" s="585"/>
      <c r="DS16" s="585"/>
      <c r="DT16" s="586"/>
      <c r="DU16" s="586"/>
      <c r="DV16" s="585"/>
      <c r="DW16" s="584"/>
      <c r="DX16" s="585"/>
      <c r="DY16" s="585"/>
      <c r="DZ16" s="585"/>
      <c r="EA16" s="586"/>
      <c r="EB16" s="586"/>
      <c r="EC16" s="585"/>
      <c r="ED16" s="584"/>
      <c r="EE16" s="585"/>
      <c r="EF16" s="585"/>
      <c r="EG16" s="585"/>
      <c r="EH16" s="586"/>
      <c r="EI16" s="586"/>
      <c r="EJ16" s="585"/>
      <c r="EK16" s="584"/>
      <c r="EL16" s="585"/>
      <c r="EM16" s="585"/>
      <c r="EN16" s="585"/>
      <c r="EO16" s="586"/>
      <c r="EP16" s="586"/>
      <c r="EQ16" s="585"/>
      <c r="ER16" s="584"/>
      <c r="ES16" s="585"/>
      <c r="ET16" s="585"/>
      <c r="EU16" s="585"/>
      <c r="EV16" s="586"/>
      <c r="EW16" s="586"/>
      <c r="EX16" s="585"/>
      <c r="EY16" s="584"/>
      <c r="EZ16" s="585"/>
      <c r="FA16" s="585"/>
      <c r="FB16" s="585"/>
      <c r="FC16" s="586"/>
      <c r="FD16" s="586"/>
      <c r="FE16" s="585"/>
      <c r="FF16" s="584"/>
      <c r="FG16" s="585"/>
      <c r="FH16" s="585"/>
      <c r="FI16" s="585"/>
      <c r="FJ16" s="586"/>
      <c r="FK16" s="586"/>
      <c r="FL16" s="585"/>
      <c r="FM16" s="584"/>
      <c r="FN16" s="585"/>
      <c r="FO16" s="585"/>
      <c r="FP16" s="585"/>
      <c r="FQ16" s="586"/>
      <c r="FR16" s="586"/>
      <c r="FS16" s="585"/>
      <c r="FT16" s="584"/>
      <c r="FU16" s="585"/>
      <c r="FV16" s="585"/>
      <c r="FW16" s="585"/>
      <c r="FX16" s="586"/>
      <c r="FY16" s="586"/>
      <c r="FZ16" s="585"/>
      <c r="GA16" s="584"/>
      <c r="GB16" s="585"/>
      <c r="GC16" s="585"/>
      <c r="GD16" s="585"/>
      <c r="GE16" s="586"/>
      <c r="GF16" s="586"/>
      <c r="GG16" s="585"/>
      <c r="GH16" s="584"/>
      <c r="GI16" s="585"/>
      <c r="GJ16" s="585"/>
      <c r="GK16" s="585"/>
      <c r="GL16" s="586"/>
      <c r="GM16" s="586"/>
      <c r="GN16" s="585"/>
      <c r="GO16" s="584"/>
      <c r="GP16" s="585"/>
      <c r="GQ16" s="585"/>
      <c r="GR16" s="585"/>
      <c r="GS16" s="586"/>
      <c r="GT16" s="586"/>
      <c r="GU16" s="585"/>
      <c r="GV16" s="584"/>
      <c r="GW16" s="585"/>
      <c r="GX16" s="585"/>
      <c r="GY16" s="585"/>
      <c r="GZ16" s="586"/>
      <c r="HA16" s="586"/>
      <c r="HB16" s="585"/>
      <c r="HC16" s="584"/>
      <c r="HD16" s="585"/>
      <c r="HE16" s="585"/>
      <c r="HF16" s="585"/>
      <c r="HG16" s="586"/>
      <c r="HH16" s="586"/>
      <c r="HI16" s="585"/>
      <c r="HJ16" s="584"/>
      <c r="HK16" s="585"/>
      <c r="HL16" s="585"/>
      <c r="HM16" s="585"/>
      <c r="HN16" s="586"/>
      <c r="HO16" s="586"/>
      <c r="HP16" s="585"/>
      <c r="HQ16" s="584"/>
      <c r="HR16" s="585"/>
      <c r="HS16" s="585"/>
      <c r="HT16" s="585"/>
      <c r="HU16" s="586"/>
      <c r="HV16" s="586"/>
      <c r="HW16" s="585"/>
      <c r="HX16" s="584"/>
      <c r="HY16" s="585"/>
      <c r="HZ16" s="585"/>
      <c r="IA16" s="585"/>
      <c r="IB16" s="586"/>
      <c r="IC16" s="586"/>
      <c r="ID16" s="585"/>
      <c r="IE16" s="584"/>
      <c r="IF16" s="585"/>
      <c r="IG16" s="585"/>
      <c r="IH16" s="585"/>
      <c r="II16" s="586"/>
      <c r="IJ16" s="586"/>
      <c r="IK16" s="585"/>
      <c r="IL16" s="584"/>
      <c r="IM16" s="585"/>
      <c r="IN16" s="585"/>
      <c r="IO16" s="585"/>
      <c r="IP16" s="586"/>
      <c r="IQ16" s="586"/>
      <c r="IR16" s="585"/>
      <c r="IS16" s="584"/>
      <c r="IT16" s="585"/>
      <c r="IU16" s="585"/>
      <c r="IV16" s="585"/>
    </row>
    <row r="17" spans="1:256" ht="12.75">
      <c r="A17" s="473" t="s">
        <v>269</v>
      </c>
      <c r="B17" s="507"/>
      <c r="C17" s="507"/>
      <c r="D17" s="507"/>
      <c r="E17" s="40"/>
      <c r="F17" s="40"/>
      <c r="G17" s="507"/>
      <c r="H17" s="587"/>
      <c r="I17" s="510"/>
      <c r="J17" s="510"/>
      <c r="K17" s="510"/>
      <c r="L17" s="588"/>
      <c r="M17" s="588"/>
      <c r="N17" s="510"/>
      <c r="O17" s="587"/>
      <c r="P17" s="510"/>
      <c r="Q17" s="510"/>
      <c r="R17" s="510"/>
      <c r="S17" s="588"/>
      <c r="T17" s="588"/>
      <c r="U17" s="510"/>
      <c r="V17" s="587"/>
      <c r="W17" s="510"/>
      <c r="X17" s="510"/>
      <c r="Y17" s="510"/>
      <c r="Z17" s="588"/>
      <c r="AA17" s="588"/>
      <c r="AB17" s="510"/>
      <c r="AC17" s="587"/>
      <c r="AD17" s="510"/>
      <c r="AE17" s="510"/>
      <c r="AF17" s="510"/>
      <c r="AG17" s="588"/>
      <c r="AH17" s="588"/>
      <c r="AI17" s="510"/>
      <c r="AJ17" s="587"/>
      <c r="AK17" s="510"/>
      <c r="AL17" s="510"/>
      <c r="AM17" s="510"/>
      <c r="AN17" s="588"/>
      <c r="AO17" s="588"/>
      <c r="AP17" s="510"/>
      <c r="AQ17" s="587"/>
      <c r="AR17" s="510"/>
      <c r="AS17" s="510"/>
      <c r="AT17" s="510"/>
      <c r="AU17" s="588"/>
      <c r="AV17" s="588"/>
      <c r="AW17" s="510"/>
      <c r="AX17" s="587"/>
      <c r="AY17" s="510"/>
      <c r="AZ17" s="510"/>
      <c r="BA17" s="510"/>
      <c r="BB17" s="588"/>
      <c r="BC17" s="588"/>
      <c r="BD17" s="510"/>
      <c r="BE17" s="587"/>
      <c r="BF17" s="510"/>
      <c r="BG17" s="510"/>
      <c r="BH17" s="510"/>
      <c r="BI17" s="588"/>
      <c r="BJ17" s="588"/>
      <c r="BK17" s="510"/>
      <c r="BL17" s="587"/>
      <c r="BM17" s="510"/>
      <c r="BN17" s="510"/>
      <c r="BO17" s="510"/>
      <c r="BP17" s="588"/>
      <c r="BQ17" s="588"/>
      <c r="BR17" s="510"/>
      <c r="BS17" s="587"/>
      <c r="BT17" s="510"/>
      <c r="BU17" s="510"/>
      <c r="BV17" s="510"/>
      <c r="BW17" s="588"/>
      <c r="BX17" s="588"/>
      <c r="BY17" s="510"/>
      <c r="BZ17" s="587"/>
      <c r="CA17" s="510"/>
      <c r="CB17" s="510"/>
      <c r="CC17" s="510"/>
      <c r="CD17" s="588"/>
      <c r="CE17" s="588"/>
      <c r="CF17" s="510"/>
      <c r="CG17" s="587"/>
      <c r="CH17" s="510"/>
      <c r="CI17" s="510"/>
      <c r="CJ17" s="510"/>
      <c r="CK17" s="588"/>
      <c r="CL17" s="588"/>
      <c r="CM17" s="510"/>
      <c r="CN17" s="587"/>
      <c r="CO17" s="510"/>
      <c r="CP17" s="510"/>
      <c r="CQ17" s="510"/>
      <c r="CR17" s="588"/>
      <c r="CS17" s="588"/>
      <c r="CT17" s="510"/>
      <c r="CU17" s="587"/>
      <c r="CV17" s="510"/>
      <c r="CW17" s="510"/>
      <c r="CX17" s="510"/>
      <c r="CY17" s="588"/>
      <c r="CZ17" s="588"/>
      <c r="DA17" s="510"/>
      <c r="DB17" s="587"/>
      <c r="DC17" s="510"/>
      <c r="DD17" s="510"/>
      <c r="DE17" s="510"/>
      <c r="DF17" s="588"/>
      <c r="DG17" s="588"/>
      <c r="DH17" s="510"/>
      <c r="DI17" s="587"/>
      <c r="DJ17" s="510"/>
      <c r="DK17" s="510"/>
      <c r="DL17" s="510"/>
      <c r="DM17" s="588"/>
      <c r="DN17" s="588"/>
      <c r="DO17" s="510"/>
      <c r="DP17" s="587"/>
      <c r="DQ17" s="510"/>
      <c r="DR17" s="510"/>
      <c r="DS17" s="510"/>
      <c r="DT17" s="588"/>
      <c r="DU17" s="588"/>
      <c r="DV17" s="510"/>
      <c r="DW17" s="587"/>
      <c r="DX17" s="510"/>
      <c r="DY17" s="510"/>
      <c r="DZ17" s="510"/>
      <c r="EA17" s="588"/>
      <c r="EB17" s="588"/>
      <c r="EC17" s="510"/>
      <c r="ED17" s="587"/>
      <c r="EE17" s="510"/>
      <c r="EF17" s="510"/>
      <c r="EG17" s="510"/>
      <c r="EH17" s="588"/>
      <c r="EI17" s="588"/>
      <c r="EJ17" s="510"/>
      <c r="EK17" s="587"/>
      <c r="EL17" s="510"/>
      <c r="EM17" s="510"/>
      <c r="EN17" s="510"/>
      <c r="EO17" s="588"/>
      <c r="EP17" s="588"/>
      <c r="EQ17" s="510"/>
      <c r="ER17" s="587"/>
      <c r="ES17" s="510"/>
      <c r="ET17" s="510"/>
      <c r="EU17" s="510"/>
      <c r="EV17" s="588"/>
      <c r="EW17" s="588"/>
      <c r="EX17" s="510"/>
      <c r="EY17" s="587"/>
      <c r="EZ17" s="510"/>
      <c r="FA17" s="510"/>
      <c r="FB17" s="510"/>
      <c r="FC17" s="588"/>
      <c r="FD17" s="588"/>
      <c r="FE17" s="510"/>
      <c r="FF17" s="587"/>
      <c r="FG17" s="510"/>
      <c r="FH17" s="510"/>
      <c r="FI17" s="510"/>
      <c r="FJ17" s="588"/>
      <c r="FK17" s="588"/>
      <c r="FL17" s="510"/>
      <c r="FM17" s="587"/>
      <c r="FN17" s="510"/>
      <c r="FO17" s="510"/>
      <c r="FP17" s="510"/>
      <c r="FQ17" s="588"/>
      <c r="FR17" s="588"/>
      <c r="FS17" s="510"/>
      <c r="FT17" s="587"/>
      <c r="FU17" s="510"/>
      <c r="FV17" s="510"/>
      <c r="FW17" s="510"/>
      <c r="FX17" s="588"/>
      <c r="FY17" s="588"/>
      <c r="FZ17" s="510"/>
      <c r="GA17" s="587"/>
      <c r="GB17" s="510"/>
      <c r="GC17" s="510"/>
      <c r="GD17" s="510"/>
      <c r="GE17" s="588"/>
      <c r="GF17" s="588"/>
      <c r="GG17" s="510"/>
      <c r="GH17" s="587"/>
      <c r="GI17" s="510"/>
      <c r="GJ17" s="510"/>
      <c r="GK17" s="510"/>
      <c r="GL17" s="588"/>
      <c r="GM17" s="588"/>
      <c r="GN17" s="510"/>
      <c r="GO17" s="587"/>
      <c r="GP17" s="510"/>
      <c r="GQ17" s="510"/>
      <c r="GR17" s="510"/>
      <c r="GS17" s="588"/>
      <c r="GT17" s="588"/>
      <c r="GU17" s="510"/>
      <c r="GV17" s="587"/>
      <c r="GW17" s="510"/>
      <c r="GX17" s="510"/>
      <c r="GY17" s="510"/>
      <c r="GZ17" s="588"/>
      <c r="HA17" s="588"/>
      <c r="HB17" s="510"/>
      <c r="HC17" s="587"/>
      <c r="HD17" s="510"/>
      <c r="HE17" s="510"/>
      <c r="HF17" s="510"/>
      <c r="HG17" s="588"/>
      <c r="HH17" s="588"/>
      <c r="HI17" s="510"/>
      <c r="HJ17" s="587"/>
      <c r="HK17" s="510"/>
      <c r="HL17" s="510"/>
      <c r="HM17" s="510"/>
      <c r="HN17" s="588"/>
      <c r="HO17" s="588"/>
      <c r="HP17" s="510"/>
      <c r="HQ17" s="587"/>
      <c r="HR17" s="510"/>
      <c r="HS17" s="510"/>
      <c r="HT17" s="510"/>
      <c r="HU17" s="588"/>
      <c r="HV17" s="588"/>
      <c r="HW17" s="510"/>
      <c r="HX17" s="587"/>
      <c r="HY17" s="510"/>
      <c r="HZ17" s="510"/>
      <c r="IA17" s="510"/>
      <c r="IB17" s="588"/>
      <c r="IC17" s="588"/>
      <c r="ID17" s="510"/>
      <c r="IE17" s="587"/>
      <c r="IF17" s="510"/>
      <c r="IG17" s="510"/>
      <c r="IH17" s="510"/>
      <c r="II17" s="588"/>
      <c r="IJ17" s="588"/>
      <c r="IK17" s="510"/>
      <c r="IL17" s="587"/>
      <c r="IM17" s="510"/>
      <c r="IN17" s="510"/>
      <c r="IO17" s="510"/>
      <c r="IP17" s="588"/>
      <c r="IQ17" s="588"/>
      <c r="IR17" s="510"/>
      <c r="IS17" s="587"/>
      <c r="IT17" s="510"/>
      <c r="IU17" s="510"/>
      <c r="IV17" s="510"/>
    </row>
    <row r="18" spans="1:256" ht="12.75">
      <c r="A18" s="32" t="s">
        <v>320</v>
      </c>
      <c r="B18" s="248">
        <v>288</v>
      </c>
      <c r="C18" s="248">
        <v>264</v>
      </c>
      <c r="D18" s="248">
        <v>2</v>
      </c>
      <c r="E18" s="16">
        <v>0.6944444444444444</v>
      </c>
      <c r="F18" s="16">
        <v>0.7575757575757576</v>
      </c>
      <c r="G18" s="248">
        <v>2</v>
      </c>
      <c r="H18" s="583"/>
      <c r="I18" s="580"/>
      <c r="J18" s="580"/>
      <c r="K18" s="580"/>
      <c r="L18" s="581"/>
      <c r="M18" s="581"/>
      <c r="N18" s="580"/>
      <c r="O18" s="583"/>
      <c r="P18" s="580"/>
      <c r="Q18" s="580"/>
      <c r="R18" s="580"/>
      <c r="S18" s="581"/>
      <c r="T18" s="581"/>
      <c r="U18" s="580"/>
      <c r="V18" s="583"/>
      <c r="W18" s="580"/>
      <c r="X18" s="580"/>
      <c r="Y18" s="580"/>
      <c r="Z18" s="581"/>
      <c r="AA18" s="581"/>
      <c r="AB18" s="580"/>
      <c r="AC18" s="583"/>
      <c r="AD18" s="580"/>
      <c r="AE18" s="580"/>
      <c r="AF18" s="580"/>
      <c r="AG18" s="581"/>
      <c r="AH18" s="581"/>
      <c r="AI18" s="580"/>
      <c r="AJ18" s="583"/>
      <c r="AK18" s="580"/>
      <c r="AL18" s="580"/>
      <c r="AM18" s="580"/>
      <c r="AN18" s="581"/>
      <c r="AO18" s="581"/>
      <c r="AP18" s="580"/>
      <c r="AQ18" s="583"/>
      <c r="AR18" s="580"/>
      <c r="AS18" s="580"/>
      <c r="AT18" s="580"/>
      <c r="AU18" s="581"/>
      <c r="AV18" s="581"/>
      <c r="AW18" s="580"/>
      <c r="AX18" s="583"/>
      <c r="AY18" s="580"/>
      <c r="AZ18" s="580"/>
      <c r="BA18" s="580"/>
      <c r="BB18" s="581"/>
      <c r="BC18" s="581"/>
      <c r="BD18" s="580"/>
      <c r="BE18" s="583"/>
      <c r="BF18" s="580"/>
      <c r="BG18" s="580"/>
      <c r="BH18" s="580"/>
      <c r="BI18" s="581"/>
      <c r="BJ18" s="581"/>
      <c r="BK18" s="580"/>
      <c r="BL18" s="583"/>
      <c r="BM18" s="580"/>
      <c r="BN18" s="580"/>
      <c r="BO18" s="580"/>
      <c r="BP18" s="581"/>
      <c r="BQ18" s="581"/>
      <c r="BR18" s="580"/>
      <c r="BS18" s="583"/>
      <c r="BT18" s="580"/>
      <c r="BU18" s="580"/>
      <c r="BV18" s="580"/>
      <c r="BW18" s="581"/>
      <c r="BX18" s="581"/>
      <c r="BY18" s="580"/>
      <c r="BZ18" s="583"/>
      <c r="CA18" s="580"/>
      <c r="CB18" s="580"/>
      <c r="CC18" s="580"/>
      <c r="CD18" s="581"/>
      <c r="CE18" s="581"/>
      <c r="CF18" s="580"/>
      <c r="CG18" s="583"/>
      <c r="CH18" s="580"/>
      <c r="CI18" s="580"/>
      <c r="CJ18" s="580"/>
      <c r="CK18" s="581"/>
      <c r="CL18" s="581"/>
      <c r="CM18" s="580"/>
      <c r="CN18" s="583"/>
      <c r="CO18" s="580"/>
      <c r="CP18" s="580"/>
      <c r="CQ18" s="580"/>
      <c r="CR18" s="581"/>
      <c r="CS18" s="581"/>
      <c r="CT18" s="580"/>
      <c r="CU18" s="583"/>
      <c r="CV18" s="580"/>
      <c r="CW18" s="580"/>
      <c r="CX18" s="580"/>
      <c r="CY18" s="581"/>
      <c r="CZ18" s="581"/>
      <c r="DA18" s="580"/>
      <c r="DB18" s="583"/>
      <c r="DC18" s="580"/>
      <c r="DD18" s="580"/>
      <c r="DE18" s="580"/>
      <c r="DF18" s="581"/>
      <c r="DG18" s="581"/>
      <c r="DH18" s="580"/>
      <c r="DI18" s="583"/>
      <c r="DJ18" s="580"/>
      <c r="DK18" s="580"/>
      <c r="DL18" s="580"/>
      <c r="DM18" s="581"/>
      <c r="DN18" s="581"/>
      <c r="DO18" s="580"/>
      <c r="DP18" s="583"/>
      <c r="DQ18" s="580"/>
      <c r="DR18" s="580"/>
      <c r="DS18" s="580"/>
      <c r="DT18" s="581"/>
      <c r="DU18" s="581"/>
      <c r="DV18" s="580"/>
      <c r="DW18" s="583"/>
      <c r="DX18" s="580"/>
      <c r="DY18" s="580"/>
      <c r="DZ18" s="580"/>
      <c r="EA18" s="581"/>
      <c r="EB18" s="581"/>
      <c r="EC18" s="580"/>
      <c r="ED18" s="583"/>
      <c r="EE18" s="580"/>
      <c r="EF18" s="580"/>
      <c r="EG18" s="580"/>
      <c r="EH18" s="581"/>
      <c r="EI18" s="581"/>
      <c r="EJ18" s="580"/>
      <c r="EK18" s="583"/>
      <c r="EL18" s="580"/>
      <c r="EM18" s="580"/>
      <c r="EN18" s="580"/>
      <c r="EO18" s="581"/>
      <c r="EP18" s="581"/>
      <c r="EQ18" s="580"/>
      <c r="ER18" s="583"/>
      <c r="ES18" s="580"/>
      <c r="ET18" s="580"/>
      <c r="EU18" s="580"/>
      <c r="EV18" s="581"/>
      <c r="EW18" s="581"/>
      <c r="EX18" s="580"/>
      <c r="EY18" s="583"/>
      <c r="EZ18" s="580"/>
      <c r="FA18" s="580"/>
      <c r="FB18" s="580"/>
      <c r="FC18" s="581"/>
      <c r="FD18" s="581"/>
      <c r="FE18" s="580"/>
      <c r="FF18" s="583"/>
      <c r="FG18" s="580"/>
      <c r="FH18" s="580"/>
      <c r="FI18" s="580"/>
      <c r="FJ18" s="581"/>
      <c r="FK18" s="581"/>
      <c r="FL18" s="580"/>
      <c r="FM18" s="583"/>
      <c r="FN18" s="580"/>
      <c r="FO18" s="580"/>
      <c r="FP18" s="580"/>
      <c r="FQ18" s="581"/>
      <c r="FR18" s="581"/>
      <c r="FS18" s="580"/>
      <c r="FT18" s="583"/>
      <c r="FU18" s="580"/>
      <c r="FV18" s="580"/>
      <c r="FW18" s="580"/>
      <c r="FX18" s="581"/>
      <c r="FY18" s="581"/>
      <c r="FZ18" s="580"/>
      <c r="GA18" s="583"/>
      <c r="GB18" s="580"/>
      <c r="GC18" s="580"/>
      <c r="GD18" s="580"/>
      <c r="GE18" s="581"/>
      <c r="GF18" s="581"/>
      <c r="GG18" s="580"/>
      <c r="GH18" s="583"/>
      <c r="GI18" s="580"/>
      <c r="GJ18" s="580"/>
      <c r="GK18" s="580"/>
      <c r="GL18" s="581"/>
      <c r="GM18" s="581"/>
      <c r="GN18" s="580"/>
      <c r="GO18" s="583"/>
      <c r="GP18" s="580"/>
      <c r="GQ18" s="580"/>
      <c r="GR18" s="580"/>
      <c r="GS18" s="581"/>
      <c r="GT18" s="581"/>
      <c r="GU18" s="580"/>
      <c r="GV18" s="583"/>
      <c r="GW18" s="580"/>
      <c r="GX18" s="580"/>
      <c r="GY18" s="580"/>
      <c r="GZ18" s="581"/>
      <c r="HA18" s="581"/>
      <c r="HB18" s="580"/>
      <c r="HC18" s="583"/>
      <c r="HD18" s="580"/>
      <c r="HE18" s="580"/>
      <c r="HF18" s="580"/>
      <c r="HG18" s="581"/>
      <c r="HH18" s="581"/>
      <c r="HI18" s="580"/>
      <c r="HJ18" s="583"/>
      <c r="HK18" s="580"/>
      <c r="HL18" s="580"/>
      <c r="HM18" s="580"/>
      <c r="HN18" s="581"/>
      <c r="HO18" s="581"/>
      <c r="HP18" s="580"/>
      <c r="HQ18" s="583"/>
      <c r="HR18" s="580"/>
      <c r="HS18" s="580"/>
      <c r="HT18" s="580"/>
      <c r="HU18" s="581"/>
      <c r="HV18" s="581"/>
      <c r="HW18" s="580"/>
      <c r="HX18" s="583"/>
      <c r="HY18" s="580"/>
      <c r="HZ18" s="580"/>
      <c r="IA18" s="580"/>
      <c r="IB18" s="581"/>
      <c r="IC18" s="581"/>
      <c r="ID18" s="580"/>
      <c r="IE18" s="583"/>
      <c r="IF18" s="580"/>
      <c r="IG18" s="580"/>
      <c r="IH18" s="580"/>
      <c r="II18" s="581"/>
      <c r="IJ18" s="581"/>
      <c r="IK18" s="580"/>
      <c r="IL18" s="583"/>
      <c r="IM18" s="580"/>
      <c r="IN18" s="580"/>
      <c r="IO18" s="580"/>
      <c r="IP18" s="581"/>
      <c r="IQ18" s="581"/>
      <c r="IR18" s="580"/>
      <c r="IS18" s="583"/>
      <c r="IT18" s="580"/>
      <c r="IU18" s="580"/>
      <c r="IV18" s="580"/>
    </row>
    <row r="19" spans="1:256" ht="12.75">
      <c r="A19" s="505" t="s">
        <v>272</v>
      </c>
      <c r="B19" s="475">
        <v>262</v>
      </c>
      <c r="C19" s="475">
        <v>262</v>
      </c>
      <c r="D19" s="475"/>
      <c r="E19" s="506"/>
      <c r="F19" s="506"/>
      <c r="G19" s="475"/>
      <c r="H19" s="584"/>
      <c r="I19" s="585"/>
      <c r="J19" s="585"/>
      <c r="K19" s="585"/>
      <c r="L19" s="586"/>
      <c r="M19" s="586"/>
      <c r="N19" s="585"/>
      <c r="O19" s="584"/>
      <c r="P19" s="585"/>
      <c r="Q19" s="585"/>
      <c r="R19" s="585"/>
      <c r="S19" s="586"/>
      <c r="T19" s="586"/>
      <c r="U19" s="585"/>
      <c r="V19" s="584"/>
      <c r="W19" s="585"/>
      <c r="X19" s="585"/>
      <c r="Y19" s="585"/>
      <c r="Z19" s="586"/>
      <c r="AA19" s="586"/>
      <c r="AB19" s="585"/>
      <c r="AC19" s="584"/>
      <c r="AD19" s="585"/>
      <c r="AE19" s="585"/>
      <c r="AF19" s="585"/>
      <c r="AG19" s="586"/>
      <c r="AH19" s="586"/>
      <c r="AI19" s="585"/>
      <c r="AJ19" s="584"/>
      <c r="AK19" s="585"/>
      <c r="AL19" s="585"/>
      <c r="AM19" s="585"/>
      <c r="AN19" s="586"/>
      <c r="AO19" s="586"/>
      <c r="AP19" s="585"/>
      <c r="AQ19" s="584"/>
      <c r="AR19" s="585"/>
      <c r="AS19" s="585"/>
      <c r="AT19" s="585"/>
      <c r="AU19" s="586"/>
      <c r="AV19" s="586"/>
      <c r="AW19" s="585"/>
      <c r="AX19" s="584"/>
      <c r="AY19" s="585"/>
      <c r="AZ19" s="585"/>
      <c r="BA19" s="585"/>
      <c r="BB19" s="586"/>
      <c r="BC19" s="586"/>
      <c r="BD19" s="585"/>
      <c r="BE19" s="584"/>
      <c r="BF19" s="585"/>
      <c r="BG19" s="585"/>
      <c r="BH19" s="585"/>
      <c r="BI19" s="586"/>
      <c r="BJ19" s="586"/>
      <c r="BK19" s="585"/>
      <c r="BL19" s="584"/>
      <c r="BM19" s="585"/>
      <c r="BN19" s="585"/>
      <c r="BO19" s="585"/>
      <c r="BP19" s="586"/>
      <c r="BQ19" s="586"/>
      <c r="BR19" s="585"/>
      <c r="BS19" s="584"/>
      <c r="BT19" s="585"/>
      <c r="BU19" s="585"/>
      <c r="BV19" s="585"/>
      <c r="BW19" s="586"/>
      <c r="BX19" s="586"/>
      <c r="BY19" s="585"/>
      <c r="BZ19" s="584"/>
      <c r="CA19" s="585"/>
      <c r="CB19" s="585"/>
      <c r="CC19" s="585"/>
      <c r="CD19" s="586"/>
      <c r="CE19" s="586"/>
      <c r="CF19" s="585"/>
      <c r="CG19" s="584"/>
      <c r="CH19" s="585"/>
      <c r="CI19" s="585"/>
      <c r="CJ19" s="585"/>
      <c r="CK19" s="586"/>
      <c r="CL19" s="586"/>
      <c r="CM19" s="585"/>
      <c r="CN19" s="584"/>
      <c r="CO19" s="585"/>
      <c r="CP19" s="585"/>
      <c r="CQ19" s="585"/>
      <c r="CR19" s="586"/>
      <c r="CS19" s="586"/>
      <c r="CT19" s="585"/>
      <c r="CU19" s="584"/>
      <c r="CV19" s="585"/>
      <c r="CW19" s="585"/>
      <c r="CX19" s="585"/>
      <c r="CY19" s="586"/>
      <c r="CZ19" s="586"/>
      <c r="DA19" s="585"/>
      <c r="DB19" s="584"/>
      <c r="DC19" s="585"/>
      <c r="DD19" s="585"/>
      <c r="DE19" s="585"/>
      <c r="DF19" s="586"/>
      <c r="DG19" s="586"/>
      <c r="DH19" s="585"/>
      <c r="DI19" s="584"/>
      <c r="DJ19" s="585"/>
      <c r="DK19" s="585"/>
      <c r="DL19" s="585"/>
      <c r="DM19" s="586"/>
      <c r="DN19" s="586"/>
      <c r="DO19" s="585"/>
      <c r="DP19" s="584"/>
      <c r="DQ19" s="585"/>
      <c r="DR19" s="585"/>
      <c r="DS19" s="585"/>
      <c r="DT19" s="586"/>
      <c r="DU19" s="586"/>
      <c r="DV19" s="585"/>
      <c r="DW19" s="584"/>
      <c r="DX19" s="585"/>
      <c r="DY19" s="585"/>
      <c r="DZ19" s="585"/>
      <c r="EA19" s="586"/>
      <c r="EB19" s="586"/>
      <c r="EC19" s="585"/>
      <c r="ED19" s="584"/>
      <c r="EE19" s="585"/>
      <c r="EF19" s="585"/>
      <c r="EG19" s="585"/>
      <c r="EH19" s="586"/>
      <c r="EI19" s="586"/>
      <c r="EJ19" s="585"/>
      <c r="EK19" s="584"/>
      <c r="EL19" s="585"/>
      <c r="EM19" s="585"/>
      <c r="EN19" s="585"/>
      <c r="EO19" s="586"/>
      <c r="EP19" s="586"/>
      <c r="EQ19" s="585"/>
      <c r="ER19" s="584"/>
      <c r="ES19" s="585"/>
      <c r="ET19" s="585"/>
      <c r="EU19" s="585"/>
      <c r="EV19" s="586"/>
      <c r="EW19" s="586"/>
      <c r="EX19" s="585"/>
      <c r="EY19" s="584"/>
      <c r="EZ19" s="585"/>
      <c r="FA19" s="585"/>
      <c r="FB19" s="585"/>
      <c r="FC19" s="586"/>
      <c r="FD19" s="586"/>
      <c r="FE19" s="585"/>
      <c r="FF19" s="584"/>
      <c r="FG19" s="585"/>
      <c r="FH19" s="585"/>
      <c r="FI19" s="585"/>
      <c r="FJ19" s="586"/>
      <c r="FK19" s="586"/>
      <c r="FL19" s="585"/>
      <c r="FM19" s="584"/>
      <c r="FN19" s="585"/>
      <c r="FO19" s="585"/>
      <c r="FP19" s="585"/>
      <c r="FQ19" s="586"/>
      <c r="FR19" s="586"/>
      <c r="FS19" s="585"/>
      <c r="FT19" s="584"/>
      <c r="FU19" s="585"/>
      <c r="FV19" s="585"/>
      <c r="FW19" s="585"/>
      <c r="FX19" s="586"/>
      <c r="FY19" s="586"/>
      <c r="FZ19" s="585"/>
      <c r="GA19" s="584"/>
      <c r="GB19" s="585"/>
      <c r="GC19" s="585"/>
      <c r="GD19" s="585"/>
      <c r="GE19" s="586"/>
      <c r="GF19" s="586"/>
      <c r="GG19" s="585"/>
      <c r="GH19" s="584"/>
      <c r="GI19" s="585"/>
      <c r="GJ19" s="585"/>
      <c r="GK19" s="585"/>
      <c r="GL19" s="586"/>
      <c r="GM19" s="586"/>
      <c r="GN19" s="585"/>
      <c r="GO19" s="584"/>
      <c r="GP19" s="585"/>
      <c r="GQ19" s="585"/>
      <c r="GR19" s="585"/>
      <c r="GS19" s="586"/>
      <c r="GT19" s="586"/>
      <c r="GU19" s="585"/>
      <c r="GV19" s="584"/>
      <c r="GW19" s="585"/>
      <c r="GX19" s="585"/>
      <c r="GY19" s="585"/>
      <c r="GZ19" s="586"/>
      <c r="HA19" s="586"/>
      <c r="HB19" s="585"/>
      <c r="HC19" s="584"/>
      <c r="HD19" s="585"/>
      <c r="HE19" s="585"/>
      <c r="HF19" s="585"/>
      <c r="HG19" s="586"/>
      <c r="HH19" s="586"/>
      <c r="HI19" s="585"/>
      <c r="HJ19" s="584"/>
      <c r="HK19" s="585"/>
      <c r="HL19" s="585"/>
      <c r="HM19" s="585"/>
      <c r="HN19" s="586"/>
      <c r="HO19" s="586"/>
      <c r="HP19" s="585"/>
      <c r="HQ19" s="584"/>
      <c r="HR19" s="585"/>
      <c r="HS19" s="585"/>
      <c r="HT19" s="585"/>
      <c r="HU19" s="586"/>
      <c r="HV19" s="586"/>
      <c r="HW19" s="585"/>
      <c r="HX19" s="584"/>
      <c r="HY19" s="585"/>
      <c r="HZ19" s="585"/>
      <c r="IA19" s="585"/>
      <c r="IB19" s="586"/>
      <c r="IC19" s="586"/>
      <c r="ID19" s="585"/>
      <c r="IE19" s="584"/>
      <c r="IF19" s="585"/>
      <c r="IG19" s="585"/>
      <c r="IH19" s="585"/>
      <c r="II19" s="586"/>
      <c r="IJ19" s="586"/>
      <c r="IK19" s="585"/>
      <c r="IL19" s="584"/>
      <c r="IM19" s="585"/>
      <c r="IN19" s="585"/>
      <c r="IO19" s="585"/>
      <c r="IP19" s="586"/>
      <c r="IQ19" s="586"/>
      <c r="IR19" s="585"/>
      <c r="IS19" s="584"/>
      <c r="IT19" s="585"/>
      <c r="IU19" s="585"/>
      <c r="IV19" s="585"/>
    </row>
    <row r="20" spans="1:256" ht="12.75">
      <c r="A20" s="473" t="s">
        <v>269</v>
      </c>
      <c r="B20" s="507">
        <v>262</v>
      </c>
      <c r="C20" s="507">
        <v>262</v>
      </c>
      <c r="D20" s="507"/>
      <c r="E20" s="40"/>
      <c r="F20" s="40"/>
      <c r="G20" s="507"/>
      <c r="H20" s="587"/>
      <c r="I20" s="510"/>
      <c r="J20" s="510"/>
      <c r="K20" s="510"/>
      <c r="L20" s="588"/>
      <c r="M20" s="588"/>
      <c r="N20" s="510"/>
      <c r="O20" s="587"/>
      <c r="P20" s="510"/>
      <c r="Q20" s="510"/>
      <c r="R20" s="510"/>
      <c r="S20" s="588"/>
      <c r="T20" s="588"/>
      <c r="U20" s="510"/>
      <c r="V20" s="587"/>
      <c r="W20" s="510"/>
      <c r="X20" s="510"/>
      <c r="Y20" s="510"/>
      <c r="Z20" s="588"/>
      <c r="AA20" s="588"/>
      <c r="AB20" s="510"/>
      <c r="AC20" s="587"/>
      <c r="AD20" s="510"/>
      <c r="AE20" s="510"/>
      <c r="AF20" s="510"/>
      <c r="AG20" s="588"/>
      <c r="AH20" s="588"/>
      <c r="AI20" s="510"/>
      <c r="AJ20" s="587"/>
      <c r="AK20" s="510"/>
      <c r="AL20" s="510"/>
      <c r="AM20" s="510"/>
      <c r="AN20" s="588"/>
      <c r="AO20" s="588"/>
      <c r="AP20" s="510"/>
      <c r="AQ20" s="587"/>
      <c r="AR20" s="510"/>
      <c r="AS20" s="510"/>
      <c r="AT20" s="510"/>
      <c r="AU20" s="588"/>
      <c r="AV20" s="588"/>
      <c r="AW20" s="510"/>
      <c r="AX20" s="587"/>
      <c r="AY20" s="510"/>
      <c r="AZ20" s="510"/>
      <c r="BA20" s="510"/>
      <c r="BB20" s="588"/>
      <c r="BC20" s="588"/>
      <c r="BD20" s="510"/>
      <c r="BE20" s="587"/>
      <c r="BF20" s="510"/>
      <c r="BG20" s="510"/>
      <c r="BH20" s="510"/>
      <c r="BI20" s="588"/>
      <c r="BJ20" s="588"/>
      <c r="BK20" s="510"/>
      <c r="BL20" s="587"/>
      <c r="BM20" s="510"/>
      <c r="BN20" s="510"/>
      <c r="BO20" s="510"/>
      <c r="BP20" s="588"/>
      <c r="BQ20" s="588"/>
      <c r="BR20" s="510"/>
      <c r="BS20" s="587"/>
      <c r="BT20" s="510"/>
      <c r="BU20" s="510"/>
      <c r="BV20" s="510"/>
      <c r="BW20" s="588"/>
      <c r="BX20" s="588"/>
      <c r="BY20" s="510"/>
      <c r="BZ20" s="587"/>
      <c r="CA20" s="510"/>
      <c r="CB20" s="510"/>
      <c r="CC20" s="510"/>
      <c r="CD20" s="588"/>
      <c r="CE20" s="588"/>
      <c r="CF20" s="510"/>
      <c r="CG20" s="587"/>
      <c r="CH20" s="510"/>
      <c r="CI20" s="510"/>
      <c r="CJ20" s="510"/>
      <c r="CK20" s="588"/>
      <c r="CL20" s="588"/>
      <c r="CM20" s="510"/>
      <c r="CN20" s="587"/>
      <c r="CO20" s="510"/>
      <c r="CP20" s="510"/>
      <c r="CQ20" s="510"/>
      <c r="CR20" s="588"/>
      <c r="CS20" s="588"/>
      <c r="CT20" s="510"/>
      <c r="CU20" s="587"/>
      <c r="CV20" s="510"/>
      <c r="CW20" s="510"/>
      <c r="CX20" s="510"/>
      <c r="CY20" s="588"/>
      <c r="CZ20" s="588"/>
      <c r="DA20" s="510"/>
      <c r="DB20" s="587"/>
      <c r="DC20" s="510"/>
      <c r="DD20" s="510"/>
      <c r="DE20" s="510"/>
      <c r="DF20" s="588"/>
      <c r="DG20" s="588"/>
      <c r="DH20" s="510"/>
      <c r="DI20" s="587"/>
      <c r="DJ20" s="510"/>
      <c r="DK20" s="510"/>
      <c r="DL20" s="510"/>
      <c r="DM20" s="588"/>
      <c r="DN20" s="588"/>
      <c r="DO20" s="510"/>
      <c r="DP20" s="587"/>
      <c r="DQ20" s="510"/>
      <c r="DR20" s="510"/>
      <c r="DS20" s="510"/>
      <c r="DT20" s="588"/>
      <c r="DU20" s="588"/>
      <c r="DV20" s="510"/>
      <c r="DW20" s="587"/>
      <c r="DX20" s="510"/>
      <c r="DY20" s="510"/>
      <c r="DZ20" s="510"/>
      <c r="EA20" s="588"/>
      <c r="EB20" s="588"/>
      <c r="EC20" s="510"/>
      <c r="ED20" s="587"/>
      <c r="EE20" s="510"/>
      <c r="EF20" s="510"/>
      <c r="EG20" s="510"/>
      <c r="EH20" s="588"/>
      <c r="EI20" s="588"/>
      <c r="EJ20" s="510"/>
      <c r="EK20" s="587"/>
      <c r="EL20" s="510"/>
      <c r="EM20" s="510"/>
      <c r="EN20" s="510"/>
      <c r="EO20" s="588"/>
      <c r="EP20" s="588"/>
      <c r="EQ20" s="510"/>
      <c r="ER20" s="587"/>
      <c r="ES20" s="510"/>
      <c r="ET20" s="510"/>
      <c r="EU20" s="510"/>
      <c r="EV20" s="588"/>
      <c r="EW20" s="588"/>
      <c r="EX20" s="510"/>
      <c r="EY20" s="587"/>
      <c r="EZ20" s="510"/>
      <c r="FA20" s="510"/>
      <c r="FB20" s="510"/>
      <c r="FC20" s="588"/>
      <c r="FD20" s="588"/>
      <c r="FE20" s="510"/>
      <c r="FF20" s="587"/>
      <c r="FG20" s="510"/>
      <c r="FH20" s="510"/>
      <c r="FI20" s="510"/>
      <c r="FJ20" s="588"/>
      <c r="FK20" s="588"/>
      <c r="FL20" s="510"/>
      <c r="FM20" s="587"/>
      <c r="FN20" s="510"/>
      <c r="FO20" s="510"/>
      <c r="FP20" s="510"/>
      <c r="FQ20" s="588"/>
      <c r="FR20" s="588"/>
      <c r="FS20" s="510"/>
      <c r="FT20" s="587"/>
      <c r="FU20" s="510"/>
      <c r="FV20" s="510"/>
      <c r="FW20" s="510"/>
      <c r="FX20" s="588"/>
      <c r="FY20" s="588"/>
      <c r="FZ20" s="510"/>
      <c r="GA20" s="587"/>
      <c r="GB20" s="510"/>
      <c r="GC20" s="510"/>
      <c r="GD20" s="510"/>
      <c r="GE20" s="588"/>
      <c r="GF20" s="588"/>
      <c r="GG20" s="510"/>
      <c r="GH20" s="587"/>
      <c r="GI20" s="510"/>
      <c r="GJ20" s="510"/>
      <c r="GK20" s="510"/>
      <c r="GL20" s="588"/>
      <c r="GM20" s="588"/>
      <c r="GN20" s="510"/>
      <c r="GO20" s="587"/>
      <c r="GP20" s="510"/>
      <c r="GQ20" s="510"/>
      <c r="GR20" s="510"/>
      <c r="GS20" s="588"/>
      <c r="GT20" s="588"/>
      <c r="GU20" s="510"/>
      <c r="GV20" s="587"/>
      <c r="GW20" s="510"/>
      <c r="GX20" s="510"/>
      <c r="GY20" s="510"/>
      <c r="GZ20" s="588"/>
      <c r="HA20" s="588"/>
      <c r="HB20" s="510"/>
      <c r="HC20" s="587"/>
      <c r="HD20" s="510"/>
      <c r="HE20" s="510"/>
      <c r="HF20" s="510"/>
      <c r="HG20" s="588"/>
      <c r="HH20" s="588"/>
      <c r="HI20" s="510"/>
      <c r="HJ20" s="587"/>
      <c r="HK20" s="510"/>
      <c r="HL20" s="510"/>
      <c r="HM20" s="510"/>
      <c r="HN20" s="588"/>
      <c r="HO20" s="588"/>
      <c r="HP20" s="510"/>
      <c r="HQ20" s="587"/>
      <c r="HR20" s="510"/>
      <c r="HS20" s="510"/>
      <c r="HT20" s="510"/>
      <c r="HU20" s="588"/>
      <c r="HV20" s="588"/>
      <c r="HW20" s="510"/>
      <c r="HX20" s="587"/>
      <c r="HY20" s="510"/>
      <c r="HZ20" s="510"/>
      <c r="IA20" s="510"/>
      <c r="IB20" s="588"/>
      <c r="IC20" s="588"/>
      <c r="ID20" s="510"/>
      <c r="IE20" s="587"/>
      <c r="IF20" s="510"/>
      <c r="IG20" s="510"/>
      <c r="IH20" s="510"/>
      <c r="II20" s="588"/>
      <c r="IJ20" s="588"/>
      <c r="IK20" s="510"/>
      <c r="IL20" s="587"/>
      <c r="IM20" s="510"/>
      <c r="IN20" s="510"/>
      <c r="IO20" s="510"/>
      <c r="IP20" s="588"/>
      <c r="IQ20" s="588"/>
      <c r="IR20" s="510"/>
      <c r="IS20" s="587"/>
      <c r="IT20" s="510"/>
      <c r="IU20" s="510"/>
      <c r="IV20" s="510"/>
    </row>
    <row r="21" spans="1:256" ht="12.75">
      <c r="A21" s="505" t="s">
        <v>273</v>
      </c>
      <c r="B21" s="475">
        <v>26</v>
      </c>
      <c r="C21" s="475">
        <v>2</v>
      </c>
      <c r="D21" s="475">
        <v>2</v>
      </c>
      <c r="E21" s="506">
        <v>7.6923076923076925</v>
      </c>
      <c r="F21" s="506">
        <v>100</v>
      </c>
      <c r="G21" s="475">
        <v>2</v>
      </c>
      <c r="H21" s="584"/>
      <c r="I21" s="585"/>
      <c r="J21" s="585"/>
      <c r="K21" s="585"/>
      <c r="L21" s="586"/>
      <c r="M21" s="586"/>
      <c r="N21" s="585"/>
      <c r="O21" s="584"/>
      <c r="P21" s="585"/>
      <c r="Q21" s="585"/>
      <c r="R21" s="585"/>
      <c r="S21" s="586"/>
      <c r="T21" s="586"/>
      <c r="U21" s="585"/>
      <c r="V21" s="584"/>
      <c r="W21" s="585"/>
      <c r="X21" s="585"/>
      <c r="Y21" s="585"/>
      <c r="Z21" s="586"/>
      <c r="AA21" s="586"/>
      <c r="AB21" s="585"/>
      <c r="AC21" s="584"/>
      <c r="AD21" s="585"/>
      <c r="AE21" s="585"/>
      <c r="AF21" s="585"/>
      <c r="AG21" s="586"/>
      <c r="AH21" s="586"/>
      <c r="AI21" s="585"/>
      <c r="AJ21" s="584"/>
      <c r="AK21" s="585"/>
      <c r="AL21" s="585"/>
      <c r="AM21" s="585"/>
      <c r="AN21" s="586"/>
      <c r="AO21" s="586"/>
      <c r="AP21" s="585"/>
      <c r="AQ21" s="584"/>
      <c r="AR21" s="585"/>
      <c r="AS21" s="585"/>
      <c r="AT21" s="585"/>
      <c r="AU21" s="586"/>
      <c r="AV21" s="586"/>
      <c r="AW21" s="585"/>
      <c r="AX21" s="584"/>
      <c r="AY21" s="585"/>
      <c r="AZ21" s="585"/>
      <c r="BA21" s="585"/>
      <c r="BB21" s="586"/>
      <c r="BC21" s="586"/>
      <c r="BD21" s="585"/>
      <c r="BE21" s="584"/>
      <c r="BF21" s="585"/>
      <c r="BG21" s="585"/>
      <c r="BH21" s="585"/>
      <c r="BI21" s="586"/>
      <c r="BJ21" s="586"/>
      <c r="BK21" s="585"/>
      <c r="BL21" s="584"/>
      <c r="BM21" s="585"/>
      <c r="BN21" s="585"/>
      <c r="BO21" s="585"/>
      <c r="BP21" s="586"/>
      <c r="BQ21" s="586"/>
      <c r="BR21" s="585"/>
      <c r="BS21" s="584"/>
      <c r="BT21" s="585"/>
      <c r="BU21" s="585"/>
      <c r="BV21" s="585"/>
      <c r="BW21" s="586"/>
      <c r="BX21" s="586"/>
      <c r="BY21" s="585"/>
      <c r="BZ21" s="584"/>
      <c r="CA21" s="585"/>
      <c r="CB21" s="585"/>
      <c r="CC21" s="585"/>
      <c r="CD21" s="586"/>
      <c r="CE21" s="586"/>
      <c r="CF21" s="585"/>
      <c r="CG21" s="584"/>
      <c r="CH21" s="585"/>
      <c r="CI21" s="585"/>
      <c r="CJ21" s="585"/>
      <c r="CK21" s="586"/>
      <c r="CL21" s="586"/>
      <c r="CM21" s="585"/>
      <c r="CN21" s="584"/>
      <c r="CO21" s="585"/>
      <c r="CP21" s="585"/>
      <c r="CQ21" s="585"/>
      <c r="CR21" s="586"/>
      <c r="CS21" s="586"/>
      <c r="CT21" s="585"/>
      <c r="CU21" s="584"/>
      <c r="CV21" s="585"/>
      <c r="CW21" s="585"/>
      <c r="CX21" s="585"/>
      <c r="CY21" s="586"/>
      <c r="CZ21" s="586"/>
      <c r="DA21" s="585"/>
      <c r="DB21" s="584"/>
      <c r="DC21" s="585"/>
      <c r="DD21" s="585"/>
      <c r="DE21" s="585"/>
      <c r="DF21" s="586"/>
      <c r="DG21" s="586"/>
      <c r="DH21" s="585"/>
      <c r="DI21" s="584"/>
      <c r="DJ21" s="585"/>
      <c r="DK21" s="585"/>
      <c r="DL21" s="585"/>
      <c r="DM21" s="586"/>
      <c r="DN21" s="586"/>
      <c r="DO21" s="585"/>
      <c r="DP21" s="584"/>
      <c r="DQ21" s="585"/>
      <c r="DR21" s="585"/>
      <c r="DS21" s="585"/>
      <c r="DT21" s="586"/>
      <c r="DU21" s="586"/>
      <c r="DV21" s="585"/>
      <c r="DW21" s="584"/>
      <c r="DX21" s="585"/>
      <c r="DY21" s="585"/>
      <c r="DZ21" s="585"/>
      <c r="EA21" s="586"/>
      <c r="EB21" s="586"/>
      <c r="EC21" s="585"/>
      <c r="ED21" s="584"/>
      <c r="EE21" s="585"/>
      <c r="EF21" s="585"/>
      <c r="EG21" s="585"/>
      <c r="EH21" s="586"/>
      <c r="EI21" s="586"/>
      <c r="EJ21" s="585"/>
      <c r="EK21" s="584"/>
      <c r="EL21" s="585"/>
      <c r="EM21" s="585"/>
      <c r="EN21" s="585"/>
      <c r="EO21" s="586"/>
      <c r="EP21" s="586"/>
      <c r="EQ21" s="585"/>
      <c r="ER21" s="584"/>
      <c r="ES21" s="585"/>
      <c r="ET21" s="585"/>
      <c r="EU21" s="585"/>
      <c r="EV21" s="586"/>
      <c r="EW21" s="586"/>
      <c r="EX21" s="585"/>
      <c r="EY21" s="584"/>
      <c r="EZ21" s="585"/>
      <c r="FA21" s="585"/>
      <c r="FB21" s="585"/>
      <c r="FC21" s="586"/>
      <c r="FD21" s="586"/>
      <c r="FE21" s="585"/>
      <c r="FF21" s="584"/>
      <c r="FG21" s="585"/>
      <c r="FH21" s="585"/>
      <c r="FI21" s="585"/>
      <c r="FJ21" s="586"/>
      <c r="FK21" s="586"/>
      <c r="FL21" s="585"/>
      <c r="FM21" s="584"/>
      <c r="FN21" s="585"/>
      <c r="FO21" s="585"/>
      <c r="FP21" s="585"/>
      <c r="FQ21" s="586"/>
      <c r="FR21" s="586"/>
      <c r="FS21" s="585"/>
      <c r="FT21" s="584"/>
      <c r="FU21" s="585"/>
      <c r="FV21" s="585"/>
      <c r="FW21" s="585"/>
      <c r="FX21" s="586"/>
      <c r="FY21" s="586"/>
      <c r="FZ21" s="585"/>
      <c r="GA21" s="584"/>
      <c r="GB21" s="585"/>
      <c r="GC21" s="585"/>
      <c r="GD21" s="585"/>
      <c r="GE21" s="586"/>
      <c r="GF21" s="586"/>
      <c r="GG21" s="585"/>
      <c r="GH21" s="584"/>
      <c r="GI21" s="585"/>
      <c r="GJ21" s="585"/>
      <c r="GK21" s="585"/>
      <c r="GL21" s="586"/>
      <c r="GM21" s="586"/>
      <c r="GN21" s="585"/>
      <c r="GO21" s="584"/>
      <c r="GP21" s="585"/>
      <c r="GQ21" s="585"/>
      <c r="GR21" s="585"/>
      <c r="GS21" s="586"/>
      <c r="GT21" s="586"/>
      <c r="GU21" s="585"/>
      <c r="GV21" s="584"/>
      <c r="GW21" s="585"/>
      <c r="GX21" s="585"/>
      <c r="GY21" s="585"/>
      <c r="GZ21" s="586"/>
      <c r="HA21" s="586"/>
      <c r="HB21" s="585"/>
      <c r="HC21" s="584"/>
      <c r="HD21" s="585"/>
      <c r="HE21" s="585"/>
      <c r="HF21" s="585"/>
      <c r="HG21" s="586"/>
      <c r="HH21" s="586"/>
      <c r="HI21" s="585"/>
      <c r="HJ21" s="584"/>
      <c r="HK21" s="585"/>
      <c r="HL21" s="585"/>
      <c r="HM21" s="585"/>
      <c r="HN21" s="586"/>
      <c r="HO21" s="586"/>
      <c r="HP21" s="585"/>
      <c r="HQ21" s="584"/>
      <c r="HR21" s="585"/>
      <c r="HS21" s="585"/>
      <c r="HT21" s="585"/>
      <c r="HU21" s="586"/>
      <c r="HV21" s="586"/>
      <c r="HW21" s="585"/>
      <c r="HX21" s="584"/>
      <c r="HY21" s="585"/>
      <c r="HZ21" s="585"/>
      <c r="IA21" s="585"/>
      <c r="IB21" s="586"/>
      <c r="IC21" s="586"/>
      <c r="ID21" s="585"/>
      <c r="IE21" s="584"/>
      <c r="IF21" s="585"/>
      <c r="IG21" s="585"/>
      <c r="IH21" s="585"/>
      <c r="II21" s="586"/>
      <c r="IJ21" s="586"/>
      <c r="IK21" s="585"/>
      <c r="IL21" s="584"/>
      <c r="IM21" s="585"/>
      <c r="IN21" s="585"/>
      <c r="IO21" s="585"/>
      <c r="IP21" s="586"/>
      <c r="IQ21" s="586"/>
      <c r="IR21" s="585"/>
      <c r="IS21" s="584"/>
      <c r="IT21" s="585"/>
      <c r="IU21" s="585"/>
      <c r="IV21" s="585"/>
    </row>
    <row r="22" spans="1:256" ht="12.75">
      <c r="A22" s="473" t="s">
        <v>269</v>
      </c>
      <c r="B22" s="507">
        <v>26</v>
      </c>
      <c r="C22" s="507">
        <v>2</v>
      </c>
      <c r="D22" s="507">
        <v>2</v>
      </c>
      <c r="E22" s="40">
        <v>7.6923076923076925</v>
      </c>
      <c r="F22" s="40">
        <v>100</v>
      </c>
      <c r="G22" s="507">
        <v>2</v>
      </c>
      <c r="H22" s="587"/>
      <c r="I22" s="510"/>
      <c r="J22" s="510"/>
      <c r="K22" s="510"/>
      <c r="L22" s="588"/>
      <c r="M22" s="588"/>
      <c r="N22" s="510"/>
      <c r="O22" s="587"/>
      <c r="P22" s="510"/>
      <c r="Q22" s="510"/>
      <c r="R22" s="510"/>
      <c r="S22" s="588"/>
      <c r="T22" s="588"/>
      <c r="U22" s="510"/>
      <c r="V22" s="587"/>
      <c r="W22" s="510"/>
      <c r="X22" s="510"/>
      <c r="Y22" s="510"/>
      <c r="Z22" s="588"/>
      <c r="AA22" s="588"/>
      <c r="AB22" s="510"/>
      <c r="AC22" s="587"/>
      <c r="AD22" s="510"/>
      <c r="AE22" s="510"/>
      <c r="AF22" s="510"/>
      <c r="AG22" s="588"/>
      <c r="AH22" s="588"/>
      <c r="AI22" s="510"/>
      <c r="AJ22" s="587"/>
      <c r="AK22" s="510"/>
      <c r="AL22" s="510"/>
      <c r="AM22" s="510"/>
      <c r="AN22" s="588"/>
      <c r="AO22" s="588"/>
      <c r="AP22" s="510"/>
      <c r="AQ22" s="587"/>
      <c r="AR22" s="510"/>
      <c r="AS22" s="510"/>
      <c r="AT22" s="510"/>
      <c r="AU22" s="588"/>
      <c r="AV22" s="588"/>
      <c r="AW22" s="510"/>
      <c r="AX22" s="587"/>
      <c r="AY22" s="510"/>
      <c r="AZ22" s="510"/>
      <c r="BA22" s="510"/>
      <c r="BB22" s="588"/>
      <c r="BC22" s="588"/>
      <c r="BD22" s="510"/>
      <c r="BE22" s="587"/>
      <c r="BF22" s="510"/>
      <c r="BG22" s="510"/>
      <c r="BH22" s="510"/>
      <c r="BI22" s="588"/>
      <c r="BJ22" s="588"/>
      <c r="BK22" s="510"/>
      <c r="BL22" s="587"/>
      <c r="BM22" s="510"/>
      <c r="BN22" s="510"/>
      <c r="BO22" s="510"/>
      <c r="BP22" s="588"/>
      <c r="BQ22" s="588"/>
      <c r="BR22" s="510"/>
      <c r="BS22" s="587"/>
      <c r="BT22" s="510"/>
      <c r="BU22" s="510"/>
      <c r="BV22" s="510"/>
      <c r="BW22" s="588"/>
      <c r="BX22" s="588"/>
      <c r="BY22" s="510"/>
      <c r="BZ22" s="587"/>
      <c r="CA22" s="510"/>
      <c r="CB22" s="510"/>
      <c r="CC22" s="510"/>
      <c r="CD22" s="588"/>
      <c r="CE22" s="588"/>
      <c r="CF22" s="510"/>
      <c r="CG22" s="587"/>
      <c r="CH22" s="510"/>
      <c r="CI22" s="510"/>
      <c r="CJ22" s="510"/>
      <c r="CK22" s="588"/>
      <c r="CL22" s="588"/>
      <c r="CM22" s="510"/>
      <c r="CN22" s="587"/>
      <c r="CO22" s="510"/>
      <c r="CP22" s="510"/>
      <c r="CQ22" s="510"/>
      <c r="CR22" s="588"/>
      <c r="CS22" s="588"/>
      <c r="CT22" s="510"/>
      <c r="CU22" s="587"/>
      <c r="CV22" s="510"/>
      <c r="CW22" s="510"/>
      <c r="CX22" s="510"/>
      <c r="CY22" s="588"/>
      <c r="CZ22" s="588"/>
      <c r="DA22" s="510"/>
      <c r="DB22" s="587"/>
      <c r="DC22" s="510"/>
      <c r="DD22" s="510"/>
      <c r="DE22" s="510"/>
      <c r="DF22" s="588"/>
      <c r="DG22" s="588"/>
      <c r="DH22" s="510"/>
      <c r="DI22" s="587"/>
      <c r="DJ22" s="510"/>
      <c r="DK22" s="510"/>
      <c r="DL22" s="510"/>
      <c r="DM22" s="588"/>
      <c r="DN22" s="588"/>
      <c r="DO22" s="510"/>
      <c r="DP22" s="587"/>
      <c r="DQ22" s="510"/>
      <c r="DR22" s="510"/>
      <c r="DS22" s="510"/>
      <c r="DT22" s="588"/>
      <c r="DU22" s="588"/>
      <c r="DV22" s="510"/>
      <c r="DW22" s="587"/>
      <c r="DX22" s="510"/>
      <c r="DY22" s="510"/>
      <c r="DZ22" s="510"/>
      <c r="EA22" s="588"/>
      <c r="EB22" s="588"/>
      <c r="EC22" s="510"/>
      <c r="ED22" s="587"/>
      <c r="EE22" s="510"/>
      <c r="EF22" s="510"/>
      <c r="EG22" s="510"/>
      <c r="EH22" s="588"/>
      <c r="EI22" s="588"/>
      <c r="EJ22" s="510"/>
      <c r="EK22" s="587"/>
      <c r="EL22" s="510"/>
      <c r="EM22" s="510"/>
      <c r="EN22" s="510"/>
      <c r="EO22" s="588"/>
      <c r="EP22" s="588"/>
      <c r="EQ22" s="510"/>
      <c r="ER22" s="587"/>
      <c r="ES22" s="510"/>
      <c r="ET22" s="510"/>
      <c r="EU22" s="510"/>
      <c r="EV22" s="588"/>
      <c r="EW22" s="588"/>
      <c r="EX22" s="510"/>
      <c r="EY22" s="587"/>
      <c r="EZ22" s="510"/>
      <c r="FA22" s="510"/>
      <c r="FB22" s="510"/>
      <c r="FC22" s="588"/>
      <c r="FD22" s="588"/>
      <c r="FE22" s="510"/>
      <c r="FF22" s="587"/>
      <c r="FG22" s="510"/>
      <c r="FH22" s="510"/>
      <c r="FI22" s="510"/>
      <c r="FJ22" s="588"/>
      <c r="FK22" s="588"/>
      <c r="FL22" s="510"/>
      <c r="FM22" s="587"/>
      <c r="FN22" s="510"/>
      <c r="FO22" s="510"/>
      <c r="FP22" s="510"/>
      <c r="FQ22" s="588"/>
      <c r="FR22" s="588"/>
      <c r="FS22" s="510"/>
      <c r="FT22" s="587"/>
      <c r="FU22" s="510"/>
      <c r="FV22" s="510"/>
      <c r="FW22" s="510"/>
      <c r="FX22" s="588"/>
      <c r="FY22" s="588"/>
      <c r="FZ22" s="510"/>
      <c r="GA22" s="587"/>
      <c r="GB22" s="510"/>
      <c r="GC22" s="510"/>
      <c r="GD22" s="510"/>
      <c r="GE22" s="588"/>
      <c r="GF22" s="588"/>
      <c r="GG22" s="510"/>
      <c r="GH22" s="587"/>
      <c r="GI22" s="510"/>
      <c r="GJ22" s="510"/>
      <c r="GK22" s="510"/>
      <c r="GL22" s="588"/>
      <c r="GM22" s="588"/>
      <c r="GN22" s="510"/>
      <c r="GO22" s="587"/>
      <c r="GP22" s="510"/>
      <c r="GQ22" s="510"/>
      <c r="GR22" s="510"/>
      <c r="GS22" s="588"/>
      <c r="GT22" s="588"/>
      <c r="GU22" s="510"/>
      <c r="GV22" s="587"/>
      <c r="GW22" s="510"/>
      <c r="GX22" s="510"/>
      <c r="GY22" s="510"/>
      <c r="GZ22" s="588"/>
      <c r="HA22" s="588"/>
      <c r="HB22" s="510"/>
      <c r="HC22" s="587"/>
      <c r="HD22" s="510"/>
      <c r="HE22" s="510"/>
      <c r="HF22" s="510"/>
      <c r="HG22" s="588"/>
      <c r="HH22" s="588"/>
      <c r="HI22" s="510"/>
      <c r="HJ22" s="587"/>
      <c r="HK22" s="510"/>
      <c r="HL22" s="510"/>
      <c r="HM22" s="510"/>
      <c r="HN22" s="588"/>
      <c r="HO22" s="588"/>
      <c r="HP22" s="510"/>
      <c r="HQ22" s="587"/>
      <c r="HR22" s="510"/>
      <c r="HS22" s="510"/>
      <c r="HT22" s="510"/>
      <c r="HU22" s="588"/>
      <c r="HV22" s="588"/>
      <c r="HW22" s="510"/>
      <c r="HX22" s="587"/>
      <c r="HY22" s="510"/>
      <c r="HZ22" s="510"/>
      <c r="IA22" s="510"/>
      <c r="IB22" s="588"/>
      <c r="IC22" s="588"/>
      <c r="ID22" s="510"/>
      <c r="IE22" s="587"/>
      <c r="IF22" s="510"/>
      <c r="IG22" s="510"/>
      <c r="IH22" s="510"/>
      <c r="II22" s="588"/>
      <c r="IJ22" s="588"/>
      <c r="IK22" s="510"/>
      <c r="IL22" s="587"/>
      <c r="IM22" s="510"/>
      <c r="IN22" s="510"/>
      <c r="IO22" s="510"/>
      <c r="IP22" s="588"/>
      <c r="IQ22" s="588"/>
      <c r="IR22" s="510"/>
      <c r="IS22" s="587"/>
      <c r="IT22" s="510"/>
      <c r="IU22" s="510"/>
      <c r="IV22" s="510"/>
    </row>
    <row r="23" spans="1:256" ht="12.75">
      <c r="A23" s="32" t="s">
        <v>322</v>
      </c>
      <c r="B23" s="248"/>
      <c r="C23" s="248"/>
      <c r="D23" s="248"/>
      <c r="E23" s="16"/>
      <c r="F23" s="16"/>
      <c r="G23" s="248"/>
      <c r="H23" s="583"/>
      <c r="I23" s="580"/>
      <c r="J23" s="580"/>
      <c r="K23" s="580"/>
      <c r="L23" s="581"/>
      <c r="M23" s="581"/>
      <c r="N23" s="580"/>
      <c r="O23" s="583"/>
      <c r="P23" s="580"/>
      <c r="Q23" s="580"/>
      <c r="R23" s="580"/>
      <c r="S23" s="581"/>
      <c r="T23" s="581"/>
      <c r="U23" s="580"/>
      <c r="V23" s="583"/>
      <c r="W23" s="580"/>
      <c r="X23" s="580"/>
      <c r="Y23" s="580"/>
      <c r="Z23" s="581"/>
      <c r="AA23" s="581"/>
      <c r="AB23" s="580"/>
      <c r="AC23" s="583"/>
      <c r="AD23" s="580"/>
      <c r="AE23" s="580"/>
      <c r="AF23" s="580"/>
      <c r="AG23" s="581"/>
      <c r="AH23" s="581"/>
      <c r="AI23" s="580"/>
      <c r="AJ23" s="583"/>
      <c r="AK23" s="580"/>
      <c r="AL23" s="580"/>
      <c r="AM23" s="580"/>
      <c r="AN23" s="581"/>
      <c r="AO23" s="581"/>
      <c r="AP23" s="580"/>
      <c r="AQ23" s="583"/>
      <c r="AR23" s="580"/>
      <c r="AS23" s="580"/>
      <c r="AT23" s="580"/>
      <c r="AU23" s="581"/>
      <c r="AV23" s="581"/>
      <c r="AW23" s="580"/>
      <c r="AX23" s="583"/>
      <c r="AY23" s="580"/>
      <c r="AZ23" s="580"/>
      <c r="BA23" s="580"/>
      <c r="BB23" s="581"/>
      <c r="BC23" s="581"/>
      <c r="BD23" s="580"/>
      <c r="BE23" s="583"/>
      <c r="BF23" s="580"/>
      <c r="BG23" s="580"/>
      <c r="BH23" s="580"/>
      <c r="BI23" s="581"/>
      <c r="BJ23" s="581"/>
      <c r="BK23" s="580"/>
      <c r="BL23" s="583"/>
      <c r="BM23" s="580"/>
      <c r="BN23" s="580"/>
      <c r="BO23" s="580"/>
      <c r="BP23" s="581"/>
      <c r="BQ23" s="581"/>
      <c r="BR23" s="580"/>
      <c r="BS23" s="583"/>
      <c r="BT23" s="580"/>
      <c r="BU23" s="580"/>
      <c r="BV23" s="580"/>
      <c r="BW23" s="581"/>
      <c r="BX23" s="581"/>
      <c r="BY23" s="580"/>
      <c r="BZ23" s="583"/>
      <c r="CA23" s="580"/>
      <c r="CB23" s="580"/>
      <c r="CC23" s="580"/>
      <c r="CD23" s="581"/>
      <c r="CE23" s="581"/>
      <c r="CF23" s="580"/>
      <c r="CG23" s="583"/>
      <c r="CH23" s="580"/>
      <c r="CI23" s="580"/>
      <c r="CJ23" s="580"/>
      <c r="CK23" s="581"/>
      <c r="CL23" s="581"/>
      <c r="CM23" s="580"/>
      <c r="CN23" s="583"/>
      <c r="CO23" s="580"/>
      <c r="CP23" s="580"/>
      <c r="CQ23" s="580"/>
      <c r="CR23" s="581"/>
      <c r="CS23" s="581"/>
      <c r="CT23" s="580"/>
      <c r="CU23" s="583"/>
      <c r="CV23" s="580"/>
      <c r="CW23" s="580"/>
      <c r="CX23" s="580"/>
      <c r="CY23" s="581"/>
      <c r="CZ23" s="581"/>
      <c r="DA23" s="580"/>
      <c r="DB23" s="583"/>
      <c r="DC23" s="580"/>
      <c r="DD23" s="580"/>
      <c r="DE23" s="580"/>
      <c r="DF23" s="581"/>
      <c r="DG23" s="581"/>
      <c r="DH23" s="580"/>
      <c r="DI23" s="583"/>
      <c r="DJ23" s="580"/>
      <c r="DK23" s="580"/>
      <c r="DL23" s="580"/>
      <c r="DM23" s="581"/>
      <c r="DN23" s="581"/>
      <c r="DO23" s="580"/>
      <c r="DP23" s="583"/>
      <c r="DQ23" s="580"/>
      <c r="DR23" s="580"/>
      <c r="DS23" s="580"/>
      <c r="DT23" s="581"/>
      <c r="DU23" s="581"/>
      <c r="DV23" s="580"/>
      <c r="DW23" s="583"/>
      <c r="DX23" s="580"/>
      <c r="DY23" s="580"/>
      <c r="DZ23" s="580"/>
      <c r="EA23" s="581"/>
      <c r="EB23" s="581"/>
      <c r="EC23" s="580"/>
      <c r="ED23" s="583"/>
      <c r="EE23" s="580"/>
      <c r="EF23" s="580"/>
      <c r="EG23" s="580"/>
      <c r="EH23" s="581"/>
      <c r="EI23" s="581"/>
      <c r="EJ23" s="580"/>
      <c r="EK23" s="583"/>
      <c r="EL23" s="580"/>
      <c r="EM23" s="580"/>
      <c r="EN23" s="580"/>
      <c r="EO23" s="581"/>
      <c r="EP23" s="581"/>
      <c r="EQ23" s="580"/>
      <c r="ER23" s="583"/>
      <c r="ES23" s="580"/>
      <c r="ET23" s="580"/>
      <c r="EU23" s="580"/>
      <c r="EV23" s="581"/>
      <c r="EW23" s="581"/>
      <c r="EX23" s="580"/>
      <c r="EY23" s="583"/>
      <c r="EZ23" s="580"/>
      <c r="FA23" s="580"/>
      <c r="FB23" s="580"/>
      <c r="FC23" s="581"/>
      <c r="FD23" s="581"/>
      <c r="FE23" s="580"/>
      <c r="FF23" s="583"/>
      <c r="FG23" s="580"/>
      <c r="FH23" s="580"/>
      <c r="FI23" s="580"/>
      <c r="FJ23" s="581"/>
      <c r="FK23" s="581"/>
      <c r="FL23" s="580"/>
      <c r="FM23" s="583"/>
      <c r="FN23" s="580"/>
      <c r="FO23" s="580"/>
      <c r="FP23" s="580"/>
      <c r="FQ23" s="581"/>
      <c r="FR23" s="581"/>
      <c r="FS23" s="580"/>
      <c r="FT23" s="583"/>
      <c r="FU23" s="580"/>
      <c r="FV23" s="580"/>
      <c r="FW23" s="580"/>
      <c r="FX23" s="581"/>
      <c r="FY23" s="581"/>
      <c r="FZ23" s="580"/>
      <c r="GA23" s="583"/>
      <c r="GB23" s="580"/>
      <c r="GC23" s="580"/>
      <c r="GD23" s="580"/>
      <c r="GE23" s="581"/>
      <c r="GF23" s="581"/>
      <c r="GG23" s="580"/>
      <c r="GH23" s="583"/>
      <c r="GI23" s="580"/>
      <c r="GJ23" s="580"/>
      <c r="GK23" s="580"/>
      <c r="GL23" s="581"/>
      <c r="GM23" s="581"/>
      <c r="GN23" s="580"/>
      <c r="GO23" s="583"/>
      <c r="GP23" s="580"/>
      <c r="GQ23" s="580"/>
      <c r="GR23" s="580"/>
      <c r="GS23" s="581"/>
      <c r="GT23" s="581"/>
      <c r="GU23" s="580"/>
      <c r="GV23" s="583"/>
      <c r="GW23" s="580"/>
      <c r="GX23" s="580"/>
      <c r="GY23" s="580"/>
      <c r="GZ23" s="581"/>
      <c r="HA23" s="581"/>
      <c r="HB23" s="580"/>
      <c r="HC23" s="583"/>
      <c r="HD23" s="580"/>
      <c r="HE23" s="580"/>
      <c r="HF23" s="580"/>
      <c r="HG23" s="581"/>
      <c r="HH23" s="581"/>
      <c r="HI23" s="580"/>
      <c r="HJ23" s="583"/>
      <c r="HK23" s="580"/>
      <c r="HL23" s="580"/>
      <c r="HM23" s="580"/>
      <c r="HN23" s="581"/>
      <c r="HO23" s="581"/>
      <c r="HP23" s="580"/>
      <c r="HQ23" s="583"/>
      <c r="HR23" s="580"/>
      <c r="HS23" s="580"/>
      <c r="HT23" s="580"/>
      <c r="HU23" s="581"/>
      <c r="HV23" s="581"/>
      <c r="HW23" s="580"/>
      <c r="HX23" s="583"/>
      <c r="HY23" s="580"/>
      <c r="HZ23" s="580"/>
      <c r="IA23" s="580"/>
      <c r="IB23" s="581"/>
      <c r="IC23" s="581"/>
      <c r="ID23" s="580"/>
      <c r="IE23" s="583"/>
      <c r="IF23" s="580"/>
      <c r="IG23" s="580"/>
      <c r="IH23" s="580"/>
      <c r="II23" s="581"/>
      <c r="IJ23" s="581"/>
      <c r="IK23" s="580"/>
      <c r="IL23" s="583"/>
      <c r="IM23" s="580"/>
      <c r="IN23" s="580"/>
      <c r="IO23" s="580"/>
      <c r="IP23" s="581"/>
      <c r="IQ23" s="581"/>
      <c r="IR23" s="580"/>
      <c r="IS23" s="583"/>
      <c r="IT23" s="580"/>
      <c r="IU23" s="580"/>
      <c r="IV23" s="580"/>
    </row>
    <row r="24" spans="1:256" ht="12.75">
      <c r="A24" s="505" t="s">
        <v>272</v>
      </c>
      <c r="B24" s="475"/>
      <c r="C24" s="475"/>
      <c r="D24" s="475"/>
      <c r="E24" s="506"/>
      <c r="F24" s="506"/>
      <c r="G24" s="475"/>
      <c r="H24" s="584"/>
      <c r="I24" s="585"/>
      <c r="J24" s="585"/>
      <c r="K24" s="585"/>
      <c r="L24" s="586"/>
      <c r="M24" s="586"/>
      <c r="N24" s="585"/>
      <c r="O24" s="584"/>
      <c r="P24" s="585"/>
      <c r="Q24" s="585"/>
      <c r="R24" s="585"/>
      <c r="S24" s="586"/>
      <c r="T24" s="586"/>
      <c r="U24" s="585"/>
      <c r="V24" s="584"/>
      <c r="W24" s="585"/>
      <c r="X24" s="585"/>
      <c r="Y24" s="585"/>
      <c r="Z24" s="586"/>
      <c r="AA24" s="586"/>
      <c r="AB24" s="585"/>
      <c r="AC24" s="584"/>
      <c r="AD24" s="585"/>
      <c r="AE24" s="585"/>
      <c r="AF24" s="585"/>
      <c r="AG24" s="586"/>
      <c r="AH24" s="586"/>
      <c r="AI24" s="585"/>
      <c r="AJ24" s="584"/>
      <c r="AK24" s="585"/>
      <c r="AL24" s="585"/>
      <c r="AM24" s="585"/>
      <c r="AN24" s="586"/>
      <c r="AO24" s="586"/>
      <c r="AP24" s="585"/>
      <c r="AQ24" s="584"/>
      <c r="AR24" s="585"/>
      <c r="AS24" s="585"/>
      <c r="AT24" s="585"/>
      <c r="AU24" s="586"/>
      <c r="AV24" s="586"/>
      <c r="AW24" s="585"/>
      <c r="AX24" s="584"/>
      <c r="AY24" s="585"/>
      <c r="AZ24" s="585"/>
      <c r="BA24" s="585"/>
      <c r="BB24" s="586"/>
      <c r="BC24" s="586"/>
      <c r="BD24" s="585"/>
      <c r="BE24" s="584"/>
      <c r="BF24" s="585"/>
      <c r="BG24" s="585"/>
      <c r="BH24" s="585"/>
      <c r="BI24" s="586"/>
      <c r="BJ24" s="586"/>
      <c r="BK24" s="585"/>
      <c r="BL24" s="584"/>
      <c r="BM24" s="585"/>
      <c r="BN24" s="585"/>
      <c r="BO24" s="585"/>
      <c r="BP24" s="586"/>
      <c r="BQ24" s="586"/>
      <c r="BR24" s="585"/>
      <c r="BS24" s="584"/>
      <c r="BT24" s="585"/>
      <c r="BU24" s="585"/>
      <c r="BV24" s="585"/>
      <c r="BW24" s="586"/>
      <c r="BX24" s="586"/>
      <c r="BY24" s="585"/>
      <c r="BZ24" s="584"/>
      <c r="CA24" s="585"/>
      <c r="CB24" s="585"/>
      <c r="CC24" s="585"/>
      <c r="CD24" s="586"/>
      <c r="CE24" s="586"/>
      <c r="CF24" s="585"/>
      <c r="CG24" s="584"/>
      <c r="CH24" s="585"/>
      <c r="CI24" s="585"/>
      <c r="CJ24" s="585"/>
      <c r="CK24" s="586"/>
      <c r="CL24" s="586"/>
      <c r="CM24" s="585"/>
      <c r="CN24" s="584"/>
      <c r="CO24" s="585"/>
      <c r="CP24" s="585"/>
      <c r="CQ24" s="585"/>
      <c r="CR24" s="586"/>
      <c r="CS24" s="586"/>
      <c r="CT24" s="585"/>
      <c r="CU24" s="584"/>
      <c r="CV24" s="585"/>
      <c r="CW24" s="585"/>
      <c r="CX24" s="585"/>
      <c r="CY24" s="586"/>
      <c r="CZ24" s="586"/>
      <c r="DA24" s="585"/>
      <c r="DB24" s="584"/>
      <c r="DC24" s="585"/>
      <c r="DD24" s="585"/>
      <c r="DE24" s="585"/>
      <c r="DF24" s="586"/>
      <c r="DG24" s="586"/>
      <c r="DH24" s="585"/>
      <c r="DI24" s="584"/>
      <c r="DJ24" s="585"/>
      <c r="DK24" s="585"/>
      <c r="DL24" s="585"/>
      <c r="DM24" s="586"/>
      <c r="DN24" s="586"/>
      <c r="DO24" s="585"/>
      <c r="DP24" s="584"/>
      <c r="DQ24" s="585"/>
      <c r="DR24" s="585"/>
      <c r="DS24" s="585"/>
      <c r="DT24" s="586"/>
      <c r="DU24" s="586"/>
      <c r="DV24" s="585"/>
      <c r="DW24" s="584"/>
      <c r="DX24" s="585"/>
      <c r="DY24" s="585"/>
      <c r="DZ24" s="585"/>
      <c r="EA24" s="586"/>
      <c r="EB24" s="586"/>
      <c r="EC24" s="585"/>
      <c r="ED24" s="584"/>
      <c r="EE24" s="585"/>
      <c r="EF24" s="585"/>
      <c r="EG24" s="585"/>
      <c r="EH24" s="586"/>
      <c r="EI24" s="586"/>
      <c r="EJ24" s="585"/>
      <c r="EK24" s="584"/>
      <c r="EL24" s="585"/>
      <c r="EM24" s="585"/>
      <c r="EN24" s="585"/>
      <c r="EO24" s="586"/>
      <c r="EP24" s="586"/>
      <c r="EQ24" s="585"/>
      <c r="ER24" s="584"/>
      <c r="ES24" s="585"/>
      <c r="ET24" s="585"/>
      <c r="EU24" s="585"/>
      <c r="EV24" s="586"/>
      <c r="EW24" s="586"/>
      <c r="EX24" s="585"/>
      <c r="EY24" s="584"/>
      <c r="EZ24" s="585"/>
      <c r="FA24" s="585"/>
      <c r="FB24" s="585"/>
      <c r="FC24" s="586"/>
      <c r="FD24" s="586"/>
      <c r="FE24" s="585"/>
      <c r="FF24" s="584"/>
      <c r="FG24" s="585"/>
      <c r="FH24" s="585"/>
      <c r="FI24" s="585"/>
      <c r="FJ24" s="586"/>
      <c r="FK24" s="586"/>
      <c r="FL24" s="585"/>
      <c r="FM24" s="584"/>
      <c r="FN24" s="585"/>
      <c r="FO24" s="585"/>
      <c r="FP24" s="585"/>
      <c r="FQ24" s="586"/>
      <c r="FR24" s="586"/>
      <c r="FS24" s="585"/>
      <c r="FT24" s="584"/>
      <c r="FU24" s="585"/>
      <c r="FV24" s="585"/>
      <c r="FW24" s="585"/>
      <c r="FX24" s="586"/>
      <c r="FY24" s="586"/>
      <c r="FZ24" s="585"/>
      <c r="GA24" s="584"/>
      <c r="GB24" s="585"/>
      <c r="GC24" s="585"/>
      <c r="GD24" s="585"/>
      <c r="GE24" s="586"/>
      <c r="GF24" s="586"/>
      <c r="GG24" s="585"/>
      <c r="GH24" s="584"/>
      <c r="GI24" s="585"/>
      <c r="GJ24" s="585"/>
      <c r="GK24" s="585"/>
      <c r="GL24" s="586"/>
      <c r="GM24" s="586"/>
      <c r="GN24" s="585"/>
      <c r="GO24" s="584"/>
      <c r="GP24" s="585"/>
      <c r="GQ24" s="585"/>
      <c r="GR24" s="585"/>
      <c r="GS24" s="586"/>
      <c r="GT24" s="586"/>
      <c r="GU24" s="585"/>
      <c r="GV24" s="584"/>
      <c r="GW24" s="585"/>
      <c r="GX24" s="585"/>
      <c r="GY24" s="585"/>
      <c r="GZ24" s="586"/>
      <c r="HA24" s="586"/>
      <c r="HB24" s="585"/>
      <c r="HC24" s="584"/>
      <c r="HD24" s="585"/>
      <c r="HE24" s="585"/>
      <c r="HF24" s="585"/>
      <c r="HG24" s="586"/>
      <c r="HH24" s="586"/>
      <c r="HI24" s="585"/>
      <c r="HJ24" s="584"/>
      <c r="HK24" s="585"/>
      <c r="HL24" s="585"/>
      <c r="HM24" s="585"/>
      <c r="HN24" s="586"/>
      <c r="HO24" s="586"/>
      <c r="HP24" s="585"/>
      <c r="HQ24" s="584"/>
      <c r="HR24" s="585"/>
      <c r="HS24" s="585"/>
      <c r="HT24" s="585"/>
      <c r="HU24" s="586"/>
      <c r="HV24" s="586"/>
      <c r="HW24" s="585"/>
      <c r="HX24" s="584"/>
      <c r="HY24" s="585"/>
      <c r="HZ24" s="585"/>
      <c r="IA24" s="585"/>
      <c r="IB24" s="586"/>
      <c r="IC24" s="586"/>
      <c r="ID24" s="585"/>
      <c r="IE24" s="584"/>
      <c r="IF24" s="585"/>
      <c r="IG24" s="585"/>
      <c r="IH24" s="585"/>
      <c r="II24" s="586"/>
      <c r="IJ24" s="586"/>
      <c r="IK24" s="585"/>
      <c r="IL24" s="584"/>
      <c r="IM24" s="585"/>
      <c r="IN24" s="585"/>
      <c r="IO24" s="585"/>
      <c r="IP24" s="586"/>
      <c r="IQ24" s="586"/>
      <c r="IR24" s="585"/>
      <c r="IS24" s="584"/>
      <c r="IT24" s="585"/>
      <c r="IU24" s="585"/>
      <c r="IV24" s="585"/>
    </row>
    <row r="25" spans="1:256" ht="12.75">
      <c r="A25" s="473" t="s">
        <v>269</v>
      </c>
      <c r="B25" s="507"/>
      <c r="C25" s="507"/>
      <c r="D25" s="507"/>
      <c r="E25" s="40"/>
      <c r="F25" s="40"/>
      <c r="G25" s="507"/>
      <c r="H25" s="587"/>
      <c r="I25" s="510"/>
      <c r="J25" s="510"/>
      <c r="K25" s="510"/>
      <c r="L25" s="588"/>
      <c r="M25" s="588"/>
      <c r="N25" s="510"/>
      <c r="O25" s="587"/>
      <c r="P25" s="510"/>
      <c r="Q25" s="510"/>
      <c r="R25" s="510"/>
      <c r="S25" s="588"/>
      <c r="T25" s="588"/>
      <c r="U25" s="510"/>
      <c r="V25" s="587"/>
      <c r="W25" s="510"/>
      <c r="X25" s="510"/>
      <c r="Y25" s="510"/>
      <c r="Z25" s="588"/>
      <c r="AA25" s="588"/>
      <c r="AB25" s="510"/>
      <c r="AC25" s="587"/>
      <c r="AD25" s="510"/>
      <c r="AE25" s="510"/>
      <c r="AF25" s="510"/>
      <c r="AG25" s="588"/>
      <c r="AH25" s="588"/>
      <c r="AI25" s="510"/>
      <c r="AJ25" s="587"/>
      <c r="AK25" s="510"/>
      <c r="AL25" s="510"/>
      <c r="AM25" s="510"/>
      <c r="AN25" s="588"/>
      <c r="AO25" s="588"/>
      <c r="AP25" s="510"/>
      <c r="AQ25" s="587"/>
      <c r="AR25" s="510"/>
      <c r="AS25" s="510"/>
      <c r="AT25" s="510"/>
      <c r="AU25" s="588"/>
      <c r="AV25" s="588"/>
      <c r="AW25" s="510"/>
      <c r="AX25" s="587"/>
      <c r="AY25" s="510"/>
      <c r="AZ25" s="510"/>
      <c r="BA25" s="510"/>
      <c r="BB25" s="588"/>
      <c r="BC25" s="588"/>
      <c r="BD25" s="510"/>
      <c r="BE25" s="587"/>
      <c r="BF25" s="510"/>
      <c r="BG25" s="510"/>
      <c r="BH25" s="510"/>
      <c r="BI25" s="588"/>
      <c r="BJ25" s="588"/>
      <c r="BK25" s="510"/>
      <c r="BL25" s="587"/>
      <c r="BM25" s="510"/>
      <c r="BN25" s="510"/>
      <c r="BO25" s="510"/>
      <c r="BP25" s="588"/>
      <c r="BQ25" s="588"/>
      <c r="BR25" s="510"/>
      <c r="BS25" s="587"/>
      <c r="BT25" s="510"/>
      <c r="BU25" s="510"/>
      <c r="BV25" s="510"/>
      <c r="BW25" s="588"/>
      <c r="BX25" s="588"/>
      <c r="BY25" s="510"/>
      <c r="BZ25" s="587"/>
      <c r="CA25" s="510"/>
      <c r="CB25" s="510"/>
      <c r="CC25" s="510"/>
      <c r="CD25" s="588"/>
      <c r="CE25" s="588"/>
      <c r="CF25" s="510"/>
      <c r="CG25" s="587"/>
      <c r="CH25" s="510"/>
      <c r="CI25" s="510"/>
      <c r="CJ25" s="510"/>
      <c r="CK25" s="588"/>
      <c r="CL25" s="588"/>
      <c r="CM25" s="510"/>
      <c r="CN25" s="587"/>
      <c r="CO25" s="510"/>
      <c r="CP25" s="510"/>
      <c r="CQ25" s="510"/>
      <c r="CR25" s="588"/>
      <c r="CS25" s="588"/>
      <c r="CT25" s="510"/>
      <c r="CU25" s="587"/>
      <c r="CV25" s="510"/>
      <c r="CW25" s="510"/>
      <c r="CX25" s="510"/>
      <c r="CY25" s="588"/>
      <c r="CZ25" s="588"/>
      <c r="DA25" s="510"/>
      <c r="DB25" s="587"/>
      <c r="DC25" s="510"/>
      <c r="DD25" s="510"/>
      <c r="DE25" s="510"/>
      <c r="DF25" s="588"/>
      <c r="DG25" s="588"/>
      <c r="DH25" s="510"/>
      <c r="DI25" s="587"/>
      <c r="DJ25" s="510"/>
      <c r="DK25" s="510"/>
      <c r="DL25" s="510"/>
      <c r="DM25" s="588"/>
      <c r="DN25" s="588"/>
      <c r="DO25" s="510"/>
      <c r="DP25" s="587"/>
      <c r="DQ25" s="510"/>
      <c r="DR25" s="510"/>
      <c r="DS25" s="510"/>
      <c r="DT25" s="588"/>
      <c r="DU25" s="588"/>
      <c r="DV25" s="510"/>
      <c r="DW25" s="587"/>
      <c r="DX25" s="510"/>
      <c r="DY25" s="510"/>
      <c r="DZ25" s="510"/>
      <c r="EA25" s="588"/>
      <c r="EB25" s="588"/>
      <c r="EC25" s="510"/>
      <c r="ED25" s="587"/>
      <c r="EE25" s="510"/>
      <c r="EF25" s="510"/>
      <c r="EG25" s="510"/>
      <c r="EH25" s="588"/>
      <c r="EI25" s="588"/>
      <c r="EJ25" s="510"/>
      <c r="EK25" s="587"/>
      <c r="EL25" s="510"/>
      <c r="EM25" s="510"/>
      <c r="EN25" s="510"/>
      <c r="EO25" s="588"/>
      <c r="EP25" s="588"/>
      <c r="EQ25" s="510"/>
      <c r="ER25" s="587"/>
      <c r="ES25" s="510"/>
      <c r="ET25" s="510"/>
      <c r="EU25" s="510"/>
      <c r="EV25" s="588"/>
      <c r="EW25" s="588"/>
      <c r="EX25" s="510"/>
      <c r="EY25" s="587"/>
      <c r="EZ25" s="510"/>
      <c r="FA25" s="510"/>
      <c r="FB25" s="510"/>
      <c r="FC25" s="588"/>
      <c r="FD25" s="588"/>
      <c r="FE25" s="510"/>
      <c r="FF25" s="587"/>
      <c r="FG25" s="510"/>
      <c r="FH25" s="510"/>
      <c r="FI25" s="510"/>
      <c r="FJ25" s="588"/>
      <c r="FK25" s="588"/>
      <c r="FL25" s="510"/>
      <c r="FM25" s="587"/>
      <c r="FN25" s="510"/>
      <c r="FO25" s="510"/>
      <c r="FP25" s="510"/>
      <c r="FQ25" s="588"/>
      <c r="FR25" s="588"/>
      <c r="FS25" s="510"/>
      <c r="FT25" s="587"/>
      <c r="FU25" s="510"/>
      <c r="FV25" s="510"/>
      <c r="FW25" s="510"/>
      <c r="FX25" s="588"/>
      <c r="FY25" s="588"/>
      <c r="FZ25" s="510"/>
      <c r="GA25" s="587"/>
      <c r="GB25" s="510"/>
      <c r="GC25" s="510"/>
      <c r="GD25" s="510"/>
      <c r="GE25" s="588"/>
      <c r="GF25" s="588"/>
      <c r="GG25" s="510"/>
      <c r="GH25" s="587"/>
      <c r="GI25" s="510"/>
      <c r="GJ25" s="510"/>
      <c r="GK25" s="510"/>
      <c r="GL25" s="588"/>
      <c r="GM25" s="588"/>
      <c r="GN25" s="510"/>
      <c r="GO25" s="587"/>
      <c r="GP25" s="510"/>
      <c r="GQ25" s="510"/>
      <c r="GR25" s="510"/>
      <c r="GS25" s="588"/>
      <c r="GT25" s="588"/>
      <c r="GU25" s="510"/>
      <c r="GV25" s="587"/>
      <c r="GW25" s="510"/>
      <c r="GX25" s="510"/>
      <c r="GY25" s="510"/>
      <c r="GZ25" s="588"/>
      <c r="HA25" s="588"/>
      <c r="HB25" s="510"/>
      <c r="HC25" s="587"/>
      <c r="HD25" s="510"/>
      <c r="HE25" s="510"/>
      <c r="HF25" s="510"/>
      <c r="HG25" s="588"/>
      <c r="HH25" s="588"/>
      <c r="HI25" s="510"/>
      <c r="HJ25" s="587"/>
      <c r="HK25" s="510"/>
      <c r="HL25" s="510"/>
      <c r="HM25" s="510"/>
      <c r="HN25" s="588"/>
      <c r="HO25" s="588"/>
      <c r="HP25" s="510"/>
      <c r="HQ25" s="587"/>
      <c r="HR25" s="510"/>
      <c r="HS25" s="510"/>
      <c r="HT25" s="510"/>
      <c r="HU25" s="588"/>
      <c r="HV25" s="588"/>
      <c r="HW25" s="510"/>
      <c r="HX25" s="587"/>
      <c r="HY25" s="510"/>
      <c r="HZ25" s="510"/>
      <c r="IA25" s="510"/>
      <c r="IB25" s="588"/>
      <c r="IC25" s="588"/>
      <c r="ID25" s="510"/>
      <c r="IE25" s="587"/>
      <c r="IF25" s="510"/>
      <c r="IG25" s="510"/>
      <c r="IH25" s="510"/>
      <c r="II25" s="588"/>
      <c r="IJ25" s="588"/>
      <c r="IK25" s="510"/>
      <c r="IL25" s="587"/>
      <c r="IM25" s="510"/>
      <c r="IN25" s="510"/>
      <c r="IO25" s="510"/>
      <c r="IP25" s="588"/>
      <c r="IQ25" s="588"/>
      <c r="IR25" s="510"/>
      <c r="IS25" s="587"/>
      <c r="IT25" s="510"/>
      <c r="IU25" s="510"/>
      <c r="IV25" s="510"/>
    </row>
    <row r="26" spans="1:256" ht="12.75">
      <c r="A26" s="32" t="s">
        <v>323</v>
      </c>
      <c r="B26" s="248">
        <v>2464</v>
      </c>
      <c r="C26" s="248">
        <v>458</v>
      </c>
      <c r="D26" s="248"/>
      <c r="E26" s="16"/>
      <c r="F26" s="16"/>
      <c r="G26" s="248"/>
      <c r="H26" s="583"/>
      <c r="I26" s="580"/>
      <c r="J26" s="580"/>
      <c r="K26" s="580"/>
      <c r="L26" s="581"/>
      <c r="M26" s="581"/>
      <c r="N26" s="580"/>
      <c r="O26" s="583"/>
      <c r="P26" s="580"/>
      <c r="Q26" s="580"/>
      <c r="R26" s="580"/>
      <c r="S26" s="581"/>
      <c r="T26" s="581"/>
      <c r="U26" s="580"/>
      <c r="V26" s="583"/>
      <c r="W26" s="580"/>
      <c r="X26" s="580"/>
      <c r="Y26" s="580"/>
      <c r="Z26" s="581"/>
      <c r="AA26" s="581"/>
      <c r="AB26" s="580"/>
      <c r="AC26" s="583"/>
      <c r="AD26" s="580"/>
      <c r="AE26" s="580"/>
      <c r="AF26" s="580"/>
      <c r="AG26" s="581"/>
      <c r="AH26" s="581"/>
      <c r="AI26" s="580"/>
      <c r="AJ26" s="583"/>
      <c r="AK26" s="580"/>
      <c r="AL26" s="580"/>
      <c r="AM26" s="580"/>
      <c r="AN26" s="581"/>
      <c r="AO26" s="581"/>
      <c r="AP26" s="580"/>
      <c r="AQ26" s="583"/>
      <c r="AR26" s="580"/>
      <c r="AS26" s="580"/>
      <c r="AT26" s="580"/>
      <c r="AU26" s="581"/>
      <c r="AV26" s="581"/>
      <c r="AW26" s="580"/>
      <c r="AX26" s="583"/>
      <c r="AY26" s="580"/>
      <c r="AZ26" s="580"/>
      <c r="BA26" s="580"/>
      <c r="BB26" s="581"/>
      <c r="BC26" s="581"/>
      <c r="BD26" s="580"/>
      <c r="BE26" s="583"/>
      <c r="BF26" s="580"/>
      <c r="BG26" s="580"/>
      <c r="BH26" s="580"/>
      <c r="BI26" s="581"/>
      <c r="BJ26" s="581"/>
      <c r="BK26" s="580"/>
      <c r="BL26" s="583"/>
      <c r="BM26" s="580"/>
      <c r="BN26" s="580"/>
      <c r="BO26" s="580"/>
      <c r="BP26" s="581"/>
      <c r="BQ26" s="581"/>
      <c r="BR26" s="580"/>
      <c r="BS26" s="583"/>
      <c r="BT26" s="580"/>
      <c r="BU26" s="580"/>
      <c r="BV26" s="580"/>
      <c r="BW26" s="581"/>
      <c r="BX26" s="581"/>
      <c r="BY26" s="580"/>
      <c r="BZ26" s="583"/>
      <c r="CA26" s="580"/>
      <c r="CB26" s="580"/>
      <c r="CC26" s="580"/>
      <c r="CD26" s="581"/>
      <c r="CE26" s="581"/>
      <c r="CF26" s="580"/>
      <c r="CG26" s="583"/>
      <c r="CH26" s="580"/>
      <c r="CI26" s="580"/>
      <c r="CJ26" s="580"/>
      <c r="CK26" s="581"/>
      <c r="CL26" s="581"/>
      <c r="CM26" s="580"/>
      <c r="CN26" s="583"/>
      <c r="CO26" s="580"/>
      <c r="CP26" s="580"/>
      <c r="CQ26" s="580"/>
      <c r="CR26" s="581"/>
      <c r="CS26" s="581"/>
      <c r="CT26" s="580"/>
      <c r="CU26" s="583"/>
      <c r="CV26" s="580"/>
      <c r="CW26" s="580"/>
      <c r="CX26" s="580"/>
      <c r="CY26" s="581"/>
      <c r="CZ26" s="581"/>
      <c r="DA26" s="580"/>
      <c r="DB26" s="583"/>
      <c r="DC26" s="580"/>
      <c r="DD26" s="580"/>
      <c r="DE26" s="580"/>
      <c r="DF26" s="581"/>
      <c r="DG26" s="581"/>
      <c r="DH26" s="580"/>
      <c r="DI26" s="583"/>
      <c r="DJ26" s="580"/>
      <c r="DK26" s="580"/>
      <c r="DL26" s="580"/>
      <c r="DM26" s="581"/>
      <c r="DN26" s="581"/>
      <c r="DO26" s="580"/>
      <c r="DP26" s="583"/>
      <c r="DQ26" s="580"/>
      <c r="DR26" s="580"/>
      <c r="DS26" s="580"/>
      <c r="DT26" s="581"/>
      <c r="DU26" s="581"/>
      <c r="DV26" s="580"/>
      <c r="DW26" s="583"/>
      <c r="DX26" s="580"/>
      <c r="DY26" s="580"/>
      <c r="DZ26" s="580"/>
      <c r="EA26" s="581"/>
      <c r="EB26" s="581"/>
      <c r="EC26" s="580"/>
      <c r="ED26" s="583"/>
      <c r="EE26" s="580"/>
      <c r="EF26" s="580"/>
      <c r="EG26" s="580"/>
      <c r="EH26" s="581"/>
      <c r="EI26" s="581"/>
      <c r="EJ26" s="580"/>
      <c r="EK26" s="583"/>
      <c r="EL26" s="580"/>
      <c r="EM26" s="580"/>
      <c r="EN26" s="580"/>
      <c r="EO26" s="581"/>
      <c r="EP26" s="581"/>
      <c r="EQ26" s="580"/>
      <c r="ER26" s="583"/>
      <c r="ES26" s="580"/>
      <c r="ET26" s="580"/>
      <c r="EU26" s="580"/>
      <c r="EV26" s="581"/>
      <c r="EW26" s="581"/>
      <c r="EX26" s="580"/>
      <c r="EY26" s="583"/>
      <c r="EZ26" s="580"/>
      <c r="FA26" s="580"/>
      <c r="FB26" s="580"/>
      <c r="FC26" s="581"/>
      <c r="FD26" s="581"/>
      <c r="FE26" s="580"/>
      <c r="FF26" s="583"/>
      <c r="FG26" s="580"/>
      <c r="FH26" s="580"/>
      <c r="FI26" s="580"/>
      <c r="FJ26" s="581"/>
      <c r="FK26" s="581"/>
      <c r="FL26" s="580"/>
      <c r="FM26" s="583"/>
      <c r="FN26" s="580"/>
      <c r="FO26" s="580"/>
      <c r="FP26" s="580"/>
      <c r="FQ26" s="581"/>
      <c r="FR26" s="581"/>
      <c r="FS26" s="580"/>
      <c r="FT26" s="583"/>
      <c r="FU26" s="580"/>
      <c r="FV26" s="580"/>
      <c r="FW26" s="580"/>
      <c r="FX26" s="581"/>
      <c r="FY26" s="581"/>
      <c r="FZ26" s="580"/>
      <c r="GA26" s="583"/>
      <c r="GB26" s="580"/>
      <c r="GC26" s="580"/>
      <c r="GD26" s="580"/>
      <c r="GE26" s="581"/>
      <c r="GF26" s="581"/>
      <c r="GG26" s="580"/>
      <c r="GH26" s="583"/>
      <c r="GI26" s="580"/>
      <c r="GJ26" s="580"/>
      <c r="GK26" s="580"/>
      <c r="GL26" s="581"/>
      <c r="GM26" s="581"/>
      <c r="GN26" s="580"/>
      <c r="GO26" s="583"/>
      <c r="GP26" s="580"/>
      <c r="GQ26" s="580"/>
      <c r="GR26" s="580"/>
      <c r="GS26" s="581"/>
      <c r="GT26" s="581"/>
      <c r="GU26" s="580"/>
      <c r="GV26" s="583"/>
      <c r="GW26" s="580"/>
      <c r="GX26" s="580"/>
      <c r="GY26" s="580"/>
      <c r="GZ26" s="581"/>
      <c r="HA26" s="581"/>
      <c r="HB26" s="580"/>
      <c r="HC26" s="583"/>
      <c r="HD26" s="580"/>
      <c r="HE26" s="580"/>
      <c r="HF26" s="580"/>
      <c r="HG26" s="581"/>
      <c r="HH26" s="581"/>
      <c r="HI26" s="580"/>
      <c r="HJ26" s="583"/>
      <c r="HK26" s="580"/>
      <c r="HL26" s="580"/>
      <c r="HM26" s="580"/>
      <c r="HN26" s="581"/>
      <c r="HO26" s="581"/>
      <c r="HP26" s="580"/>
      <c r="HQ26" s="583"/>
      <c r="HR26" s="580"/>
      <c r="HS26" s="580"/>
      <c r="HT26" s="580"/>
      <c r="HU26" s="581"/>
      <c r="HV26" s="581"/>
      <c r="HW26" s="580"/>
      <c r="HX26" s="583"/>
      <c r="HY26" s="580"/>
      <c r="HZ26" s="580"/>
      <c r="IA26" s="580"/>
      <c r="IB26" s="581"/>
      <c r="IC26" s="581"/>
      <c r="ID26" s="580"/>
      <c r="IE26" s="583"/>
      <c r="IF26" s="580"/>
      <c r="IG26" s="580"/>
      <c r="IH26" s="580"/>
      <c r="II26" s="581"/>
      <c r="IJ26" s="581"/>
      <c r="IK26" s="580"/>
      <c r="IL26" s="583"/>
      <c r="IM26" s="580"/>
      <c r="IN26" s="580"/>
      <c r="IO26" s="580"/>
      <c r="IP26" s="581"/>
      <c r="IQ26" s="581"/>
      <c r="IR26" s="580"/>
      <c r="IS26" s="583"/>
      <c r="IT26" s="580"/>
      <c r="IU26" s="580"/>
      <c r="IV26" s="580"/>
    </row>
    <row r="27" spans="1:256" ht="12.75">
      <c r="A27" s="505" t="s">
        <v>272</v>
      </c>
      <c r="B27" s="475">
        <v>2447</v>
      </c>
      <c r="C27" s="475">
        <v>458</v>
      </c>
      <c r="D27" s="475"/>
      <c r="E27" s="506"/>
      <c r="F27" s="506"/>
      <c r="G27" s="475"/>
      <c r="H27" s="584"/>
      <c r="I27" s="585"/>
      <c r="J27" s="585"/>
      <c r="K27" s="585"/>
      <c r="L27" s="586"/>
      <c r="M27" s="586"/>
      <c r="N27" s="585"/>
      <c r="O27" s="584"/>
      <c r="P27" s="585"/>
      <c r="Q27" s="585"/>
      <c r="R27" s="585"/>
      <c r="S27" s="586"/>
      <c r="T27" s="586"/>
      <c r="U27" s="585"/>
      <c r="V27" s="584"/>
      <c r="W27" s="585"/>
      <c r="X27" s="585"/>
      <c r="Y27" s="585"/>
      <c r="Z27" s="586"/>
      <c r="AA27" s="586"/>
      <c r="AB27" s="585"/>
      <c r="AC27" s="584"/>
      <c r="AD27" s="585"/>
      <c r="AE27" s="585"/>
      <c r="AF27" s="585"/>
      <c r="AG27" s="586"/>
      <c r="AH27" s="586"/>
      <c r="AI27" s="585"/>
      <c r="AJ27" s="584"/>
      <c r="AK27" s="585"/>
      <c r="AL27" s="585"/>
      <c r="AM27" s="585"/>
      <c r="AN27" s="586"/>
      <c r="AO27" s="586"/>
      <c r="AP27" s="585"/>
      <c r="AQ27" s="584"/>
      <c r="AR27" s="585"/>
      <c r="AS27" s="585"/>
      <c r="AT27" s="585"/>
      <c r="AU27" s="586"/>
      <c r="AV27" s="586"/>
      <c r="AW27" s="585"/>
      <c r="AX27" s="584"/>
      <c r="AY27" s="585"/>
      <c r="AZ27" s="585"/>
      <c r="BA27" s="585"/>
      <c r="BB27" s="586"/>
      <c r="BC27" s="586"/>
      <c r="BD27" s="585"/>
      <c r="BE27" s="584"/>
      <c r="BF27" s="585"/>
      <c r="BG27" s="585"/>
      <c r="BH27" s="585"/>
      <c r="BI27" s="586"/>
      <c r="BJ27" s="586"/>
      <c r="BK27" s="585"/>
      <c r="BL27" s="584"/>
      <c r="BM27" s="585"/>
      <c r="BN27" s="585"/>
      <c r="BO27" s="585"/>
      <c r="BP27" s="586"/>
      <c r="BQ27" s="586"/>
      <c r="BR27" s="585"/>
      <c r="BS27" s="584"/>
      <c r="BT27" s="585"/>
      <c r="BU27" s="585"/>
      <c r="BV27" s="585"/>
      <c r="BW27" s="586"/>
      <c r="BX27" s="586"/>
      <c r="BY27" s="585"/>
      <c r="BZ27" s="584"/>
      <c r="CA27" s="585"/>
      <c r="CB27" s="585"/>
      <c r="CC27" s="585"/>
      <c r="CD27" s="586"/>
      <c r="CE27" s="586"/>
      <c r="CF27" s="585"/>
      <c r="CG27" s="584"/>
      <c r="CH27" s="585"/>
      <c r="CI27" s="585"/>
      <c r="CJ27" s="585"/>
      <c r="CK27" s="586"/>
      <c r="CL27" s="586"/>
      <c r="CM27" s="585"/>
      <c r="CN27" s="584"/>
      <c r="CO27" s="585"/>
      <c r="CP27" s="585"/>
      <c r="CQ27" s="585"/>
      <c r="CR27" s="586"/>
      <c r="CS27" s="586"/>
      <c r="CT27" s="585"/>
      <c r="CU27" s="584"/>
      <c r="CV27" s="585"/>
      <c r="CW27" s="585"/>
      <c r="CX27" s="585"/>
      <c r="CY27" s="586"/>
      <c r="CZ27" s="586"/>
      <c r="DA27" s="585"/>
      <c r="DB27" s="584"/>
      <c r="DC27" s="585"/>
      <c r="DD27" s="585"/>
      <c r="DE27" s="585"/>
      <c r="DF27" s="586"/>
      <c r="DG27" s="586"/>
      <c r="DH27" s="585"/>
      <c r="DI27" s="584"/>
      <c r="DJ27" s="585"/>
      <c r="DK27" s="585"/>
      <c r="DL27" s="585"/>
      <c r="DM27" s="586"/>
      <c r="DN27" s="586"/>
      <c r="DO27" s="585"/>
      <c r="DP27" s="584"/>
      <c r="DQ27" s="585"/>
      <c r="DR27" s="585"/>
      <c r="DS27" s="585"/>
      <c r="DT27" s="586"/>
      <c r="DU27" s="586"/>
      <c r="DV27" s="585"/>
      <c r="DW27" s="584"/>
      <c r="DX27" s="585"/>
      <c r="DY27" s="585"/>
      <c r="DZ27" s="585"/>
      <c r="EA27" s="586"/>
      <c r="EB27" s="586"/>
      <c r="EC27" s="585"/>
      <c r="ED27" s="584"/>
      <c r="EE27" s="585"/>
      <c r="EF27" s="585"/>
      <c r="EG27" s="585"/>
      <c r="EH27" s="586"/>
      <c r="EI27" s="586"/>
      <c r="EJ27" s="585"/>
      <c r="EK27" s="584"/>
      <c r="EL27" s="585"/>
      <c r="EM27" s="585"/>
      <c r="EN27" s="585"/>
      <c r="EO27" s="586"/>
      <c r="EP27" s="586"/>
      <c r="EQ27" s="585"/>
      <c r="ER27" s="584"/>
      <c r="ES27" s="585"/>
      <c r="ET27" s="585"/>
      <c r="EU27" s="585"/>
      <c r="EV27" s="586"/>
      <c r="EW27" s="586"/>
      <c r="EX27" s="585"/>
      <c r="EY27" s="584"/>
      <c r="EZ27" s="585"/>
      <c r="FA27" s="585"/>
      <c r="FB27" s="585"/>
      <c r="FC27" s="586"/>
      <c r="FD27" s="586"/>
      <c r="FE27" s="585"/>
      <c r="FF27" s="584"/>
      <c r="FG27" s="585"/>
      <c r="FH27" s="585"/>
      <c r="FI27" s="585"/>
      <c r="FJ27" s="586"/>
      <c r="FK27" s="586"/>
      <c r="FL27" s="585"/>
      <c r="FM27" s="584"/>
      <c r="FN27" s="585"/>
      <c r="FO27" s="585"/>
      <c r="FP27" s="585"/>
      <c r="FQ27" s="586"/>
      <c r="FR27" s="586"/>
      <c r="FS27" s="585"/>
      <c r="FT27" s="584"/>
      <c r="FU27" s="585"/>
      <c r="FV27" s="585"/>
      <c r="FW27" s="585"/>
      <c r="FX27" s="586"/>
      <c r="FY27" s="586"/>
      <c r="FZ27" s="585"/>
      <c r="GA27" s="584"/>
      <c r="GB27" s="585"/>
      <c r="GC27" s="585"/>
      <c r="GD27" s="585"/>
      <c r="GE27" s="586"/>
      <c r="GF27" s="586"/>
      <c r="GG27" s="585"/>
      <c r="GH27" s="584"/>
      <c r="GI27" s="585"/>
      <c r="GJ27" s="585"/>
      <c r="GK27" s="585"/>
      <c r="GL27" s="586"/>
      <c r="GM27" s="586"/>
      <c r="GN27" s="585"/>
      <c r="GO27" s="584"/>
      <c r="GP27" s="585"/>
      <c r="GQ27" s="585"/>
      <c r="GR27" s="585"/>
      <c r="GS27" s="586"/>
      <c r="GT27" s="586"/>
      <c r="GU27" s="585"/>
      <c r="GV27" s="584"/>
      <c r="GW27" s="585"/>
      <c r="GX27" s="585"/>
      <c r="GY27" s="585"/>
      <c r="GZ27" s="586"/>
      <c r="HA27" s="586"/>
      <c r="HB27" s="585"/>
      <c r="HC27" s="584"/>
      <c r="HD27" s="585"/>
      <c r="HE27" s="585"/>
      <c r="HF27" s="585"/>
      <c r="HG27" s="586"/>
      <c r="HH27" s="586"/>
      <c r="HI27" s="585"/>
      <c r="HJ27" s="584"/>
      <c r="HK27" s="585"/>
      <c r="HL27" s="585"/>
      <c r="HM27" s="585"/>
      <c r="HN27" s="586"/>
      <c r="HO27" s="586"/>
      <c r="HP27" s="585"/>
      <c r="HQ27" s="584"/>
      <c r="HR27" s="585"/>
      <c r="HS27" s="585"/>
      <c r="HT27" s="585"/>
      <c r="HU27" s="586"/>
      <c r="HV27" s="586"/>
      <c r="HW27" s="585"/>
      <c r="HX27" s="584"/>
      <c r="HY27" s="585"/>
      <c r="HZ27" s="585"/>
      <c r="IA27" s="585"/>
      <c r="IB27" s="586"/>
      <c r="IC27" s="586"/>
      <c r="ID27" s="585"/>
      <c r="IE27" s="584"/>
      <c r="IF27" s="585"/>
      <c r="IG27" s="585"/>
      <c r="IH27" s="585"/>
      <c r="II27" s="586"/>
      <c r="IJ27" s="586"/>
      <c r="IK27" s="585"/>
      <c r="IL27" s="584"/>
      <c r="IM27" s="585"/>
      <c r="IN27" s="585"/>
      <c r="IO27" s="585"/>
      <c r="IP27" s="586"/>
      <c r="IQ27" s="586"/>
      <c r="IR27" s="585"/>
      <c r="IS27" s="584"/>
      <c r="IT27" s="585"/>
      <c r="IU27" s="585"/>
      <c r="IV27" s="585"/>
    </row>
    <row r="28" spans="1:256" ht="12.75">
      <c r="A28" s="473" t="s">
        <v>269</v>
      </c>
      <c r="B28" s="507">
        <v>2300</v>
      </c>
      <c r="C28" s="507">
        <v>458</v>
      </c>
      <c r="D28" s="507"/>
      <c r="E28" s="40"/>
      <c r="F28" s="40"/>
      <c r="G28" s="507"/>
      <c r="H28" s="587"/>
      <c r="I28" s="510"/>
      <c r="J28" s="510"/>
      <c r="K28" s="510"/>
      <c r="L28" s="588"/>
      <c r="M28" s="588"/>
      <c r="N28" s="510"/>
      <c r="O28" s="587"/>
      <c r="P28" s="510"/>
      <c r="Q28" s="510"/>
      <c r="R28" s="510"/>
      <c r="S28" s="588"/>
      <c r="T28" s="588"/>
      <c r="U28" s="510"/>
      <c r="V28" s="587"/>
      <c r="W28" s="510"/>
      <c r="X28" s="510"/>
      <c r="Y28" s="510"/>
      <c r="Z28" s="588"/>
      <c r="AA28" s="588"/>
      <c r="AB28" s="510"/>
      <c r="AC28" s="587"/>
      <c r="AD28" s="510"/>
      <c r="AE28" s="510"/>
      <c r="AF28" s="510"/>
      <c r="AG28" s="588"/>
      <c r="AH28" s="588"/>
      <c r="AI28" s="510"/>
      <c r="AJ28" s="587"/>
      <c r="AK28" s="510"/>
      <c r="AL28" s="510"/>
      <c r="AM28" s="510"/>
      <c r="AN28" s="588"/>
      <c r="AO28" s="588"/>
      <c r="AP28" s="510"/>
      <c r="AQ28" s="587"/>
      <c r="AR28" s="510"/>
      <c r="AS28" s="510"/>
      <c r="AT28" s="510"/>
      <c r="AU28" s="588"/>
      <c r="AV28" s="588"/>
      <c r="AW28" s="510"/>
      <c r="AX28" s="587"/>
      <c r="AY28" s="510"/>
      <c r="AZ28" s="510"/>
      <c r="BA28" s="510"/>
      <c r="BB28" s="588"/>
      <c r="BC28" s="588"/>
      <c r="BD28" s="510"/>
      <c r="BE28" s="587"/>
      <c r="BF28" s="510"/>
      <c r="BG28" s="510"/>
      <c r="BH28" s="510"/>
      <c r="BI28" s="588"/>
      <c r="BJ28" s="588"/>
      <c r="BK28" s="510"/>
      <c r="BL28" s="587"/>
      <c r="BM28" s="510"/>
      <c r="BN28" s="510"/>
      <c r="BO28" s="510"/>
      <c r="BP28" s="588"/>
      <c r="BQ28" s="588"/>
      <c r="BR28" s="510"/>
      <c r="BS28" s="587"/>
      <c r="BT28" s="510"/>
      <c r="BU28" s="510"/>
      <c r="BV28" s="510"/>
      <c r="BW28" s="588"/>
      <c r="BX28" s="588"/>
      <c r="BY28" s="510"/>
      <c r="BZ28" s="587"/>
      <c r="CA28" s="510"/>
      <c r="CB28" s="510"/>
      <c r="CC28" s="510"/>
      <c r="CD28" s="588"/>
      <c r="CE28" s="588"/>
      <c r="CF28" s="510"/>
      <c r="CG28" s="587"/>
      <c r="CH28" s="510"/>
      <c r="CI28" s="510"/>
      <c r="CJ28" s="510"/>
      <c r="CK28" s="588"/>
      <c r="CL28" s="588"/>
      <c r="CM28" s="510"/>
      <c r="CN28" s="587"/>
      <c r="CO28" s="510"/>
      <c r="CP28" s="510"/>
      <c r="CQ28" s="510"/>
      <c r="CR28" s="588"/>
      <c r="CS28" s="588"/>
      <c r="CT28" s="510"/>
      <c r="CU28" s="587"/>
      <c r="CV28" s="510"/>
      <c r="CW28" s="510"/>
      <c r="CX28" s="510"/>
      <c r="CY28" s="588"/>
      <c r="CZ28" s="588"/>
      <c r="DA28" s="510"/>
      <c r="DB28" s="587"/>
      <c r="DC28" s="510"/>
      <c r="DD28" s="510"/>
      <c r="DE28" s="510"/>
      <c r="DF28" s="588"/>
      <c r="DG28" s="588"/>
      <c r="DH28" s="510"/>
      <c r="DI28" s="587"/>
      <c r="DJ28" s="510"/>
      <c r="DK28" s="510"/>
      <c r="DL28" s="510"/>
      <c r="DM28" s="588"/>
      <c r="DN28" s="588"/>
      <c r="DO28" s="510"/>
      <c r="DP28" s="587"/>
      <c r="DQ28" s="510"/>
      <c r="DR28" s="510"/>
      <c r="DS28" s="510"/>
      <c r="DT28" s="588"/>
      <c r="DU28" s="588"/>
      <c r="DV28" s="510"/>
      <c r="DW28" s="587"/>
      <c r="DX28" s="510"/>
      <c r="DY28" s="510"/>
      <c r="DZ28" s="510"/>
      <c r="EA28" s="588"/>
      <c r="EB28" s="588"/>
      <c r="EC28" s="510"/>
      <c r="ED28" s="587"/>
      <c r="EE28" s="510"/>
      <c r="EF28" s="510"/>
      <c r="EG28" s="510"/>
      <c r="EH28" s="588"/>
      <c r="EI28" s="588"/>
      <c r="EJ28" s="510"/>
      <c r="EK28" s="587"/>
      <c r="EL28" s="510"/>
      <c r="EM28" s="510"/>
      <c r="EN28" s="510"/>
      <c r="EO28" s="588"/>
      <c r="EP28" s="588"/>
      <c r="EQ28" s="510"/>
      <c r="ER28" s="587"/>
      <c r="ES28" s="510"/>
      <c r="ET28" s="510"/>
      <c r="EU28" s="510"/>
      <c r="EV28" s="588"/>
      <c r="EW28" s="588"/>
      <c r="EX28" s="510"/>
      <c r="EY28" s="587"/>
      <c r="EZ28" s="510"/>
      <c r="FA28" s="510"/>
      <c r="FB28" s="510"/>
      <c r="FC28" s="588"/>
      <c r="FD28" s="588"/>
      <c r="FE28" s="510"/>
      <c r="FF28" s="587"/>
      <c r="FG28" s="510"/>
      <c r="FH28" s="510"/>
      <c r="FI28" s="510"/>
      <c r="FJ28" s="588"/>
      <c r="FK28" s="588"/>
      <c r="FL28" s="510"/>
      <c r="FM28" s="587"/>
      <c r="FN28" s="510"/>
      <c r="FO28" s="510"/>
      <c r="FP28" s="510"/>
      <c r="FQ28" s="588"/>
      <c r="FR28" s="588"/>
      <c r="FS28" s="510"/>
      <c r="FT28" s="587"/>
      <c r="FU28" s="510"/>
      <c r="FV28" s="510"/>
      <c r="FW28" s="510"/>
      <c r="FX28" s="588"/>
      <c r="FY28" s="588"/>
      <c r="FZ28" s="510"/>
      <c r="GA28" s="587"/>
      <c r="GB28" s="510"/>
      <c r="GC28" s="510"/>
      <c r="GD28" s="510"/>
      <c r="GE28" s="588"/>
      <c r="GF28" s="588"/>
      <c r="GG28" s="510"/>
      <c r="GH28" s="587"/>
      <c r="GI28" s="510"/>
      <c r="GJ28" s="510"/>
      <c r="GK28" s="510"/>
      <c r="GL28" s="588"/>
      <c r="GM28" s="588"/>
      <c r="GN28" s="510"/>
      <c r="GO28" s="587"/>
      <c r="GP28" s="510"/>
      <c r="GQ28" s="510"/>
      <c r="GR28" s="510"/>
      <c r="GS28" s="588"/>
      <c r="GT28" s="588"/>
      <c r="GU28" s="510"/>
      <c r="GV28" s="587"/>
      <c r="GW28" s="510"/>
      <c r="GX28" s="510"/>
      <c r="GY28" s="510"/>
      <c r="GZ28" s="588"/>
      <c r="HA28" s="588"/>
      <c r="HB28" s="510"/>
      <c r="HC28" s="587"/>
      <c r="HD28" s="510"/>
      <c r="HE28" s="510"/>
      <c r="HF28" s="510"/>
      <c r="HG28" s="588"/>
      <c r="HH28" s="588"/>
      <c r="HI28" s="510"/>
      <c r="HJ28" s="587"/>
      <c r="HK28" s="510"/>
      <c r="HL28" s="510"/>
      <c r="HM28" s="510"/>
      <c r="HN28" s="588"/>
      <c r="HO28" s="588"/>
      <c r="HP28" s="510"/>
      <c r="HQ28" s="587"/>
      <c r="HR28" s="510"/>
      <c r="HS28" s="510"/>
      <c r="HT28" s="510"/>
      <c r="HU28" s="588"/>
      <c r="HV28" s="588"/>
      <c r="HW28" s="510"/>
      <c r="HX28" s="587"/>
      <c r="HY28" s="510"/>
      <c r="HZ28" s="510"/>
      <c r="IA28" s="510"/>
      <c r="IB28" s="588"/>
      <c r="IC28" s="588"/>
      <c r="ID28" s="510"/>
      <c r="IE28" s="587"/>
      <c r="IF28" s="510"/>
      <c r="IG28" s="510"/>
      <c r="IH28" s="510"/>
      <c r="II28" s="588"/>
      <c r="IJ28" s="588"/>
      <c r="IK28" s="510"/>
      <c r="IL28" s="587"/>
      <c r="IM28" s="510"/>
      <c r="IN28" s="510"/>
      <c r="IO28" s="510"/>
      <c r="IP28" s="588"/>
      <c r="IQ28" s="588"/>
      <c r="IR28" s="510"/>
      <c r="IS28" s="587"/>
      <c r="IT28" s="510"/>
      <c r="IU28" s="510"/>
      <c r="IV28" s="510"/>
    </row>
    <row r="29" spans="1:256" ht="12.75">
      <c r="A29" s="473" t="s">
        <v>270</v>
      </c>
      <c r="B29" s="507">
        <v>147</v>
      </c>
      <c r="C29" s="507"/>
      <c r="D29" s="507"/>
      <c r="E29" s="40"/>
      <c r="F29" s="40"/>
      <c r="G29" s="507"/>
      <c r="H29" s="587"/>
      <c r="I29" s="510"/>
      <c r="J29" s="510"/>
      <c r="K29" s="510"/>
      <c r="L29" s="588"/>
      <c r="M29" s="588"/>
      <c r="N29" s="510"/>
      <c r="O29" s="587"/>
      <c r="P29" s="510"/>
      <c r="Q29" s="510"/>
      <c r="R29" s="510"/>
      <c r="S29" s="588"/>
      <c r="T29" s="588"/>
      <c r="U29" s="510"/>
      <c r="V29" s="587"/>
      <c r="W29" s="510"/>
      <c r="X29" s="510"/>
      <c r="Y29" s="510"/>
      <c r="Z29" s="588"/>
      <c r="AA29" s="588"/>
      <c r="AB29" s="510"/>
      <c r="AC29" s="587"/>
      <c r="AD29" s="510"/>
      <c r="AE29" s="510"/>
      <c r="AF29" s="510"/>
      <c r="AG29" s="588"/>
      <c r="AH29" s="588"/>
      <c r="AI29" s="510"/>
      <c r="AJ29" s="587"/>
      <c r="AK29" s="510"/>
      <c r="AL29" s="510"/>
      <c r="AM29" s="510"/>
      <c r="AN29" s="588"/>
      <c r="AO29" s="588"/>
      <c r="AP29" s="510"/>
      <c r="AQ29" s="587"/>
      <c r="AR29" s="510"/>
      <c r="AS29" s="510"/>
      <c r="AT29" s="510"/>
      <c r="AU29" s="588"/>
      <c r="AV29" s="588"/>
      <c r="AW29" s="510"/>
      <c r="AX29" s="587"/>
      <c r="AY29" s="510"/>
      <c r="AZ29" s="510"/>
      <c r="BA29" s="510"/>
      <c r="BB29" s="588"/>
      <c r="BC29" s="588"/>
      <c r="BD29" s="510"/>
      <c r="BE29" s="587"/>
      <c r="BF29" s="510"/>
      <c r="BG29" s="510"/>
      <c r="BH29" s="510"/>
      <c r="BI29" s="588"/>
      <c r="BJ29" s="588"/>
      <c r="BK29" s="510"/>
      <c r="BL29" s="587"/>
      <c r="BM29" s="510"/>
      <c r="BN29" s="510"/>
      <c r="BO29" s="510"/>
      <c r="BP29" s="588"/>
      <c r="BQ29" s="588"/>
      <c r="BR29" s="510"/>
      <c r="BS29" s="587"/>
      <c r="BT29" s="510"/>
      <c r="BU29" s="510"/>
      <c r="BV29" s="510"/>
      <c r="BW29" s="588"/>
      <c r="BX29" s="588"/>
      <c r="BY29" s="510"/>
      <c r="BZ29" s="587"/>
      <c r="CA29" s="510"/>
      <c r="CB29" s="510"/>
      <c r="CC29" s="510"/>
      <c r="CD29" s="588"/>
      <c r="CE29" s="588"/>
      <c r="CF29" s="510"/>
      <c r="CG29" s="587"/>
      <c r="CH29" s="510"/>
      <c r="CI29" s="510"/>
      <c r="CJ29" s="510"/>
      <c r="CK29" s="588"/>
      <c r="CL29" s="588"/>
      <c r="CM29" s="510"/>
      <c r="CN29" s="587"/>
      <c r="CO29" s="510"/>
      <c r="CP29" s="510"/>
      <c r="CQ29" s="510"/>
      <c r="CR29" s="588"/>
      <c r="CS29" s="588"/>
      <c r="CT29" s="510"/>
      <c r="CU29" s="587"/>
      <c r="CV29" s="510"/>
      <c r="CW29" s="510"/>
      <c r="CX29" s="510"/>
      <c r="CY29" s="588"/>
      <c r="CZ29" s="588"/>
      <c r="DA29" s="510"/>
      <c r="DB29" s="587"/>
      <c r="DC29" s="510"/>
      <c r="DD29" s="510"/>
      <c r="DE29" s="510"/>
      <c r="DF29" s="588"/>
      <c r="DG29" s="588"/>
      <c r="DH29" s="510"/>
      <c r="DI29" s="587"/>
      <c r="DJ29" s="510"/>
      <c r="DK29" s="510"/>
      <c r="DL29" s="510"/>
      <c r="DM29" s="588"/>
      <c r="DN29" s="588"/>
      <c r="DO29" s="510"/>
      <c r="DP29" s="587"/>
      <c r="DQ29" s="510"/>
      <c r="DR29" s="510"/>
      <c r="DS29" s="510"/>
      <c r="DT29" s="588"/>
      <c r="DU29" s="588"/>
      <c r="DV29" s="510"/>
      <c r="DW29" s="587"/>
      <c r="DX29" s="510"/>
      <c r="DY29" s="510"/>
      <c r="DZ29" s="510"/>
      <c r="EA29" s="588"/>
      <c r="EB29" s="588"/>
      <c r="EC29" s="510"/>
      <c r="ED29" s="587"/>
      <c r="EE29" s="510"/>
      <c r="EF29" s="510"/>
      <c r="EG29" s="510"/>
      <c r="EH29" s="588"/>
      <c r="EI29" s="588"/>
      <c r="EJ29" s="510"/>
      <c r="EK29" s="587"/>
      <c r="EL29" s="510"/>
      <c r="EM29" s="510"/>
      <c r="EN29" s="510"/>
      <c r="EO29" s="588"/>
      <c r="EP29" s="588"/>
      <c r="EQ29" s="510"/>
      <c r="ER29" s="587"/>
      <c r="ES29" s="510"/>
      <c r="ET29" s="510"/>
      <c r="EU29" s="510"/>
      <c r="EV29" s="588"/>
      <c r="EW29" s="588"/>
      <c r="EX29" s="510"/>
      <c r="EY29" s="587"/>
      <c r="EZ29" s="510"/>
      <c r="FA29" s="510"/>
      <c r="FB29" s="510"/>
      <c r="FC29" s="588"/>
      <c r="FD29" s="588"/>
      <c r="FE29" s="510"/>
      <c r="FF29" s="587"/>
      <c r="FG29" s="510"/>
      <c r="FH29" s="510"/>
      <c r="FI29" s="510"/>
      <c r="FJ29" s="588"/>
      <c r="FK29" s="588"/>
      <c r="FL29" s="510"/>
      <c r="FM29" s="587"/>
      <c r="FN29" s="510"/>
      <c r="FO29" s="510"/>
      <c r="FP29" s="510"/>
      <c r="FQ29" s="588"/>
      <c r="FR29" s="588"/>
      <c r="FS29" s="510"/>
      <c r="FT29" s="587"/>
      <c r="FU29" s="510"/>
      <c r="FV29" s="510"/>
      <c r="FW29" s="510"/>
      <c r="FX29" s="588"/>
      <c r="FY29" s="588"/>
      <c r="FZ29" s="510"/>
      <c r="GA29" s="587"/>
      <c r="GB29" s="510"/>
      <c r="GC29" s="510"/>
      <c r="GD29" s="510"/>
      <c r="GE29" s="588"/>
      <c r="GF29" s="588"/>
      <c r="GG29" s="510"/>
      <c r="GH29" s="587"/>
      <c r="GI29" s="510"/>
      <c r="GJ29" s="510"/>
      <c r="GK29" s="510"/>
      <c r="GL29" s="588"/>
      <c r="GM29" s="588"/>
      <c r="GN29" s="510"/>
      <c r="GO29" s="587"/>
      <c r="GP29" s="510"/>
      <c r="GQ29" s="510"/>
      <c r="GR29" s="510"/>
      <c r="GS29" s="588"/>
      <c r="GT29" s="588"/>
      <c r="GU29" s="510"/>
      <c r="GV29" s="587"/>
      <c r="GW29" s="510"/>
      <c r="GX29" s="510"/>
      <c r="GY29" s="510"/>
      <c r="GZ29" s="588"/>
      <c r="HA29" s="588"/>
      <c r="HB29" s="510"/>
      <c r="HC29" s="587"/>
      <c r="HD29" s="510"/>
      <c r="HE29" s="510"/>
      <c r="HF29" s="510"/>
      <c r="HG29" s="588"/>
      <c r="HH29" s="588"/>
      <c r="HI29" s="510"/>
      <c r="HJ29" s="587"/>
      <c r="HK29" s="510"/>
      <c r="HL29" s="510"/>
      <c r="HM29" s="510"/>
      <c r="HN29" s="588"/>
      <c r="HO29" s="588"/>
      <c r="HP29" s="510"/>
      <c r="HQ29" s="587"/>
      <c r="HR29" s="510"/>
      <c r="HS29" s="510"/>
      <c r="HT29" s="510"/>
      <c r="HU29" s="588"/>
      <c r="HV29" s="588"/>
      <c r="HW29" s="510"/>
      <c r="HX29" s="587"/>
      <c r="HY29" s="510"/>
      <c r="HZ29" s="510"/>
      <c r="IA29" s="510"/>
      <c r="IB29" s="588"/>
      <c r="IC29" s="588"/>
      <c r="ID29" s="510"/>
      <c r="IE29" s="587"/>
      <c r="IF29" s="510"/>
      <c r="IG29" s="510"/>
      <c r="IH29" s="510"/>
      <c r="II29" s="588"/>
      <c r="IJ29" s="588"/>
      <c r="IK29" s="510"/>
      <c r="IL29" s="587"/>
      <c r="IM29" s="510"/>
      <c r="IN29" s="510"/>
      <c r="IO29" s="510"/>
      <c r="IP29" s="588"/>
      <c r="IQ29" s="588"/>
      <c r="IR29" s="510"/>
      <c r="IS29" s="587"/>
      <c r="IT29" s="510"/>
      <c r="IU29" s="510"/>
      <c r="IV29" s="510"/>
    </row>
    <row r="30" spans="1:256" ht="12.75">
      <c r="A30" s="505" t="s">
        <v>273</v>
      </c>
      <c r="B30" s="475">
        <v>17</v>
      </c>
      <c r="C30" s="475"/>
      <c r="D30" s="475"/>
      <c r="E30" s="506"/>
      <c r="F30" s="506"/>
      <c r="G30" s="475"/>
      <c r="H30" s="584"/>
      <c r="I30" s="585"/>
      <c r="J30" s="585"/>
      <c r="K30" s="585"/>
      <c r="L30" s="586"/>
      <c r="M30" s="586"/>
      <c r="N30" s="585"/>
      <c r="O30" s="584"/>
      <c r="P30" s="585"/>
      <c r="Q30" s="585"/>
      <c r="R30" s="585"/>
      <c r="S30" s="586"/>
      <c r="T30" s="586"/>
      <c r="U30" s="585"/>
      <c r="V30" s="584"/>
      <c r="W30" s="585"/>
      <c r="X30" s="585"/>
      <c r="Y30" s="585"/>
      <c r="Z30" s="586"/>
      <c r="AA30" s="586"/>
      <c r="AB30" s="585"/>
      <c r="AC30" s="584"/>
      <c r="AD30" s="585"/>
      <c r="AE30" s="585"/>
      <c r="AF30" s="585"/>
      <c r="AG30" s="586"/>
      <c r="AH30" s="586"/>
      <c r="AI30" s="585"/>
      <c r="AJ30" s="584"/>
      <c r="AK30" s="585"/>
      <c r="AL30" s="585"/>
      <c r="AM30" s="585"/>
      <c r="AN30" s="586"/>
      <c r="AO30" s="586"/>
      <c r="AP30" s="585"/>
      <c r="AQ30" s="584"/>
      <c r="AR30" s="585"/>
      <c r="AS30" s="585"/>
      <c r="AT30" s="585"/>
      <c r="AU30" s="586"/>
      <c r="AV30" s="586"/>
      <c r="AW30" s="585"/>
      <c r="AX30" s="584"/>
      <c r="AY30" s="585"/>
      <c r="AZ30" s="585"/>
      <c r="BA30" s="585"/>
      <c r="BB30" s="586"/>
      <c r="BC30" s="586"/>
      <c r="BD30" s="585"/>
      <c r="BE30" s="584"/>
      <c r="BF30" s="585"/>
      <c r="BG30" s="585"/>
      <c r="BH30" s="585"/>
      <c r="BI30" s="586"/>
      <c r="BJ30" s="586"/>
      <c r="BK30" s="585"/>
      <c r="BL30" s="584"/>
      <c r="BM30" s="585"/>
      <c r="BN30" s="585"/>
      <c r="BO30" s="585"/>
      <c r="BP30" s="586"/>
      <c r="BQ30" s="586"/>
      <c r="BR30" s="585"/>
      <c r="BS30" s="584"/>
      <c r="BT30" s="585"/>
      <c r="BU30" s="585"/>
      <c r="BV30" s="585"/>
      <c r="BW30" s="586"/>
      <c r="BX30" s="586"/>
      <c r="BY30" s="585"/>
      <c r="BZ30" s="584"/>
      <c r="CA30" s="585"/>
      <c r="CB30" s="585"/>
      <c r="CC30" s="585"/>
      <c r="CD30" s="586"/>
      <c r="CE30" s="586"/>
      <c r="CF30" s="585"/>
      <c r="CG30" s="584"/>
      <c r="CH30" s="585"/>
      <c r="CI30" s="585"/>
      <c r="CJ30" s="585"/>
      <c r="CK30" s="586"/>
      <c r="CL30" s="586"/>
      <c r="CM30" s="585"/>
      <c r="CN30" s="584"/>
      <c r="CO30" s="585"/>
      <c r="CP30" s="585"/>
      <c r="CQ30" s="585"/>
      <c r="CR30" s="586"/>
      <c r="CS30" s="586"/>
      <c r="CT30" s="585"/>
      <c r="CU30" s="584"/>
      <c r="CV30" s="585"/>
      <c r="CW30" s="585"/>
      <c r="CX30" s="585"/>
      <c r="CY30" s="586"/>
      <c r="CZ30" s="586"/>
      <c r="DA30" s="585"/>
      <c r="DB30" s="584"/>
      <c r="DC30" s="585"/>
      <c r="DD30" s="585"/>
      <c r="DE30" s="585"/>
      <c r="DF30" s="586"/>
      <c r="DG30" s="586"/>
      <c r="DH30" s="585"/>
      <c r="DI30" s="584"/>
      <c r="DJ30" s="585"/>
      <c r="DK30" s="585"/>
      <c r="DL30" s="585"/>
      <c r="DM30" s="586"/>
      <c r="DN30" s="586"/>
      <c r="DO30" s="585"/>
      <c r="DP30" s="584"/>
      <c r="DQ30" s="585"/>
      <c r="DR30" s="585"/>
      <c r="DS30" s="585"/>
      <c r="DT30" s="586"/>
      <c r="DU30" s="586"/>
      <c r="DV30" s="585"/>
      <c r="DW30" s="584"/>
      <c r="DX30" s="585"/>
      <c r="DY30" s="585"/>
      <c r="DZ30" s="585"/>
      <c r="EA30" s="586"/>
      <c r="EB30" s="586"/>
      <c r="EC30" s="585"/>
      <c r="ED30" s="584"/>
      <c r="EE30" s="585"/>
      <c r="EF30" s="585"/>
      <c r="EG30" s="585"/>
      <c r="EH30" s="586"/>
      <c r="EI30" s="586"/>
      <c r="EJ30" s="585"/>
      <c r="EK30" s="584"/>
      <c r="EL30" s="585"/>
      <c r="EM30" s="585"/>
      <c r="EN30" s="585"/>
      <c r="EO30" s="586"/>
      <c r="EP30" s="586"/>
      <c r="EQ30" s="585"/>
      <c r="ER30" s="584"/>
      <c r="ES30" s="585"/>
      <c r="ET30" s="585"/>
      <c r="EU30" s="585"/>
      <c r="EV30" s="586"/>
      <c r="EW30" s="586"/>
      <c r="EX30" s="585"/>
      <c r="EY30" s="584"/>
      <c r="EZ30" s="585"/>
      <c r="FA30" s="585"/>
      <c r="FB30" s="585"/>
      <c r="FC30" s="586"/>
      <c r="FD30" s="586"/>
      <c r="FE30" s="585"/>
      <c r="FF30" s="584"/>
      <c r="FG30" s="585"/>
      <c r="FH30" s="585"/>
      <c r="FI30" s="585"/>
      <c r="FJ30" s="586"/>
      <c r="FK30" s="586"/>
      <c r="FL30" s="585"/>
      <c r="FM30" s="584"/>
      <c r="FN30" s="585"/>
      <c r="FO30" s="585"/>
      <c r="FP30" s="585"/>
      <c r="FQ30" s="586"/>
      <c r="FR30" s="586"/>
      <c r="FS30" s="585"/>
      <c r="FT30" s="584"/>
      <c r="FU30" s="585"/>
      <c r="FV30" s="585"/>
      <c r="FW30" s="585"/>
      <c r="FX30" s="586"/>
      <c r="FY30" s="586"/>
      <c r="FZ30" s="585"/>
      <c r="GA30" s="584"/>
      <c r="GB30" s="585"/>
      <c r="GC30" s="585"/>
      <c r="GD30" s="585"/>
      <c r="GE30" s="586"/>
      <c r="GF30" s="586"/>
      <c r="GG30" s="585"/>
      <c r="GH30" s="584"/>
      <c r="GI30" s="585"/>
      <c r="GJ30" s="585"/>
      <c r="GK30" s="585"/>
      <c r="GL30" s="586"/>
      <c r="GM30" s="586"/>
      <c r="GN30" s="585"/>
      <c r="GO30" s="584"/>
      <c r="GP30" s="585"/>
      <c r="GQ30" s="585"/>
      <c r="GR30" s="585"/>
      <c r="GS30" s="586"/>
      <c r="GT30" s="586"/>
      <c r="GU30" s="585"/>
      <c r="GV30" s="584"/>
      <c r="GW30" s="585"/>
      <c r="GX30" s="585"/>
      <c r="GY30" s="585"/>
      <c r="GZ30" s="586"/>
      <c r="HA30" s="586"/>
      <c r="HB30" s="585"/>
      <c r="HC30" s="584"/>
      <c r="HD30" s="585"/>
      <c r="HE30" s="585"/>
      <c r="HF30" s="585"/>
      <c r="HG30" s="586"/>
      <c r="HH30" s="586"/>
      <c r="HI30" s="585"/>
      <c r="HJ30" s="584"/>
      <c r="HK30" s="585"/>
      <c r="HL30" s="585"/>
      <c r="HM30" s="585"/>
      <c r="HN30" s="586"/>
      <c r="HO30" s="586"/>
      <c r="HP30" s="585"/>
      <c r="HQ30" s="584"/>
      <c r="HR30" s="585"/>
      <c r="HS30" s="585"/>
      <c r="HT30" s="585"/>
      <c r="HU30" s="586"/>
      <c r="HV30" s="586"/>
      <c r="HW30" s="585"/>
      <c r="HX30" s="584"/>
      <c r="HY30" s="585"/>
      <c r="HZ30" s="585"/>
      <c r="IA30" s="585"/>
      <c r="IB30" s="586"/>
      <c r="IC30" s="586"/>
      <c r="ID30" s="585"/>
      <c r="IE30" s="584"/>
      <c r="IF30" s="585"/>
      <c r="IG30" s="585"/>
      <c r="IH30" s="585"/>
      <c r="II30" s="586"/>
      <c r="IJ30" s="586"/>
      <c r="IK30" s="585"/>
      <c r="IL30" s="584"/>
      <c r="IM30" s="585"/>
      <c r="IN30" s="585"/>
      <c r="IO30" s="585"/>
      <c r="IP30" s="586"/>
      <c r="IQ30" s="586"/>
      <c r="IR30" s="585"/>
      <c r="IS30" s="584"/>
      <c r="IT30" s="585"/>
      <c r="IU30" s="585"/>
      <c r="IV30" s="585"/>
    </row>
    <row r="31" spans="1:256" ht="12.75">
      <c r="A31" s="473" t="s">
        <v>269</v>
      </c>
      <c r="B31" s="507">
        <v>17</v>
      </c>
      <c r="C31" s="507"/>
      <c r="D31" s="507"/>
      <c r="E31" s="40"/>
      <c r="F31" s="40"/>
      <c r="G31" s="507"/>
      <c r="H31" s="587"/>
      <c r="I31" s="510"/>
      <c r="J31" s="510"/>
      <c r="K31" s="510"/>
      <c r="L31" s="588"/>
      <c r="M31" s="588"/>
      <c r="N31" s="510"/>
      <c r="O31" s="587"/>
      <c r="P31" s="510"/>
      <c r="Q31" s="510"/>
      <c r="R31" s="510"/>
      <c r="S31" s="588"/>
      <c r="T31" s="588"/>
      <c r="U31" s="510"/>
      <c r="V31" s="587"/>
      <c r="W31" s="510"/>
      <c r="X31" s="510"/>
      <c r="Y31" s="510"/>
      <c r="Z31" s="588"/>
      <c r="AA31" s="588"/>
      <c r="AB31" s="510"/>
      <c r="AC31" s="587"/>
      <c r="AD31" s="510"/>
      <c r="AE31" s="510"/>
      <c r="AF31" s="510"/>
      <c r="AG31" s="588"/>
      <c r="AH31" s="588"/>
      <c r="AI31" s="510"/>
      <c r="AJ31" s="587"/>
      <c r="AK31" s="510"/>
      <c r="AL31" s="510"/>
      <c r="AM31" s="510"/>
      <c r="AN31" s="588"/>
      <c r="AO31" s="588"/>
      <c r="AP31" s="510"/>
      <c r="AQ31" s="587"/>
      <c r="AR31" s="510"/>
      <c r="AS31" s="510"/>
      <c r="AT31" s="510"/>
      <c r="AU31" s="588"/>
      <c r="AV31" s="588"/>
      <c r="AW31" s="510"/>
      <c r="AX31" s="587"/>
      <c r="AY31" s="510"/>
      <c r="AZ31" s="510"/>
      <c r="BA31" s="510"/>
      <c r="BB31" s="588"/>
      <c r="BC31" s="588"/>
      <c r="BD31" s="510"/>
      <c r="BE31" s="587"/>
      <c r="BF31" s="510"/>
      <c r="BG31" s="510"/>
      <c r="BH31" s="510"/>
      <c r="BI31" s="588"/>
      <c r="BJ31" s="588"/>
      <c r="BK31" s="510"/>
      <c r="BL31" s="587"/>
      <c r="BM31" s="510"/>
      <c r="BN31" s="510"/>
      <c r="BO31" s="510"/>
      <c r="BP31" s="588"/>
      <c r="BQ31" s="588"/>
      <c r="BR31" s="510"/>
      <c r="BS31" s="587"/>
      <c r="BT31" s="510"/>
      <c r="BU31" s="510"/>
      <c r="BV31" s="510"/>
      <c r="BW31" s="588"/>
      <c r="BX31" s="588"/>
      <c r="BY31" s="510"/>
      <c r="BZ31" s="587"/>
      <c r="CA31" s="510"/>
      <c r="CB31" s="510"/>
      <c r="CC31" s="510"/>
      <c r="CD31" s="588"/>
      <c r="CE31" s="588"/>
      <c r="CF31" s="510"/>
      <c r="CG31" s="587"/>
      <c r="CH31" s="510"/>
      <c r="CI31" s="510"/>
      <c r="CJ31" s="510"/>
      <c r="CK31" s="588"/>
      <c r="CL31" s="588"/>
      <c r="CM31" s="510"/>
      <c r="CN31" s="587"/>
      <c r="CO31" s="510"/>
      <c r="CP31" s="510"/>
      <c r="CQ31" s="510"/>
      <c r="CR31" s="588"/>
      <c r="CS31" s="588"/>
      <c r="CT31" s="510"/>
      <c r="CU31" s="587"/>
      <c r="CV31" s="510"/>
      <c r="CW31" s="510"/>
      <c r="CX31" s="510"/>
      <c r="CY31" s="588"/>
      <c r="CZ31" s="588"/>
      <c r="DA31" s="510"/>
      <c r="DB31" s="587"/>
      <c r="DC31" s="510"/>
      <c r="DD31" s="510"/>
      <c r="DE31" s="510"/>
      <c r="DF31" s="588"/>
      <c r="DG31" s="588"/>
      <c r="DH31" s="510"/>
      <c r="DI31" s="587"/>
      <c r="DJ31" s="510"/>
      <c r="DK31" s="510"/>
      <c r="DL31" s="510"/>
      <c r="DM31" s="588"/>
      <c r="DN31" s="588"/>
      <c r="DO31" s="510"/>
      <c r="DP31" s="587"/>
      <c r="DQ31" s="510"/>
      <c r="DR31" s="510"/>
      <c r="DS31" s="510"/>
      <c r="DT31" s="588"/>
      <c r="DU31" s="588"/>
      <c r="DV31" s="510"/>
      <c r="DW31" s="587"/>
      <c r="DX31" s="510"/>
      <c r="DY31" s="510"/>
      <c r="DZ31" s="510"/>
      <c r="EA31" s="588"/>
      <c r="EB31" s="588"/>
      <c r="EC31" s="510"/>
      <c r="ED31" s="587"/>
      <c r="EE31" s="510"/>
      <c r="EF31" s="510"/>
      <c r="EG31" s="510"/>
      <c r="EH31" s="588"/>
      <c r="EI31" s="588"/>
      <c r="EJ31" s="510"/>
      <c r="EK31" s="587"/>
      <c r="EL31" s="510"/>
      <c r="EM31" s="510"/>
      <c r="EN31" s="510"/>
      <c r="EO31" s="588"/>
      <c r="EP31" s="588"/>
      <c r="EQ31" s="510"/>
      <c r="ER31" s="587"/>
      <c r="ES31" s="510"/>
      <c r="ET31" s="510"/>
      <c r="EU31" s="510"/>
      <c r="EV31" s="588"/>
      <c r="EW31" s="588"/>
      <c r="EX31" s="510"/>
      <c r="EY31" s="587"/>
      <c r="EZ31" s="510"/>
      <c r="FA31" s="510"/>
      <c r="FB31" s="510"/>
      <c r="FC31" s="588"/>
      <c r="FD31" s="588"/>
      <c r="FE31" s="510"/>
      <c r="FF31" s="587"/>
      <c r="FG31" s="510"/>
      <c r="FH31" s="510"/>
      <c r="FI31" s="510"/>
      <c r="FJ31" s="588"/>
      <c r="FK31" s="588"/>
      <c r="FL31" s="510"/>
      <c r="FM31" s="587"/>
      <c r="FN31" s="510"/>
      <c r="FO31" s="510"/>
      <c r="FP31" s="510"/>
      <c r="FQ31" s="588"/>
      <c r="FR31" s="588"/>
      <c r="FS31" s="510"/>
      <c r="FT31" s="587"/>
      <c r="FU31" s="510"/>
      <c r="FV31" s="510"/>
      <c r="FW31" s="510"/>
      <c r="FX31" s="588"/>
      <c r="FY31" s="588"/>
      <c r="FZ31" s="510"/>
      <c r="GA31" s="587"/>
      <c r="GB31" s="510"/>
      <c r="GC31" s="510"/>
      <c r="GD31" s="510"/>
      <c r="GE31" s="588"/>
      <c r="GF31" s="588"/>
      <c r="GG31" s="510"/>
      <c r="GH31" s="587"/>
      <c r="GI31" s="510"/>
      <c r="GJ31" s="510"/>
      <c r="GK31" s="510"/>
      <c r="GL31" s="588"/>
      <c r="GM31" s="588"/>
      <c r="GN31" s="510"/>
      <c r="GO31" s="587"/>
      <c r="GP31" s="510"/>
      <c r="GQ31" s="510"/>
      <c r="GR31" s="510"/>
      <c r="GS31" s="588"/>
      <c r="GT31" s="588"/>
      <c r="GU31" s="510"/>
      <c r="GV31" s="587"/>
      <c r="GW31" s="510"/>
      <c r="GX31" s="510"/>
      <c r="GY31" s="510"/>
      <c r="GZ31" s="588"/>
      <c r="HA31" s="588"/>
      <c r="HB31" s="510"/>
      <c r="HC31" s="587"/>
      <c r="HD31" s="510"/>
      <c r="HE31" s="510"/>
      <c r="HF31" s="510"/>
      <c r="HG31" s="588"/>
      <c r="HH31" s="588"/>
      <c r="HI31" s="510"/>
      <c r="HJ31" s="587"/>
      <c r="HK31" s="510"/>
      <c r="HL31" s="510"/>
      <c r="HM31" s="510"/>
      <c r="HN31" s="588"/>
      <c r="HO31" s="588"/>
      <c r="HP31" s="510"/>
      <c r="HQ31" s="587"/>
      <c r="HR31" s="510"/>
      <c r="HS31" s="510"/>
      <c r="HT31" s="510"/>
      <c r="HU31" s="588"/>
      <c r="HV31" s="588"/>
      <c r="HW31" s="510"/>
      <c r="HX31" s="587"/>
      <c r="HY31" s="510"/>
      <c r="HZ31" s="510"/>
      <c r="IA31" s="510"/>
      <c r="IB31" s="588"/>
      <c r="IC31" s="588"/>
      <c r="ID31" s="510"/>
      <c r="IE31" s="587"/>
      <c r="IF31" s="510"/>
      <c r="IG31" s="510"/>
      <c r="IH31" s="510"/>
      <c r="II31" s="588"/>
      <c r="IJ31" s="588"/>
      <c r="IK31" s="510"/>
      <c r="IL31" s="587"/>
      <c r="IM31" s="510"/>
      <c r="IN31" s="510"/>
      <c r="IO31" s="510"/>
      <c r="IP31" s="588"/>
      <c r="IQ31" s="588"/>
      <c r="IR31" s="510"/>
      <c r="IS31" s="587"/>
      <c r="IT31" s="510"/>
      <c r="IU31" s="510"/>
      <c r="IV31" s="510"/>
    </row>
    <row r="32" spans="1:256" ht="12.75">
      <c r="A32" s="32" t="s">
        <v>324</v>
      </c>
      <c r="B32" s="248">
        <v>2648</v>
      </c>
      <c r="C32" s="248">
        <v>296</v>
      </c>
      <c r="D32" s="248">
        <v>103</v>
      </c>
      <c r="E32" s="16">
        <v>3.8897280966767376</v>
      </c>
      <c r="F32" s="16">
        <v>34.7972972972973</v>
      </c>
      <c r="G32" s="248">
        <v>103</v>
      </c>
      <c r="H32" s="583"/>
      <c r="I32" s="580"/>
      <c r="J32" s="580"/>
      <c r="K32" s="580"/>
      <c r="L32" s="581"/>
      <c r="M32" s="581"/>
      <c r="N32" s="580"/>
      <c r="O32" s="583"/>
      <c r="P32" s="580"/>
      <c r="Q32" s="580"/>
      <c r="R32" s="580"/>
      <c r="S32" s="581"/>
      <c r="T32" s="581"/>
      <c r="U32" s="580"/>
      <c r="V32" s="583"/>
      <c r="W32" s="580"/>
      <c r="X32" s="580"/>
      <c r="Y32" s="580"/>
      <c r="Z32" s="581"/>
      <c r="AA32" s="581"/>
      <c r="AB32" s="580"/>
      <c r="AC32" s="583"/>
      <c r="AD32" s="580"/>
      <c r="AE32" s="580"/>
      <c r="AF32" s="580"/>
      <c r="AG32" s="581"/>
      <c r="AH32" s="581"/>
      <c r="AI32" s="580"/>
      <c r="AJ32" s="583"/>
      <c r="AK32" s="580"/>
      <c r="AL32" s="580"/>
      <c r="AM32" s="580"/>
      <c r="AN32" s="581"/>
      <c r="AO32" s="581"/>
      <c r="AP32" s="580"/>
      <c r="AQ32" s="583"/>
      <c r="AR32" s="580"/>
      <c r="AS32" s="580"/>
      <c r="AT32" s="580"/>
      <c r="AU32" s="581"/>
      <c r="AV32" s="581"/>
      <c r="AW32" s="580"/>
      <c r="AX32" s="583"/>
      <c r="AY32" s="580"/>
      <c r="AZ32" s="580"/>
      <c r="BA32" s="580"/>
      <c r="BB32" s="581"/>
      <c r="BC32" s="581"/>
      <c r="BD32" s="580"/>
      <c r="BE32" s="583"/>
      <c r="BF32" s="580"/>
      <c r="BG32" s="580"/>
      <c r="BH32" s="580"/>
      <c r="BI32" s="581"/>
      <c r="BJ32" s="581"/>
      <c r="BK32" s="580"/>
      <c r="BL32" s="583"/>
      <c r="BM32" s="580"/>
      <c r="BN32" s="580"/>
      <c r="BO32" s="580"/>
      <c r="BP32" s="581"/>
      <c r="BQ32" s="581"/>
      <c r="BR32" s="580"/>
      <c r="BS32" s="583"/>
      <c r="BT32" s="580"/>
      <c r="BU32" s="580"/>
      <c r="BV32" s="580"/>
      <c r="BW32" s="581"/>
      <c r="BX32" s="581"/>
      <c r="BY32" s="580"/>
      <c r="BZ32" s="583"/>
      <c r="CA32" s="580"/>
      <c r="CB32" s="580"/>
      <c r="CC32" s="580"/>
      <c r="CD32" s="581"/>
      <c r="CE32" s="581"/>
      <c r="CF32" s="580"/>
      <c r="CG32" s="583"/>
      <c r="CH32" s="580"/>
      <c r="CI32" s="580"/>
      <c r="CJ32" s="580"/>
      <c r="CK32" s="581"/>
      <c r="CL32" s="581"/>
      <c r="CM32" s="580"/>
      <c r="CN32" s="583"/>
      <c r="CO32" s="580"/>
      <c r="CP32" s="580"/>
      <c r="CQ32" s="580"/>
      <c r="CR32" s="581"/>
      <c r="CS32" s="581"/>
      <c r="CT32" s="580"/>
      <c r="CU32" s="583"/>
      <c r="CV32" s="580"/>
      <c r="CW32" s="580"/>
      <c r="CX32" s="580"/>
      <c r="CY32" s="581"/>
      <c r="CZ32" s="581"/>
      <c r="DA32" s="580"/>
      <c r="DB32" s="583"/>
      <c r="DC32" s="580"/>
      <c r="DD32" s="580"/>
      <c r="DE32" s="580"/>
      <c r="DF32" s="581"/>
      <c r="DG32" s="581"/>
      <c r="DH32" s="580"/>
      <c r="DI32" s="583"/>
      <c r="DJ32" s="580"/>
      <c r="DK32" s="580"/>
      <c r="DL32" s="580"/>
      <c r="DM32" s="581"/>
      <c r="DN32" s="581"/>
      <c r="DO32" s="580"/>
      <c r="DP32" s="583"/>
      <c r="DQ32" s="580"/>
      <c r="DR32" s="580"/>
      <c r="DS32" s="580"/>
      <c r="DT32" s="581"/>
      <c r="DU32" s="581"/>
      <c r="DV32" s="580"/>
      <c r="DW32" s="583"/>
      <c r="DX32" s="580"/>
      <c r="DY32" s="580"/>
      <c r="DZ32" s="580"/>
      <c r="EA32" s="581"/>
      <c r="EB32" s="581"/>
      <c r="EC32" s="580"/>
      <c r="ED32" s="583"/>
      <c r="EE32" s="580"/>
      <c r="EF32" s="580"/>
      <c r="EG32" s="580"/>
      <c r="EH32" s="581"/>
      <c r="EI32" s="581"/>
      <c r="EJ32" s="580"/>
      <c r="EK32" s="583"/>
      <c r="EL32" s="580"/>
      <c r="EM32" s="580"/>
      <c r="EN32" s="580"/>
      <c r="EO32" s="581"/>
      <c r="EP32" s="581"/>
      <c r="EQ32" s="580"/>
      <c r="ER32" s="583"/>
      <c r="ES32" s="580"/>
      <c r="ET32" s="580"/>
      <c r="EU32" s="580"/>
      <c r="EV32" s="581"/>
      <c r="EW32" s="581"/>
      <c r="EX32" s="580"/>
      <c r="EY32" s="583"/>
      <c r="EZ32" s="580"/>
      <c r="FA32" s="580"/>
      <c r="FB32" s="580"/>
      <c r="FC32" s="581"/>
      <c r="FD32" s="581"/>
      <c r="FE32" s="580"/>
      <c r="FF32" s="583"/>
      <c r="FG32" s="580"/>
      <c r="FH32" s="580"/>
      <c r="FI32" s="580"/>
      <c r="FJ32" s="581"/>
      <c r="FK32" s="581"/>
      <c r="FL32" s="580"/>
      <c r="FM32" s="583"/>
      <c r="FN32" s="580"/>
      <c r="FO32" s="580"/>
      <c r="FP32" s="580"/>
      <c r="FQ32" s="581"/>
      <c r="FR32" s="581"/>
      <c r="FS32" s="580"/>
      <c r="FT32" s="583"/>
      <c r="FU32" s="580"/>
      <c r="FV32" s="580"/>
      <c r="FW32" s="580"/>
      <c r="FX32" s="581"/>
      <c r="FY32" s="581"/>
      <c r="FZ32" s="580"/>
      <c r="GA32" s="583"/>
      <c r="GB32" s="580"/>
      <c r="GC32" s="580"/>
      <c r="GD32" s="580"/>
      <c r="GE32" s="581"/>
      <c r="GF32" s="581"/>
      <c r="GG32" s="580"/>
      <c r="GH32" s="583"/>
      <c r="GI32" s="580"/>
      <c r="GJ32" s="580"/>
      <c r="GK32" s="580"/>
      <c r="GL32" s="581"/>
      <c r="GM32" s="581"/>
      <c r="GN32" s="580"/>
      <c r="GO32" s="583"/>
      <c r="GP32" s="580"/>
      <c r="GQ32" s="580"/>
      <c r="GR32" s="580"/>
      <c r="GS32" s="581"/>
      <c r="GT32" s="581"/>
      <c r="GU32" s="580"/>
      <c r="GV32" s="583"/>
      <c r="GW32" s="580"/>
      <c r="GX32" s="580"/>
      <c r="GY32" s="580"/>
      <c r="GZ32" s="581"/>
      <c r="HA32" s="581"/>
      <c r="HB32" s="580"/>
      <c r="HC32" s="583"/>
      <c r="HD32" s="580"/>
      <c r="HE32" s="580"/>
      <c r="HF32" s="580"/>
      <c r="HG32" s="581"/>
      <c r="HH32" s="581"/>
      <c r="HI32" s="580"/>
      <c r="HJ32" s="583"/>
      <c r="HK32" s="580"/>
      <c r="HL32" s="580"/>
      <c r="HM32" s="580"/>
      <c r="HN32" s="581"/>
      <c r="HO32" s="581"/>
      <c r="HP32" s="580"/>
      <c r="HQ32" s="583"/>
      <c r="HR32" s="580"/>
      <c r="HS32" s="580"/>
      <c r="HT32" s="580"/>
      <c r="HU32" s="581"/>
      <c r="HV32" s="581"/>
      <c r="HW32" s="580"/>
      <c r="HX32" s="583"/>
      <c r="HY32" s="580"/>
      <c r="HZ32" s="580"/>
      <c r="IA32" s="580"/>
      <c r="IB32" s="581"/>
      <c r="IC32" s="581"/>
      <c r="ID32" s="580"/>
      <c r="IE32" s="583"/>
      <c r="IF32" s="580"/>
      <c r="IG32" s="580"/>
      <c r="IH32" s="580"/>
      <c r="II32" s="581"/>
      <c r="IJ32" s="581"/>
      <c r="IK32" s="580"/>
      <c r="IL32" s="583"/>
      <c r="IM32" s="580"/>
      <c r="IN32" s="580"/>
      <c r="IO32" s="580"/>
      <c r="IP32" s="581"/>
      <c r="IQ32" s="581"/>
      <c r="IR32" s="580"/>
      <c r="IS32" s="583"/>
      <c r="IT32" s="580"/>
      <c r="IU32" s="580"/>
      <c r="IV32" s="580"/>
    </row>
    <row r="33" spans="1:256" ht="12.75">
      <c r="A33" s="505" t="s">
        <v>272</v>
      </c>
      <c r="B33" s="475">
        <v>1778</v>
      </c>
      <c r="C33" s="475">
        <v>251</v>
      </c>
      <c r="D33" s="475">
        <v>58</v>
      </c>
      <c r="E33" s="506">
        <v>3.262092238470191</v>
      </c>
      <c r="F33" s="506">
        <v>23.107569721115535</v>
      </c>
      <c r="G33" s="475">
        <v>58</v>
      </c>
      <c r="H33" s="584"/>
      <c r="I33" s="585"/>
      <c r="J33" s="585"/>
      <c r="K33" s="585"/>
      <c r="L33" s="586"/>
      <c r="M33" s="586"/>
      <c r="N33" s="585"/>
      <c r="O33" s="584"/>
      <c r="P33" s="585"/>
      <c r="Q33" s="585"/>
      <c r="R33" s="585"/>
      <c r="S33" s="586"/>
      <c r="T33" s="586"/>
      <c r="U33" s="585"/>
      <c r="V33" s="584"/>
      <c r="W33" s="585"/>
      <c r="X33" s="585"/>
      <c r="Y33" s="585"/>
      <c r="Z33" s="586"/>
      <c r="AA33" s="586"/>
      <c r="AB33" s="585"/>
      <c r="AC33" s="584"/>
      <c r="AD33" s="585"/>
      <c r="AE33" s="585"/>
      <c r="AF33" s="585"/>
      <c r="AG33" s="586"/>
      <c r="AH33" s="586"/>
      <c r="AI33" s="585"/>
      <c r="AJ33" s="584"/>
      <c r="AK33" s="585"/>
      <c r="AL33" s="585"/>
      <c r="AM33" s="585"/>
      <c r="AN33" s="586"/>
      <c r="AO33" s="586"/>
      <c r="AP33" s="585"/>
      <c r="AQ33" s="584"/>
      <c r="AR33" s="585"/>
      <c r="AS33" s="585"/>
      <c r="AT33" s="585"/>
      <c r="AU33" s="586"/>
      <c r="AV33" s="586"/>
      <c r="AW33" s="585"/>
      <c r="AX33" s="584"/>
      <c r="AY33" s="585"/>
      <c r="AZ33" s="585"/>
      <c r="BA33" s="585"/>
      <c r="BB33" s="586"/>
      <c r="BC33" s="586"/>
      <c r="BD33" s="585"/>
      <c r="BE33" s="584"/>
      <c r="BF33" s="585"/>
      <c r="BG33" s="585"/>
      <c r="BH33" s="585"/>
      <c r="BI33" s="586"/>
      <c r="BJ33" s="586"/>
      <c r="BK33" s="585"/>
      <c r="BL33" s="584"/>
      <c r="BM33" s="585"/>
      <c r="BN33" s="585"/>
      <c r="BO33" s="585"/>
      <c r="BP33" s="586"/>
      <c r="BQ33" s="586"/>
      <c r="BR33" s="585"/>
      <c r="BS33" s="584"/>
      <c r="BT33" s="585"/>
      <c r="BU33" s="585"/>
      <c r="BV33" s="585"/>
      <c r="BW33" s="586"/>
      <c r="BX33" s="586"/>
      <c r="BY33" s="585"/>
      <c r="BZ33" s="584"/>
      <c r="CA33" s="585"/>
      <c r="CB33" s="585"/>
      <c r="CC33" s="585"/>
      <c r="CD33" s="586"/>
      <c r="CE33" s="586"/>
      <c r="CF33" s="585"/>
      <c r="CG33" s="584"/>
      <c r="CH33" s="585"/>
      <c r="CI33" s="585"/>
      <c r="CJ33" s="585"/>
      <c r="CK33" s="586"/>
      <c r="CL33" s="586"/>
      <c r="CM33" s="585"/>
      <c r="CN33" s="584"/>
      <c r="CO33" s="585"/>
      <c r="CP33" s="585"/>
      <c r="CQ33" s="585"/>
      <c r="CR33" s="586"/>
      <c r="CS33" s="586"/>
      <c r="CT33" s="585"/>
      <c r="CU33" s="584"/>
      <c r="CV33" s="585"/>
      <c r="CW33" s="585"/>
      <c r="CX33" s="585"/>
      <c r="CY33" s="586"/>
      <c r="CZ33" s="586"/>
      <c r="DA33" s="585"/>
      <c r="DB33" s="584"/>
      <c r="DC33" s="585"/>
      <c r="DD33" s="585"/>
      <c r="DE33" s="585"/>
      <c r="DF33" s="586"/>
      <c r="DG33" s="586"/>
      <c r="DH33" s="585"/>
      <c r="DI33" s="584"/>
      <c r="DJ33" s="585"/>
      <c r="DK33" s="585"/>
      <c r="DL33" s="585"/>
      <c r="DM33" s="586"/>
      <c r="DN33" s="586"/>
      <c r="DO33" s="585"/>
      <c r="DP33" s="584"/>
      <c r="DQ33" s="585"/>
      <c r="DR33" s="585"/>
      <c r="DS33" s="585"/>
      <c r="DT33" s="586"/>
      <c r="DU33" s="586"/>
      <c r="DV33" s="585"/>
      <c r="DW33" s="584"/>
      <c r="DX33" s="585"/>
      <c r="DY33" s="585"/>
      <c r="DZ33" s="585"/>
      <c r="EA33" s="586"/>
      <c r="EB33" s="586"/>
      <c r="EC33" s="585"/>
      <c r="ED33" s="584"/>
      <c r="EE33" s="585"/>
      <c r="EF33" s="585"/>
      <c r="EG33" s="585"/>
      <c r="EH33" s="586"/>
      <c r="EI33" s="586"/>
      <c r="EJ33" s="585"/>
      <c r="EK33" s="584"/>
      <c r="EL33" s="585"/>
      <c r="EM33" s="585"/>
      <c r="EN33" s="585"/>
      <c r="EO33" s="586"/>
      <c r="EP33" s="586"/>
      <c r="EQ33" s="585"/>
      <c r="ER33" s="584"/>
      <c r="ES33" s="585"/>
      <c r="ET33" s="585"/>
      <c r="EU33" s="585"/>
      <c r="EV33" s="586"/>
      <c r="EW33" s="586"/>
      <c r="EX33" s="585"/>
      <c r="EY33" s="584"/>
      <c r="EZ33" s="585"/>
      <c r="FA33" s="585"/>
      <c r="FB33" s="585"/>
      <c r="FC33" s="586"/>
      <c r="FD33" s="586"/>
      <c r="FE33" s="585"/>
      <c r="FF33" s="584"/>
      <c r="FG33" s="585"/>
      <c r="FH33" s="585"/>
      <c r="FI33" s="585"/>
      <c r="FJ33" s="586"/>
      <c r="FK33" s="586"/>
      <c r="FL33" s="585"/>
      <c r="FM33" s="584"/>
      <c r="FN33" s="585"/>
      <c r="FO33" s="585"/>
      <c r="FP33" s="585"/>
      <c r="FQ33" s="586"/>
      <c r="FR33" s="586"/>
      <c r="FS33" s="585"/>
      <c r="FT33" s="584"/>
      <c r="FU33" s="585"/>
      <c r="FV33" s="585"/>
      <c r="FW33" s="585"/>
      <c r="FX33" s="586"/>
      <c r="FY33" s="586"/>
      <c r="FZ33" s="585"/>
      <c r="GA33" s="584"/>
      <c r="GB33" s="585"/>
      <c r="GC33" s="585"/>
      <c r="GD33" s="585"/>
      <c r="GE33" s="586"/>
      <c r="GF33" s="586"/>
      <c r="GG33" s="585"/>
      <c r="GH33" s="584"/>
      <c r="GI33" s="585"/>
      <c r="GJ33" s="585"/>
      <c r="GK33" s="585"/>
      <c r="GL33" s="586"/>
      <c r="GM33" s="586"/>
      <c r="GN33" s="585"/>
      <c r="GO33" s="584"/>
      <c r="GP33" s="585"/>
      <c r="GQ33" s="585"/>
      <c r="GR33" s="585"/>
      <c r="GS33" s="586"/>
      <c r="GT33" s="586"/>
      <c r="GU33" s="585"/>
      <c r="GV33" s="584"/>
      <c r="GW33" s="585"/>
      <c r="GX33" s="585"/>
      <c r="GY33" s="585"/>
      <c r="GZ33" s="586"/>
      <c r="HA33" s="586"/>
      <c r="HB33" s="585"/>
      <c r="HC33" s="584"/>
      <c r="HD33" s="585"/>
      <c r="HE33" s="585"/>
      <c r="HF33" s="585"/>
      <c r="HG33" s="586"/>
      <c r="HH33" s="586"/>
      <c r="HI33" s="585"/>
      <c r="HJ33" s="584"/>
      <c r="HK33" s="585"/>
      <c r="HL33" s="585"/>
      <c r="HM33" s="585"/>
      <c r="HN33" s="586"/>
      <c r="HO33" s="586"/>
      <c r="HP33" s="585"/>
      <c r="HQ33" s="584"/>
      <c r="HR33" s="585"/>
      <c r="HS33" s="585"/>
      <c r="HT33" s="585"/>
      <c r="HU33" s="586"/>
      <c r="HV33" s="586"/>
      <c r="HW33" s="585"/>
      <c r="HX33" s="584"/>
      <c r="HY33" s="585"/>
      <c r="HZ33" s="585"/>
      <c r="IA33" s="585"/>
      <c r="IB33" s="586"/>
      <c r="IC33" s="586"/>
      <c r="ID33" s="585"/>
      <c r="IE33" s="584"/>
      <c r="IF33" s="585"/>
      <c r="IG33" s="585"/>
      <c r="IH33" s="585"/>
      <c r="II33" s="586"/>
      <c r="IJ33" s="586"/>
      <c r="IK33" s="585"/>
      <c r="IL33" s="584"/>
      <c r="IM33" s="585"/>
      <c r="IN33" s="585"/>
      <c r="IO33" s="585"/>
      <c r="IP33" s="586"/>
      <c r="IQ33" s="586"/>
      <c r="IR33" s="585"/>
      <c r="IS33" s="584"/>
      <c r="IT33" s="585"/>
      <c r="IU33" s="585"/>
      <c r="IV33" s="585"/>
    </row>
    <row r="34" spans="1:256" ht="12.75">
      <c r="A34" s="473" t="s">
        <v>269</v>
      </c>
      <c r="B34" s="507">
        <v>1285</v>
      </c>
      <c r="C34" s="507">
        <v>160</v>
      </c>
      <c r="D34" s="507">
        <v>0</v>
      </c>
      <c r="E34" s="40">
        <v>0</v>
      </c>
      <c r="F34" s="40">
        <v>0</v>
      </c>
      <c r="G34" s="507">
        <v>0</v>
      </c>
      <c r="H34" s="587"/>
      <c r="I34" s="510"/>
      <c r="J34" s="510"/>
      <c r="K34" s="510"/>
      <c r="L34" s="588"/>
      <c r="M34" s="588"/>
      <c r="N34" s="510"/>
      <c r="O34" s="587"/>
      <c r="P34" s="510"/>
      <c r="Q34" s="510"/>
      <c r="R34" s="510"/>
      <c r="S34" s="588"/>
      <c r="T34" s="588"/>
      <c r="U34" s="510"/>
      <c r="V34" s="587"/>
      <c r="W34" s="510"/>
      <c r="X34" s="510"/>
      <c r="Y34" s="510"/>
      <c r="Z34" s="588"/>
      <c r="AA34" s="588"/>
      <c r="AB34" s="510"/>
      <c r="AC34" s="587"/>
      <c r="AD34" s="510"/>
      <c r="AE34" s="510"/>
      <c r="AF34" s="510"/>
      <c r="AG34" s="588"/>
      <c r="AH34" s="588"/>
      <c r="AI34" s="510"/>
      <c r="AJ34" s="587"/>
      <c r="AK34" s="510"/>
      <c r="AL34" s="510"/>
      <c r="AM34" s="510"/>
      <c r="AN34" s="588"/>
      <c r="AO34" s="588"/>
      <c r="AP34" s="510"/>
      <c r="AQ34" s="587"/>
      <c r="AR34" s="510"/>
      <c r="AS34" s="510"/>
      <c r="AT34" s="510"/>
      <c r="AU34" s="588"/>
      <c r="AV34" s="588"/>
      <c r="AW34" s="510"/>
      <c r="AX34" s="587"/>
      <c r="AY34" s="510"/>
      <c r="AZ34" s="510"/>
      <c r="BA34" s="510"/>
      <c r="BB34" s="588"/>
      <c r="BC34" s="588"/>
      <c r="BD34" s="510"/>
      <c r="BE34" s="587"/>
      <c r="BF34" s="510"/>
      <c r="BG34" s="510"/>
      <c r="BH34" s="510"/>
      <c r="BI34" s="588"/>
      <c r="BJ34" s="588"/>
      <c r="BK34" s="510"/>
      <c r="BL34" s="587"/>
      <c r="BM34" s="510"/>
      <c r="BN34" s="510"/>
      <c r="BO34" s="510"/>
      <c r="BP34" s="588"/>
      <c r="BQ34" s="588"/>
      <c r="BR34" s="510"/>
      <c r="BS34" s="587"/>
      <c r="BT34" s="510"/>
      <c r="BU34" s="510"/>
      <c r="BV34" s="510"/>
      <c r="BW34" s="588"/>
      <c r="BX34" s="588"/>
      <c r="BY34" s="510"/>
      <c r="BZ34" s="587"/>
      <c r="CA34" s="510"/>
      <c r="CB34" s="510"/>
      <c r="CC34" s="510"/>
      <c r="CD34" s="588"/>
      <c r="CE34" s="588"/>
      <c r="CF34" s="510"/>
      <c r="CG34" s="587"/>
      <c r="CH34" s="510"/>
      <c r="CI34" s="510"/>
      <c r="CJ34" s="510"/>
      <c r="CK34" s="588"/>
      <c r="CL34" s="588"/>
      <c r="CM34" s="510"/>
      <c r="CN34" s="587"/>
      <c r="CO34" s="510"/>
      <c r="CP34" s="510"/>
      <c r="CQ34" s="510"/>
      <c r="CR34" s="588"/>
      <c r="CS34" s="588"/>
      <c r="CT34" s="510"/>
      <c r="CU34" s="587"/>
      <c r="CV34" s="510"/>
      <c r="CW34" s="510"/>
      <c r="CX34" s="510"/>
      <c r="CY34" s="588"/>
      <c r="CZ34" s="588"/>
      <c r="DA34" s="510"/>
      <c r="DB34" s="587"/>
      <c r="DC34" s="510"/>
      <c r="DD34" s="510"/>
      <c r="DE34" s="510"/>
      <c r="DF34" s="588"/>
      <c r="DG34" s="588"/>
      <c r="DH34" s="510"/>
      <c r="DI34" s="587"/>
      <c r="DJ34" s="510"/>
      <c r="DK34" s="510"/>
      <c r="DL34" s="510"/>
      <c r="DM34" s="588"/>
      <c r="DN34" s="588"/>
      <c r="DO34" s="510"/>
      <c r="DP34" s="587"/>
      <c r="DQ34" s="510"/>
      <c r="DR34" s="510"/>
      <c r="DS34" s="510"/>
      <c r="DT34" s="588"/>
      <c r="DU34" s="588"/>
      <c r="DV34" s="510"/>
      <c r="DW34" s="587"/>
      <c r="DX34" s="510"/>
      <c r="DY34" s="510"/>
      <c r="DZ34" s="510"/>
      <c r="EA34" s="588"/>
      <c r="EB34" s="588"/>
      <c r="EC34" s="510"/>
      <c r="ED34" s="587"/>
      <c r="EE34" s="510"/>
      <c r="EF34" s="510"/>
      <c r="EG34" s="510"/>
      <c r="EH34" s="588"/>
      <c r="EI34" s="588"/>
      <c r="EJ34" s="510"/>
      <c r="EK34" s="587"/>
      <c r="EL34" s="510"/>
      <c r="EM34" s="510"/>
      <c r="EN34" s="510"/>
      <c r="EO34" s="588"/>
      <c r="EP34" s="588"/>
      <c r="EQ34" s="510"/>
      <c r="ER34" s="587"/>
      <c r="ES34" s="510"/>
      <c r="ET34" s="510"/>
      <c r="EU34" s="510"/>
      <c r="EV34" s="588"/>
      <c r="EW34" s="588"/>
      <c r="EX34" s="510"/>
      <c r="EY34" s="587"/>
      <c r="EZ34" s="510"/>
      <c r="FA34" s="510"/>
      <c r="FB34" s="510"/>
      <c r="FC34" s="588"/>
      <c r="FD34" s="588"/>
      <c r="FE34" s="510"/>
      <c r="FF34" s="587"/>
      <c r="FG34" s="510"/>
      <c r="FH34" s="510"/>
      <c r="FI34" s="510"/>
      <c r="FJ34" s="588"/>
      <c r="FK34" s="588"/>
      <c r="FL34" s="510"/>
      <c r="FM34" s="587"/>
      <c r="FN34" s="510"/>
      <c r="FO34" s="510"/>
      <c r="FP34" s="510"/>
      <c r="FQ34" s="588"/>
      <c r="FR34" s="588"/>
      <c r="FS34" s="510"/>
      <c r="FT34" s="587"/>
      <c r="FU34" s="510"/>
      <c r="FV34" s="510"/>
      <c r="FW34" s="510"/>
      <c r="FX34" s="588"/>
      <c r="FY34" s="588"/>
      <c r="FZ34" s="510"/>
      <c r="GA34" s="587"/>
      <c r="GB34" s="510"/>
      <c r="GC34" s="510"/>
      <c r="GD34" s="510"/>
      <c r="GE34" s="588"/>
      <c r="GF34" s="588"/>
      <c r="GG34" s="510"/>
      <c r="GH34" s="587"/>
      <c r="GI34" s="510"/>
      <c r="GJ34" s="510"/>
      <c r="GK34" s="510"/>
      <c r="GL34" s="588"/>
      <c r="GM34" s="588"/>
      <c r="GN34" s="510"/>
      <c r="GO34" s="587"/>
      <c r="GP34" s="510"/>
      <c r="GQ34" s="510"/>
      <c r="GR34" s="510"/>
      <c r="GS34" s="588"/>
      <c r="GT34" s="588"/>
      <c r="GU34" s="510"/>
      <c r="GV34" s="587"/>
      <c r="GW34" s="510"/>
      <c r="GX34" s="510"/>
      <c r="GY34" s="510"/>
      <c r="GZ34" s="588"/>
      <c r="HA34" s="588"/>
      <c r="HB34" s="510"/>
      <c r="HC34" s="587"/>
      <c r="HD34" s="510"/>
      <c r="HE34" s="510"/>
      <c r="HF34" s="510"/>
      <c r="HG34" s="588"/>
      <c r="HH34" s="588"/>
      <c r="HI34" s="510"/>
      <c r="HJ34" s="587"/>
      <c r="HK34" s="510"/>
      <c r="HL34" s="510"/>
      <c r="HM34" s="510"/>
      <c r="HN34" s="588"/>
      <c r="HO34" s="588"/>
      <c r="HP34" s="510"/>
      <c r="HQ34" s="587"/>
      <c r="HR34" s="510"/>
      <c r="HS34" s="510"/>
      <c r="HT34" s="510"/>
      <c r="HU34" s="588"/>
      <c r="HV34" s="588"/>
      <c r="HW34" s="510"/>
      <c r="HX34" s="587"/>
      <c r="HY34" s="510"/>
      <c r="HZ34" s="510"/>
      <c r="IA34" s="510"/>
      <c r="IB34" s="588"/>
      <c r="IC34" s="588"/>
      <c r="ID34" s="510"/>
      <c r="IE34" s="587"/>
      <c r="IF34" s="510"/>
      <c r="IG34" s="510"/>
      <c r="IH34" s="510"/>
      <c r="II34" s="588"/>
      <c r="IJ34" s="588"/>
      <c r="IK34" s="510"/>
      <c r="IL34" s="587"/>
      <c r="IM34" s="510"/>
      <c r="IN34" s="510"/>
      <c r="IO34" s="510"/>
      <c r="IP34" s="588"/>
      <c r="IQ34" s="588"/>
      <c r="IR34" s="510"/>
      <c r="IS34" s="587"/>
      <c r="IT34" s="510"/>
      <c r="IU34" s="510"/>
      <c r="IV34" s="510"/>
    </row>
    <row r="35" spans="1:256" ht="12.75">
      <c r="A35" s="473" t="s">
        <v>270</v>
      </c>
      <c r="B35" s="507">
        <v>493</v>
      </c>
      <c r="C35" s="507">
        <v>91</v>
      </c>
      <c r="D35" s="507">
        <v>58</v>
      </c>
      <c r="E35" s="40">
        <v>11.76470588235294</v>
      </c>
      <c r="F35" s="40">
        <v>63.73626373626373</v>
      </c>
      <c r="G35" s="507">
        <v>58</v>
      </c>
      <c r="H35" s="587"/>
      <c r="I35" s="510"/>
      <c r="J35" s="510"/>
      <c r="K35" s="510"/>
      <c r="L35" s="588"/>
      <c r="M35" s="588"/>
      <c r="N35" s="510"/>
      <c r="O35" s="587"/>
      <c r="P35" s="510"/>
      <c r="Q35" s="510"/>
      <c r="R35" s="510"/>
      <c r="S35" s="588"/>
      <c r="T35" s="588"/>
      <c r="U35" s="510"/>
      <c r="V35" s="587"/>
      <c r="W35" s="510"/>
      <c r="X35" s="510"/>
      <c r="Y35" s="510"/>
      <c r="Z35" s="588"/>
      <c r="AA35" s="588"/>
      <c r="AB35" s="510"/>
      <c r="AC35" s="587"/>
      <c r="AD35" s="510"/>
      <c r="AE35" s="510"/>
      <c r="AF35" s="510"/>
      <c r="AG35" s="588"/>
      <c r="AH35" s="588"/>
      <c r="AI35" s="510"/>
      <c r="AJ35" s="587"/>
      <c r="AK35" s="510"/>
      <c r="AL35" s="510"/>
      <c r="AM35" s="510"/>
      <c r="AN35" s="588"/>
      <c r="AO35" s="588"/>
      <c r="AP35" s="510"/>
      <c r="AQ35" s="587"/>
      <c r="AR35" s="510"/>
      <c r="AS35" s="510"/>
      <c r="AT35" s="510"/>
      <c r="AU35" s="588"/>
      <c r="AV35" s="588"/>
      <c r="AW35" s="510"/>
      <c r="AX35" s="587"/>
      <c r="AY35" s="510"/>
      <c r="AZ35" s="510"/>
      <c r="BA35" s="510"/>
      <c r="BB35" s="588"/>
      <c r="BC35" s="588"/>
      <c r="BD35" s="510"/>
      <c r="BE35" s="587"/>
      <c r="BF35" s="510"/>
      <c r="BG35" s="510"/>
      <c r="BH35" s="510"/>
      <c r="BI35" s="588"/>
      <c r="BJ35" s="588"/>
      <c r="BK35" s="510"/>
      <c r="BL35" s="587"/>
      <c r="BM35" s="510"/>
      <c r="BN35" s="510"/>
      <c r="BO35" s="510"/>
      <c r="BP35" s="588"/>
      <c r="BQ35" s="588"/>
      <c r="BR35" s="510"/>
      <c r="BS35" s="587"/>
      <c r="BT35" s="510"/>
      <c r="BU35" s="510"/>
      <c r="BV35" s="510"/>
      <c r="BW35" s="588"/>
      <c r="BX35" s="588"/>
      <c r="BY35" s="510"/>
      <c r="BZ35" s="587"/>
      <c r="CA35" s="510"/>
      <c r="CB35" s="510"/>
      <c r="CC35" s="510"/>
      <c r="CD35" s="588"/>
      <c r="CE35" s="588"/>
      <c r="CF35" s="510"/>
      <c r="CG35" s="587"/>
      <c r="CH35" s="510"/>
      <c r="CI35" s="510"/>
      <c r="CJ35" s="510"/>
      <c r="CK35" s="588"/>
      <c r="CL35" s="588"/>
      <c r="CM35" s="510"/>
      <c r="CN35" s="587"/>
      <c r="CO35" s="510"/>
      <c r="CP35" s="510"/>
      <c r="CQ35" s="510"/>
      <c r="CR35" s="588"/>
      <c r="CS35" s="588"/>
      <c r="CT35" s="510"/>
      <c r="CU35" s="587"/>
      <c r="CV35" s="510"/>
      <c r="CW35" s="510"/>
      <c r="CX35" s="510"/>
      <c r="CY35" s="588"/>
      <c r="CZ35" s="588"/>
      <c r="DA35" s="510"/>
      <c r="DB35" s="587"/>
      <c r="DC35" s="510"/>
      <c r="DD35" s="510"/>
      <c r="DE35" s="510"/>
      <c r="DF35" s="588"/>
      <c r="DG35" s="588"/>
      <c r="DH35" s="510"/>
      <c r="DI35" s="587"/>
      <c r="DJ35" s="510"/>
      <c r="DK35" s="510"/>
      <c r="DL35" s="510"/>
      <c r="DM35" s="588"/>
      <c r="DN35" s="588"/>
      <c r="DO35" s="510"/>
      <c r="DP35" s="587"/>
      <c r="DQ35" s="510"/>
      <c r="DR35" s="510"/>
      <c r="DS35" s="510"/>
      <c r="DT35" s="588"/>
      <c r="DU35" s="588"/>
      <c r="DV35" s="510"/>
      <c r="DW35" s="587"/>
      <c r="DX35" s="510"/>
      <c r="DY35" s="510"/>
      <c r="DZ35" s="510"/>
      <c r="EA35" s="588"/>
      <c r="EB35" s="588"/>
      <c r="EC35" s="510"/>
      <c r="ED35" s="587"/>
      <c r="EE35" s="510"/>
      <c r="EF35" s="510"/>
      <c r="EG35" s="510"/>
      <c r="EH35" s="588"/>
      <c r="EI35" s="588"/>
      <c r="EJ35" s="510"/>
      <c r="EK35" s="587"/>
      <c r="EL35" s="510"/>
      <c r="EM35" s="510"/>
      <c r="EN35" s="510"/>
      <c r="EO35" s="588"/>
      <c r="EP35" s="588"/>
      <c r="EQ35" s="510"/>
      <c r="ER35" s="587"/>
      <c r="ES35" s="510"/>
      <c r="ET35" s="510"/>
      <c r="EU35" s="510"/>
      <c r="EV35" s="588"/>
      <c r="EW35" s="588"/>
      <c r="EX35" s="510"/>
      <c r="EY35" s="587"/>
      <c r="EZ35" s="510"/>
      <c r="FA35" s="510"/>
      <c r="FB35" s="510"/>
      <c r="FC35" s="588"/>
      <c r="FD35" s="588"/>
      <c r="FE35" s="510"/>
      <c r="FF35" s="587"/>
      <c r="FG35" s="510"/>
      <c r="FH35" s="510"/>
      <c r="FI35" s="510"/>
      <c r="FJ35" s="588"/>
      <c r="FK35" s="588"/>
      <c r="FL35" s="510"/>
      <c r="FM35" s="587"/>
      <c r="FN35" s="510"/>
      <c r="FO35" s="510"/>
      <c r="FP35" s="510"/>
      <c r="FQ35" s="588"/>
      <c r="FR35" s="588"/>
      <c r="FS35" s="510"/>
      <c r="FT35" s="587"/>
      <c r="FU35" s="510"/>
      <c r="FV35" s="510"/>
      <c r="FW35" s="510"/>
      <c r="FX35" s="588"/>
      <c r="FY35" s="588"/>
      <c r="FZ35" s="510"/>
      <c r="GA35" s="587"/>
      <c r="GB35" s="510"/>
      <c r="GC35" s="510"/>
      <c r="GD35" s="510"/>
      <c r="GE35" s="588"/>
      <c r="GF35" s="588"/>
      <c r="GG35" s="510"/>
      <c r="GH35" s="587"/>
      <c r="GI35" s="510"/>
      <c r="GJ35" s="510"/>
      <c r="GK35" s="510"/>
      <c r="GL35" s="588"/>
      <c r="GM35" s="588"/>
      <c r="GN35" s="510"/>
      <c r="GO35" s="587"/>
      <c r="GP35" s="510"/>
      <c r="GQ35" s="510"/>
      <c r="GR35" s="510"/>
      <c r="GS35" s="588"/>
      <c r="GT35" s="588"/>
      <c r="GU35" s="510"/>
      <c r="GV35" s="587"/>
      <c r="GW35" s="510"/>
      <c r="GX35" s="510"/>
      <c r="GY35" s="510"/>
      <c r="GZ35" s="588"/>
      <c r="HA35" s="588"/>
      <c r="HB35" s="510"/>
      <c r="HC35" s="587"/>
      <c r="HD35" s="510"/>
      <c r="HE35" s="510"/>
      <c r="HF35" s="510"/>
      <c r="HG35" s="588"/>
      <c r="HH35" s="588"/>
      <c r="HI35" s="510"/>
      <c r="HJ35" s="587"/>
      <c r="HK35" s="510"/>
      <c r="HL35" s="510"/>
      <c r="HM35" s="510"/>
      <c r="HN35" s="588"/>
      <c r="HO35" s="588"/>
      <c r="HP35" s="510"/>
      <c r="HQ35" s="587"/>
      <c r="HR35" s="510"/>
      <c r="HS35" s="510"/>
      <c r="HT35" s="510"/>
      <c r="HU35" s="588"/>
      <c r="HV35" s="588"/>
      <c r="HW35" s="510"/>
      <c r="HX35" s="587"/>
      <c r="HY35" s="510"/>
      <c r="HZ35" s="510"/>
      <c r="IA35" s="510"/>
      <c r="IB35" s="588"/>
      <c r="IC35" s="588"/>
      <c r="ID35" s="510"/>
      <c r="IE35" s="587"/>
      <c r="IF35" s="510"/>
      <c r="IG35" s="510"/>
      <c r="IH35" s="510"/>
      <c r="II35" s="588"/>
      <c r="IJ35" s="588"/>
      <c r="IK35" s="510"/>
      <c r="IL35" s="587"/>
      <c r="IM35" s="510"/>
      <c r="IN35" s="510"/>
      <c r="IO35" s="510"/>
      <c r="IP35" s="588"/>
      <c r="IQ35" s="588"/>
      <c r="IR35" s="510"/>
      <c r="IS35" s="587"/>
      <c r="IT35" s="510"/>
      <c r="IU35" s="510"/>
      <c r="IV35" s="510"/>
    </row>
    <row r="36" spans="1:256" ht="12.75">
      <c r="A36" s="505" t="s">
        <v>273</v>
      </c>
      <c r="B36" s="475">
        <v>870</v>
      </c>
      <c r="C36" s="475">
        <v>45</v>
      </c>
      <c r="D36" s="475">
        <v>45</v>
      </c>
      <c r="E36" s="506">
        <v>5.172413793103448</v>
      </c>
      <c r="F36" s="506">
        <v>100</v>
      </c>
      <c r="G36" s="475">
        <v>45</v>
      </c>
      <c r="H36" s="584"/>
      <c r="I36" s="585"/>
      <c r="J36" s="585"/>
      <c r="K36" s="585"/>
      <c r="L36" s="586"/>
      <c r="M36" s="586"/>
      <c r="N36" s="585"/>
      <c r="O36" s="584"/>
      <c r="P36" s="585"/>
      <c r="Q36" s="585"/>
      <c r="R36" s="585"/>
      <c r="S36" s="586"/>
      <c r="T36" s="586"/>
      <c r="U36" s="585"/>
      <c r="V36" s="584"/>
      <c r="W36" s="585"/>
      <c r="X36" s="585"/>
      <c r="Y36" s="585"/>
      <c r="Z36" s="586"/>
      <c r="AA36" s="586"/>
      <c r="AB36" s="585"/>
      <c r="AC36" s="584"/>
      <c r="AD36" s="585"/>
      <c r="AE36" s="585"/>
      <c r="AF36" s="585"/>
      <c r="AG36" s="586"/>
      <c r="AH36" s="586"/>
      <c r="AI36" s="585"/>
      <c r="AJ36" s="584"/>
      <c r="AK36" s="585"/>
      <c r="AL36" s="585"/>
      <c r="AM36" s="585"/>
      <c r="AN36" s="586"/>
      <c r="AO36" s="586"/>
      <c r="AP36" s="585"/>
      <c r="AQ36" s="584"/>
      <c r="AR36" s="585"/>
      <c r="AS36" s="585"/>
      <c r="AT36" s="585"/>
      <c r="AU36" s="586"/>
      <c r="AV36" s="586"/>
      <c r="AW36" s="585"/>
      <c r="AX36" s="584"/>
      <c r="AY36" s="585"/>
      <c r="AZ36" s="585"/>
      <c r="BA36" s="585"/>
      <c r="BB36" s="586"/>
      <c r="BC36" s="586"/>
      <c r="BD36" s="585"/>
      <c r="BE36" s="584"/>
      <c r="BF36" s="585"/>
      <c r="BG36" s="585"/>
      <c r="BH36" s="585"/>
      <c r="BI36" s="586"/>
      <c r="BJ36" s="586"/>
      <c r="BK36" s="585"/>
      <c r="BL36" s="584"/>
      <c r="BM36" s="585"/>
      <c r="BN36" s="585"/>
      <c r="BO36" s="585"/>
      <c r="BP36" s="586"/>
      <c r="BQ36" s="586"/>
      <c r="BR36" s="585"/>
      <c r="BS36" s="584"/>
      <c r="BT36" s="585"/>
      <c r="BU36" s="585"/>
      <c r="BV36" s="585"/>
      <c r="BW36" s="586"/>
      <c r="BX36" s="586"/>
      <c r="BY36" s="585"/>
      <c r="BZ36" s="584"/>
      <c r="CA36" s="585"/>
      <c r="CB36" s="585"/>
      <c r="CC36" s="585"/>
      <c r="CD36" s="586"/>
      <c r="CE36" s="586"/>
      <c r="CF36" s="585"/>
      <c r="CG36" s="584"/>
      <c r="CH36" s="585"/>
      <c r="CI36" s="585"/>
      <c r="CJ36" s="585"/>
      <c r="CK36" s="586"/>
      <c r="CL36" s="586"/>
      <c r="CM36" s="585"/>
      <c r="CN36" s="584"/>
      <c r="CO36" s="585"/>
      <c r="CP36" s="585"/>
      <c r="CQ36" s="585"/>
      <c r="CR36" s="586"/>
      <c r="CS36" s="586"/>
      <c r="CT36" s="585"/>
      <c r="CU36" s="584"/>
      <c r="CV36" s="585"/>
      <c r="CW36" s="585"/>
      <c r="CX36" s="585"/>
      <c r="CY36" s="586"/>
      <c r="CZ36" s="586"/>
      <c r="DA36" s="585"/>
      <c r="DB36" s="584"/>
      <c r="DC36" s="585"/>
      <c r="DD36" s="585"/>
      <c r="DE36" s="585"/>
      <c r="DF36" s="586"/>
      <c r="DG36" s="586"/>
      <c r="DH36" s="585"/>
      <c r="DI36" s="584"/>
      <c r="DJ36" s="585"/>
      <c r="DK36" s="585"/>
      <c r="DL36" s="585"/>
      <c r="DM36" s="586"/>
      <c r="DN36" s="586"/>
      <c r="DO36" s="585"/>
      <c r="DP36" s="584"/>
      <c r="DQ36" s="585"/>
      <c r="DR36" s="585"/>
      <c r="DS36" s="585"/>
      <c r="DT36" s="586"/>
      <c r="DU36" s="586"/>
      <c r="DV36" s="585"/>
      <c r="DW36" s="584"/>
      <c r="DX36" s="585"/>
      <c r="DY36" s="585"/>
      <c r="DZ36" s="585"/>
      <c r="EA36" s="586"/>
      <c r="EB36" s="586"/>
      <c r="EC36" s="585"/>
      <c r="ED36" s="584"/>
      <c r="EE36" s="585"/>
      <c r="EF36" s="585"/>
      <c r="EG36" s="585"/>
      <c r="EH36" s="586"/>
      <c r="EI36" s="586"/>
      <c r="EJ36" s="585"/>
      <c r="EK36" s="584"/>
      <c r="EL36" s="585"/>
      <c r="EM36" s="585"/>
      <c r="EN36" s="585"/>
      <c r="EO36" s="586"/>
      <c r="EP36" s="586"/>
      <c r="EQ36" s="585"/>
      <c r="ER36" s="584"/>
      <c r="ES36" s="585"/>
      <c r="ET36" s="585"/>
      <c r="EU36" s="585"/>
      <c r="EV36" s="586"/>
      <c r="EW36" s="586"/>
      <c r="EX36" s="585"/>
      <c r="EY36" s="584"/>
      <c r="EZ36" s="585"/>
      <c r="FA36" s="585"/>
      <c r="FB36" s="585"/>
      <c r="FC36" s="586"/>
      <c r="FD36" s="586"/>
      <c r="FE36" s="585"/>
      <c r="FF36" s="584"/>
      <c r="FG36" s="585"/>
      <c r="FH36" s="585"/>
      <c r="FI36" s="585"/>
      <c r="FJ36" s="586"/>
      <c r="FK36" s="586"/>
      <c r="FL36" s="585"/>
      <c r="FM36" s="584"/>
      <c r="FN36" s="585"/>
      <c r="FO36" s="585"/>
      <c r="FP36" s="585"/>
      <c r="FQ36" s="586"/>
      <c r="FR36" s="586"/>
      <c r="FS36" s="585"/>
      <c r="FT36" s="584"/>
      <c r="FU36" s="585"/>
      <c r="FV36" s="585"/>
      <c r="FW36" s="585"/>
      <c r="FX36" s="586"/>
      <c r="FY36" s="586"/>
      <c r="FZ36" s="585"/>
      <c r="GA36" s="584"/>
      <c r="GB36" s="585"/>
      <c r="GC36" s="585"/>
      <c r="GD36" s="585"/>
      <c r="GE36" s="586"/>
      <c r="GF36" s="586"/>
      <c r="GG36" s="585"/>
      <c r="GH36" s="584"/>
      <c r="GI36" s="585"/>
      <c r="GJ36" s="585"/>
      <c r="GK36" s="585"/>
      <c r="GL36" s="586"/>
      <c r="GM36" s="586"/>
      <c r="GN36" s="585"/>
      <c r="GO36" s="584"/>
      <c r="GP36" s="585"/>
      <c r="GQ36" s="585"/>
      <c r="GR36" s="585"/>
      <c r="GS36" s="586"/>
      <c r="GT36" s="586"/>
      <c r="GU36" s="585"/>
      <c r="GV36" s="584"/>
      <c r="GW36" s="585"/>
      <c r="GX36" s="585"/>
      <c r="GY36" s="585"/>
      <c r="GZ36" s="586"/>
      <c r="HA36" s="586"/>
      <c r="HB36" s="585"/>
      <c r="HC36" s="584"/>
      <c r="HD36" s="585"/>
      <c r="HE36" s="585"/>
      <c r="HF36" s="585"/>
      <c r="HG36" s="586"/>
      <c r="HH36" s="586"/>
      <c r="HI36" s="585"/>
      <c r="HJ36" s="584"/>
      <c r="HK36" s="585"/>
      <c r="HL36" s="585"/>
      <c r="HM36" s="585"/>
      <c r="HN36" s="586"/>
      <c r="HO36" s="586"/>
      <c r="HP36" s="585"/>
      <c r="HQ36" s="584"/>
      <c r="HR36" s="585"/>
      <c r="HS36" s="585"/>
      <c r="HT36" s="585"/>
      <c r="HU36" s="586"/>
      <c r="HV36" s="586"/>
      <c r="HW36" s="585"/>
      <c r="HX36" s="584"/>
      <c r="HY36" s="585"/>
      <c r="HZ36" s="585"/>
      <c r="IA36" s="585"/>
      <c r="IB36" s="586"/>
      <c r="IC36" s="586"/>
      <c r="ID36" s="585"/>
      <c r="IE36" s="584"/>
      <c r="IF36" s="585"/>
      <c r="IG36" s="585"/>
      <c r="IH36" s="585"/>
      <c r="II36" s="586"/>
      <c r="IJ36" s="586"/>
      <c r="IK36" s="585"/>
      <c r="IL36" s="584"/>
      <c r="IM36" s="585"/>
      <c r="IN36" s="585"/>
      <c r="IO36" s="585"/>
      <c r="IP36" s="586"/>
      <c r="IQ36" s="586"/>
      <c r="IR36" s="585"/>
      <c r="IS36" s="584"/>
      <c r="IT36" s="585"/>
      <c r="IU36" s="585"/>
      <c r="IV36" s="585"/>
    </row>
    <row r="37" spans="1:256" ht="12.75">
      <c r="A37" s="473" t="s">
        <v>269</v>
      </c>
      <c r="B37" s="507">
        <v>73</v>
      </c>
      <c r="C37" s="507"/>
      <c r="D37" s="507"/>
      <c r="E37" s="40"/>
      <c r="F37" s="40"/>
      <c r="G37" s="507"/>
      <c r="H37" s="587"/>
      <c r="I37" s="510"/>
      <c r="J37" s="510"/>
      <c r="K37" s="510"/>
      <c r="L37" s="588"/>
      <c r="M37" s="588"/>
      <c r="N37" s="510"/>
      <c r="O37" s="587"/>
      <c r="P37" s="510"/>
      <c r="Q37" s="510"/>
      <c r="R37" s="510"/>
      <c r="S37" s="588"/>
      <c r="T37" s="588"/>
      <c r="U37" s="510"/>
      <c r="V37" s="587"/>
      <c r="W37" s="510"/>
      <c r="X37" s="510"/>
      <c r="Y37" s="510"/>
      <c r="Z37" s="588"/>
      <c r="AA37" s="588"/>
      <c r="AB37" s="510"/>
      <c r="AC37" s="587"/>
      <c r="AD37" s="510"/>
      <c r="AE37" s="510"/>
      <c r="AF37" s="510"/>
      <c r="AG37" s="588"/>
      <c r="AH37" s="588"/>
      <c r="AI37" s="510"/>
      <c r="AJ37" s="587"/>
      <c r="AK37" s="510"/>
      <c r="AL37" s="510"/>
      <c r="AM37" s="510"/>
      <c r="AN37" s="588"/>
      <c r="AO37" s="588"/>
      <c r="AP37" s="510"/>
      <c r="AQ37" s="587"/>
      <c r="AR37" s="510"/>
      <c r="AS37" s="510"/>
      <c r="AT37" s="510"/>
      <c r="AU37" s="588"/>
      <c r="AV37" s="588"/>
      <c r="AW37" s="510"/>
      <c r="AX37" s="587"/>
      <c r="AY37" s="510"/>
      <c r="AZ37" s="510"/>
      <c r="BA37" s="510"/>
      <c r="BB37" s="588"/>
      <c r="BC37" s="588"/>
      <c r="BD37" s="510"/>
      <c r="BE37" s="587"/>
      <c r="BF37" s="510"/>
      <c r="BG37" s="510"/>
      <c r="BH37" s="510"/>
      <c r="BI37" s="588"/>
      <c r="BJ37" s="588"/>
      <c r="BK37" s="510"/>
      <c r="BL37" s="587"/>
      <c r="BM37" s="510"/>
      <c r="BN37" s="510"/>
      <c r="BO37" s="510"/>
      <c r="BP37" s="588"/>
      <c r="BQ37" s="588"/>
      <c r="BR37" s="510"/>
      <c r="BS37" s="587"/>
      <c r="BT37" s="510"/>
      <c r="BU37" s="510"/>
      <c r="BV37" s="510"/>
      <c r="BW37" s="588"/>
      <c r="BX37" s="588"/>
      <c r="BY37" s="510"/>
      <c r="BZ37" s="587"/>
      <c r="CA37" s="510"/>
      <c r="CB37" s="510"/>
      <c r="CC37" s="510"/>
      <c r="CD37" s="588"/>
      <c r="CE37" s="588"/>
      <c r="CF37" s="510"/>
      <c r="CG37" s="587"/>
      <c r="CH37" s="510"/>
      <c r="CI37" s="510"/>
      <c r="CJ37" s="510"/>
      <c r="CK37" s="588"/>
      <c r="CL37" s="588"/>
      <c r="CM37" s="510"/>
      <c r="CN37" s="587"/>
      <c r="CO37" s="510"/>
      <c r="CP37" s="510"/>
      <c r="CQ37" s="510"/>
      <c r="CR37" s="588"/>
      <c r="CS37" s="588"/>
      <c r="CT37" s="510"/>
      <c r="CU37" s="587"/>
      <c r="CV37" s="510"/>
      <c r="CW37" s="510"/>
      <c r="CX37" s="510"/>
      <c r="CY37" s="588"/>
      <c r="CZ37" s="588"/>
      <c r="DA37" s="510"/>
      <c r="DB37" s="587"/>
      <c r="DC37" s="510"/>
      <c r="DD37" s="510"/>
      <c r="DE37" s="510"/>
      <c r="DF37" s="588"/>
      <c r="DG37" s="588"/>
      <c r="DH37" s="510"/>
      <c r="DI37" s="587"/>
      <c r="DJ37" s="510"/>
      <c r="DK37" s="510"/>
      <c r="DL37" s="510"/>
      <c r="DM37" s="588"/>
      <c r="DN37" s="588"/>
      <c r="DO37" s="510"/>
      <c r="DP37" s="587"/>
      <c r="DQ37" s="510"/>
      <c r="DR37" s="510"/>
      <c r="DS37" s="510"/>
      <c r="DT37" s="588"/>
      <c r="DU37" s="588"/>
      <c r="DV37" s="510"/>
      <c r="DW37" s="587"/>
      <c r="DX37" s="510"/>
      <c r="DY37" s="510"/>
      <c r="DZ37" s="510"/>
      <c r="EA37" s="588"/>
      <c r="EB37" s="588"/>
      <c r="EC37" s="510"/>
      <c r="ED37" s="587"/>
      <c r="EE37" s="510"/>
      <c r="EF37" s="510"/>
      <c r="EG37" s="510"/>
      <c r="EH37" s="588"/>
      <c r="EI37" s="588"/>
      <c r="EJ37" s="510"/>
      <c r="EK37" s="587"/>
      <c r="EL37" s="510"/>
      <c r="EM37" s="510"/>
      <c r="EN37" s="510"/>
      <c r="EO37" s="588"/>
      <c r="EP37" s="588"/>
      <c r="EQ37" s="510"/>
      <c r="ER37" s="587"/>
      <c r="ES37" s="510"/>
      <c r="ET37" s="510"/>
      <c r="EU37" s="510"/>
      <c r="EV37" s="588"/>
      <c r="EW37" s="588"/>
      <c r="EX37" s="510"/>
      <c r="EY37" s="587"/>
      <c r="EZ37" s="510"/>
      <c r="FA37" s="510"/>
      <c r="FB37" s="510"/>
      <c r="FC37" s="588"/>
      <c r="FD37" s="588"/>
      <c r="FE37" s="510"/>
      <c r="FF37" s="587"/>
      <c r="FG37" s="510"/>
      <c r="FH37" s="510"/>
      <c r="FI37" s="510"/>
      <c r="FJ37" s="588"/>
      <c r="FK37" s="588"/>
      <c r="FL37" s="510"/>
      <c r="FM37" s="587"/>
      <c r="FN37" s="510"/>
      <c r="FO37" s="510"/>
      <c r="FP37" s="510"/>
      <c r="FQ37" s="588"/>
      <c r="FR37" s="588"/>
      <c r="FS37" s="510"/>
      <c r="FT37" s="587"/>
      <c r="FU37" s="510"/>
      <c r="FV37" s="510"/>
      <c r="FW37" s="510"/>
      <c r="FX37" s="588"/>
      <c r="FY37" s="588"/>
      <c r="FZ37" s="510"/>
      <c r="GA37" s="587"/>
      <c r="GB37" s="510"/>
      <c r="GC37" s="510"/>
      <c r="GD37" s="510"/>
      <c r="GE37" s="588"/>
      <c r="GF37" s="588"/>
      <c r="GG37" s="510"/>
      <c r="GH37" s="587"/>
      <c r="GI37" s="510"/>
      <c r="GJ37" s="510"/>
      <c r="GK37" s="510"/>
      <c r="GL37" s="588"/>
      <c r="GM37" s="588"/>
      <c r="GN37" s="510"/>
      <c r="GO37" s="587"/>
      <c r="GP37" s="510"/>
      <c r="GQ37" s="510"/>
      <c r="GR37" s="510"/>
      <c r="GS37" s="588"/>
      <c r="GT37" s="588"/>
      <c r="GU37" s="510"/>
      <c r="GV37" s="587"/>
      <c r="GW37" s="510"/>
      <c r="GX37" s="510"/>
      <c r="GY37" s="510"/>
      <c r="GZ37" s="588"/>
      <c r="HA37" s="588"/>
      <c r="HB37" s="510"/>
      <c r="HC37" s="587"/>
      <c r="HD37" s="510"/>
      <c r="HE37" s="510"/>
      <c r="HF37" s="510"/>
      <c r="HG37" s="588"/>
      <c r="HH37" s="588"/>
      <c r="HI37" s="510"/>
      <c r="HJ37" s="587"/>
      <c r="HK37" s="510"/>
      <c r="HL37" s="510"/>
      <c r="HM37" s="510"/>
      <c r="HN37" s="588"/>
      <c r="HO37" s="588"/>
      <c r="HP37" s="510"/>
      <c r="HQ37" s="587"/>
      <c r="HR37" s="510"/>
      <c r="HS37" s="510"/>
      <c r="HT37" s="510"/>
      <c r="HU37" s="588"/>
      <c r="HV37" s="588"/>
      <c r="HW37" s="510"/>
      <c r="HX37" s="587"/>
      <c r="HY37" s="510"/>
      <c r="HZ37" s="510"/>
      <c r="IA37" s="510"/>
      <c r="IB37" s="588"/>
      <c r="IC37" s="588"/>
      <c r="ID37" s="510"/>
      <c r="IE37" s="587"/>
      <c r="IF37" s="510"/>
      <c r="IG37" s="510"/>
      <c r="IH37" s="510"/>
      <c r="II37" s="588"/>
      <c r="IJ37" s="588"/>
      <c r="IK37" s="510"/>
      <c r="IL37" s="587"/>
      <c r="IM37" s="510"/>
      <c r="IN37" s="510"/>
      <c r="IO37" s="510"/>
      <c r="IP37" s="588"/>
      <c r="IQ37" s="588"/>
      <c r="IR37" s="510"/>
      <c r="IS37" s="587"/>
      <c r="IT37" s="510"/>
      <c r="IU37" s="510"/>
      <c r="IV37" s="510"/>
    </row>
    <row r="38" spans="1:256" ht="12.75">
      <c r="A38" s="473" t="s">
        <v>270</v>
      </c>
      <c r="B38" s="507">
        <v>797</v>
      </c>
      <c r="C38" s="507">
        <v>45</v>
      </c>
      <c r="D38" s="507">
        <v>45</v>
      </c>
      <c r="E38" s="40">
        <v>5.646173149309912</v>
      </c>
      <c r="F38" s="40">
        <v>100</v>
      </c>
      <c r="G38" s="507">
        <v>45</v>
      </c>
      <c r="H38" s="587"/>
      <c r="I38" s="510"/>
      <c r="J38" s="510"/>
      <c r="K38" s="510"/>
      <c r="L38" s="588"/>
      <c r="M38" s="588"/>
      <c r="N38" s="510"/>
      <c r="O38" s="587"/>
      <c r="P38" s="510"/>
      <c r="Q38" s="510"/>
      <c r="R38" s="510"/>
      <c r="S38" s="588"/>
      <c r="T38" s="588"/>
      <c r="U38" s="510"/>
      <c r="V38" s="587"/>
      <c r="W38" s="510"/>
      <c r="X38" s="510"/>
      <c r="Y38" s="510"/>
      <c r="Z38" s="588"/>
      <c r="AA38" s="588"/>
      <c r="AB38" s="510"/>
      <c r="AC38" s="587"/>
      <c r="AD38" s="510"/>
      <c r="AE38" s="510"/>
      <c r="AF38" s="510"/>
      <c r="AG38" s="588"/>
      <c r="AH38" s="588"/>
      <c r="AI38" s="510"/>
      <c r="AJ38" s="587"/>
      <c r="AK38" s="510"/>
      <c r="AL38" s="510"/>
      <c r="AM38" s="510"/>
      <c r="AN38" s="588"/>
      <c r="AO38" s="588"/>
      <c r="AP38" s="510"/>
      <c r="AQ38" s="587"/>
      <c r="AR38" s="510"/>
      <c r="AS38" s="510"/>
      <c r="AT38" s="510"/>
      <c r="AU38" s="588"/>
      <c r="AV38" s="588"/>
      <c r="AW38" s="510"/>
      <c r="AX38" s="587"/>
      <c r="AY38" s="510"/>
      <c r="AZ38" s="510"/>
      <c r="BA38" s="510"/>
      <c r="BB38" s="588"/>
      <c r="BC38" s="588"/>
      <c r="BD38" s="510"/>
      <c r="BE38" s="587"/>
      <c r="BF38" s="510"/>
      <c r="BG38" s="510"/>
      <c r="BH38" s="510"/>
      <c r="BI38" s="588"/>
      <c r="BJ38" s="588"/>
      <c r="BK38" s="510"/>
      <c r="BL38" s="587"/>
      <c r="BM38" s="510"/>
      <c r="BN38" s="510"/>
      <c r="BO38" s="510"/>
      <c r="BP38" s="588"/>
      <c r="BQ38" s="588"/>
      <c r="BR38" s="510"/>
      <c r="BS38" s="587"/>
      <c r="BT38" s="510"/>
      <c r="BU38" s="510"/>
      <c r="BV38" s="510"/>
      <c r="BW38" s="588"/>
      <c r="BX38" s="588"/>
      <c r="BY38" s="510"/>
      <c r="BZ38" s="587"/>
      <c r="CA38" s="510"/>
      <c r="CB38" s="510"/>
      <c r="CC38" s="510"/>
      <c r="CD38" s="588"/>
      <c r="CE38" s="588"/>
      <c r="CF38" s="510"/>
      <c r="CG38" s="587"/>
      <c r="CH38" s="510"/>
      <c r="CI38" s="510"/>
      <c r="CJ38" s="510"/>
      <c r="CK38" s="588"/>
      <c r="CL38" s="588"/>
      <c r="CM38" s="510"/>
      <c r="CN38" s="587"/>
      <c r="CO38" s="510"/>
      <c r="CP38" s="510"/>
      <c r="CQ38" s="510"/>
      <c r="CR38" s="588"/>
      <c r="CS38" s="588"/>
      <c r="CT38" s="510"/>
      <c r="CU38" s="587"/>
      <c r="CV38" s="510"/>
      <c r="CW38" s="510"/>
      <c r="CX38" s="510"/>
      <c r="CY38" s="588"/>
      <c r="CZ38" s="588"/>
      <c r="DA38" s="510"/>
      <c r="DB38" s="587"/>
      <c r="DC38" s="510"/>
      <c r="DD38" s="510"/>
      <c r="DE38" s="510"/>
      <c r="DF38" s="588"/>
      <c r="DG38" s="588"/>
      <c r="DH38" s="510"/>
      <c r="DI38" s="587"/>
      <c r="DJ38" s="510"/>
      <c r="DK38" s="510"/>
      <c r="DL38" s="510"/>
      <c r="DM38" s="588"/>
      <c r="DN38" s="588"/>
      <c r="DO38" s="510"/>
      <c r="DP38" s="587"/>
      <c r="DQ38" s="510"/>
      <c r="DR38" s="510"/>
      <c r="DS38" s="510"/>
      <c r="DT38" s="588"/>
      <c r="DU38" s="588"/>
      <c r="DV38" s="510"/>
      <c r="DW38" s="587"/>
      <c r="DX38" s="510"/>
      <c r="DY38" s="510"/>
      <c r="DZ38" s="510"/>
      <c r="EA38" s="588"/>
      <c r="EB38" s="588"/>
      <c r="EC38" s="510"/>
      <c r="ED38" s="587"/>
      <c r="EE38" s="510"/>
      <c r="EF38" s="510"/>
      <c r="EG38" s="510"/>
      <c r="EH38" s="588"/>
      <c r="EI38" s="588"/>
      <c r="EJ38" s="510"/>
      <c r="EK38" s="587"/>
      <c r="EL38" s="510"/>
      <c r="EM38" s="510"/>
      <c r="EN38" s="510"/>
      <c r="EO38" s="588"/>
      <c r="EP38" s="588"/>
      <c r="EQ38" s="510"/>
      <c r="ER38" s="587"/>
      <c r="ES38" s="510"/>
      <c r="ET38" s="510"/>
      <c r="EU38" s="510"/>
      <c r="EV38" s="588"/>
      <c r="EW38" s="588"/>
      <c r="EX38" s="510"/>
      <c r="EY38" s="587"/>
      <c r="EZ38" s="510"/>
      <c r="FA38" s="510"/>
      <c r="FB38" s="510"/>
      <c r="FC38" s="588"/>
      <c r="FD38" s="588"/>
      <c r="FE38" s="510"/>
      <c r="FF38" s="587"/>
      <c r="FG38" s="510"/>
      <c r="FH38" s="510"/>
      <c r="FI38" s="510"/>
      <c r="FJ38" s="588"/>
      <c r="FK38" s="588"/>
      <c r="FL38" s="510"/>
      <c r="FM38" s="587"/>
      <c r="FN38" s="510"/>
      <c r="FO38" s="510"/>
      <c r="FP38" s="510"/>
      <c r="FQ38" s="588"/>
      <c r="FR38" s="588"/>
      <c r="FS38" s="510"/>
      <c r="FT38" s="587"/>
      <c r="FU38" s="510"/>
      <c r="FV38" s="510"/>
      <c r="FW38" s="510"/>
      <c r="FX38" s="588"/>
      <c r="FY38" s="588"/>
      <c r="FZ38" s="510"/>
      <c r="GA38" s="587"/>
      <c r="GB38" s="510"/>
      <c r="GC38" s="510"/>
      <c r="GD38" s="510"/>
      <c r="GE38" s="588"/>
      <c r="GF38" s="588"/>
      <c r="GG38" s="510"/>
      <c r="GH38" s="587"/>
      <c r="GI38" s="510"/>
      <c r="GJ38" s="510"/>
      <c r="GK38" s="510"/>
      <c r="GL38" s="588"/>
      <c r="GM38" s="588"/>
      <c r="GN38" s="510"/>
      <c r="GO38" s="587"/>
      <c r="GP38" s="510"/>
      <c r="GQ38" s="510"/>
      <c r="GR38" s="510"/>
      <c r="GS38" s="588"/>
      <c r="GT38" s="588"/>
      <c r="GU38" s="510"/>
      <c r="GV38" s="587"/>
      <c r="GW38" s="510"/>
      <c r="GX38" s="510"/>
      <c r="GY38" s="510"/>
      <c r="GZ38" s="588"/>
      <c r="HA38" s="588"/>
      <c r="HB38" s="510"/>
      <c r="HC38" s="587"/>
      <c r="HD38" s="510"/>
      <c r="HE38" s="510"/>
      <c r="HF38" s="510"/>
      <c r="HG38" s="588"/>
      <c r="HH38" s="588"/>
      <c r="HI38" s="510"/>
      <c r="HJ38" s="587"/>
      <c r="HK38" s="510"/>
      <c r="HL38" s="510"/>
      <c r="HM38" s="510"/>
      <c r="HN38" s="588"/>
      <c r="HO38" s="588"/>
      <c r="HP38" s="510"/>
      <c r="HQ38" s="587"/>
      <c r="HR38" s="510"/>
      <c r="HS38" s="510"/>
      <c r="HT38" s="510"/>
      <c r="HU38" s="588"/>
      <c r="HV38" s="588"/>
      <c r="HW38" s="510"/>
      <c r="HX38" s="587"/>
      <c r="HY38" s="510"/>
      <c r="HZ38" s="510"/>
      <c r="IA38" s="510"/>
      <c r="IB38" s="588"/>
      <c r="IC38" s="588"/>
      <c r="ID38" s="510"/>
      <c r="IE38" s="587"/>
      <c r="IF38" s="510"/>
      <c r="IG38" s="510"/>
      <c r="IH38" s="510"/>
      <c r="II38" s="588"/>
      <c r="IJ38" s="588"/>
      <c r="IK38" s="510"/>
      <c r="IL38" s="587"/>
      <c r="IM38" s="510"/>
      <c r="IN38" s="510"/>
      <c r="IO38" s="510"/>
      <c r="IP38" s="588"/>
      <c r="IQ38" s="588"/>
      <c r="IR38" s="510"/>
      <c r="IS38" s="587"/>
      <c r="IT38" s="510"/>
      <c r="IU38" s="510"/>
      <c r="IV38" s="510"/>
    </row>
    <row r="39" spans="1:256" ht="12.75">
      <c r="A39" s="32" t="s">
        <v>325</v>
      </c>
      <c r="B39" s="248">
        <v>4106</v>
      </c>
      <c r="C39" s="248">
        <v>346</v>
      </c>
      <c r="D39" s="248"/>
      <c r="E39" s="16"/>
      <c r="F39" s="16"/>
      <c r="G39" s="248"/>
      <c r="H39" s="583"/>
      <c r="I39" s="580"/>
      <c r="J39" s="580"/>
      <c r="K39" s="580"/>
      <c r="L39" s="581"/>
      <c r="M39" s="581"/>
      <c r="N39" s="580"/>
      <c r="O39" s="583"/>
      <c r="P39" s="580"/>
      <c r="Q39" s="580"/>
      <c r="R39" s="580"/>
      <c r="S39" s="581"/>
      <c r="T39" s="581"/>
      <c r="U39" s="580"/>
      <c r="V39" s="583"/>
      <c r="W39" s="580"/>
      <c r="X39" s="580"/>
      <c r="Y39" s="580"/>
      <c r="Z39" s="581"/>
      <c r="AA39" s="581"/>
      <c r="AB39" s="580"/>
      <c r="AC39" s="583"/>
      <c r="AD39" s="580"/>
      <c r="AE39" s="580"/>
      <c r="AF39" s="580"/>
      <c r="AG39" s="581"/>
      <c r="AH39" s="581"/>
      <c r="AI39" s="580"/>
      <c r="AJ39" s="583"/>
      <c r="AK39" s="580"/>
      <c r="AL39" s="580"/>
      <c r="AM39" s="580"/>
      <c r="AN39" s="581"/>
      <c r="AO39" s="581"/>
      <c r="AP39" s="580"/>
      <c r="AQ39" s="583"/>
      <c r="AR39" s="580"/>
      <c r="AS39" s="580"/>
      <c r="AT39" s="580"/>
      <c r="AU39" s="581"/>
      <c r="AV39" s="581"/>
      <c r="AW39" s="580"/>
      <c r="AX39" s="583"/>
      <c r="AY39" s="580"/>
      <c r="AZ39" s="580"/>
      <c r="BA39" s="580"/>
      <c r="BB39" s="581"/>
      <c r="BC39" s="581"/>
      <c r="BD39" s="580"/>
      <c r="BE39" s="583"/>
      <c r="BF39" s="580"/>
      <c r="BG39" s="580"/>
      <c r="BH39" s="580"/>
      <c r="BI39" s="581"/>
      <c r="BJ39" s="581"/>
      <c r="BK39" s="580"/>
      <c r="BL39" s="583"/>
      <c r="BM39" s="580"/>
      <c r="BN39" s="580"/>
      <c r="BO39" s="580"/>
      <c r="BP39" s="581"/>
      <c r="BQ39" s="581"/>
      <c r="BR39" s="580"/>
      <c r="BS39" s="583"/>
      <c r="BT39" s="580"/>
      <c r="BU39" s="580"/>
      <c r="BV39" s="580"/>
      <c r="BW39" s="581"/>
      <c r="BX39" s="581"/>
      <c r="BY39" s="580"/>
      <c r="BZ39" s="583"/>
      <c r="CA39" s="580"/>
      <c r="CB39" s="580"/>
      <c r="CC39" s="580"/>
      <c r="CD39" s="581"/>
      <c r="CE39" s="581"/>
      <c r="CF39" s="580"/>
      <c r="CG39" s="583"/>
      <c r="CH39" s="580"/>
      <c r="CI39" s="580"/>
      <c r="CJ39" s="580"/>
      <c r="CK39" s="581"/>
      <c r="CL39" s="581"/>
      <c r="CM39" s="580"/>
      <c r="CN39" s="583"/>
      <c r="CO39" s="580"/>
      <c r="CP39" s="580"/>
      <c r="CQ39" s="580"/>
      <c r="CR39" s="581"/>
      <c r="CS39" s="581"/>
      <c r="CT39" s="580"/>
      <c r="CU39" s="583"/>
      <c r="CV39" s="580"/>
      <c r="CW39" s="580"/>
      <c r="CX39" s="580"/>
      <c r="CY39" s="581"/>
      <c r="CZ39" s="581"/>
      <c r="DA39" s="580"/>
      <c r="DB39" s="583"/>
      <c r="DC39" s="580"/>
      <c r="DD39" s="580"/>
      <c r="DE39" s="580"/>
      <c r="DF39" s="581"/>
      <c r="DG39" s="581"/>
      <c r="DH39" s="580"/>
      <c r="DI39" s="583"/>
      <c r="DJ39" s="580"/>
      <c r="DK39" s="580"/>
      <c r="DL39" s="580"/>
      <c r="DM39" s="581"/>
      <c r="DN39" s="581"/>
      <c r="DO39" s="580"/>
      <c r="DP39" s="583"/>
      <c r="DQ39" s="580"/>
      <c r="DR39" s="580"/>
      <c r="DS39" s="580"/>
      <c r="DT39" s="581"/>
      <c r="DU39" s="581"/>
      <c r="DV39" s="580"/>
      <c r="DW39" s="583"/>
      <c r="DX39" s="580"/>
      <c r="DY39" s="580"/>
      <c r="DZ39" s="580"/>
      <c r="EA39" s="581"/>
      <c r="EB39" s="581"/>
      <c r="EC39" s="580"/>
      <c r="ED39" s="583"/>
      <c r="EE39" s="580"/>
      <c r="EF39" s="580"/>
      <c r="EG39" s="580"/>
      <c r="EH39" s="581"/>
      <c r="EI39" s="581"/>
      <c r="EJ39" s="580"/>
      <c r="EK39" s="583"/>
      <c r="EL39" s="580"/>
      <c r="EM39" s="580"/>
      <c r="EN39" s="580"/>
      <c r="EO39" s="581"/>
      <c r="EP39" s="581"/>
      <c r="EQ39" s="580"/>
      <c r="ER39" s="583"/>
      <c r="ES39" s="580"/>
      <c r="ET39" s="580"/>
      <c r="EU39" s="580"/>
      <c r="EV39" s="581"/>
      <c r="EW39" s="581"/>
      <c r="EX39" s="580"/>
      <c r="EY39" s="583"/>
      <c r="EZ39" s="580"/>
      <c r="FA39" s="580"/>
      <c r="FB39" s="580"/>
      <c r="FC39" s="581"/>
      <c r="FD39" s="581"/>
      <c r="FE39" s="580"/>
      <c r="FF39" s="583"/>
      <c r="FG39" s="580"/>
      <c r="FH39" s="580"/>
      <c r="FI39" s="580"/>
      <c r="FJ39" s="581"/>
      <c r="FK39" s="581"/>
      <c r="FL39" s="580"/>
      <c r="FM39" s="583"/>
      <c r="FN39" s="580"/>
      <c r="FO39" s="580"/>
      <c r="FP39" s="580"/>
      <c r="FQ39" s="581"/>
      <c r="FR39" s="581"/>
      <c r="FS39" s="580"/>
      <c r="FT39" s="583"/>
      <c r="FU39" s="580"/>
      <c r="FV39" s="580"/>
      <c r="FW39" s="580"/>
      <c r="FX39" s="581"/>
      <c r="FY39" s="581"/>
      <c r="FZ39" s="580"/>
      <c r="GA39" s="583"/>
      <c r="GB39" s="580"/>
      <c r="GC39" s="580"/>
      <c r="GD39" s="580"/>
      <c r="GE39" s="581"/>
      <c r="GF39" s="581"/>
      <c r="GG39" s="580"/>
      <c r="GH39" s="583"/>
      <c r="GI39" s="580"/>
      <c r="GJ39" s="580"/>
      <c r="GK39" s="580"/>
      <c r="GL39" s="581"/>
      <c r="GM39" s="581"/>
      <c r="GN39" s="580"/>
      <c r="GO39" s="583"/>
      <c r="GP39" s="580"/>
      <c r="GQ39" s="580"/>
      <c r="GR39" s="580"/>
      <c r="GS39" s="581"/>
      <c r="GT39" s="581"/>
      <c r="GU39" s="580"/>
      <c r="GV39" s="583"/>
      <c r="GW39" s="580"/>
      <c r="GX39" s="580"/>
      <c r="GY39" s="580"/>
      <c r="GZ39" s="581"/>
      <c r="HA39" s="581"/>
      <c r="HB39" s="580"/>
      <c r="HC39" s="583"/>
      <c r="HD39" s="580"/>
      <c r="HE39" s="580"/>
      <c r="HF39" s="580"/>
      <c r="HG39" s="581"/>
      <c r="HH39" s="581"/>
      <c r="HI39" s="580"/>
      <c r="HJ39" s="583"/>
      <c r="HK39" s="580"/>
      <c r="HL39" s="580"/>
      <c r="HM39" s="580"/>
      <c r="HN39" s="581"/>
      <c r="HO39" s="581"/>
      <c r="HP39" s="580"/>
      <c r="HQ39" s="583"/>
      <c r="HR39" s="580"/>
      <c r="HS39" s="580"/>
      <c r="HT39" s="580"/>
      <c r="HU39" s="581"/>
      <c r="HV39" s="581"/>
      <c r="HW39" s="580"/>
      <c r="HX39" s="583"/>
      <c r="HY39" s="580"/>
      <c r="HZ39" s="580"/>
      <c r="IA39" s="580"/>
      <c r="IB39" s="581"/>
      <c r="IC39" s="581"/>
      <c r="ID39" s="580"/>
      <c r="IE39" s="583"/>
      <c r="IF39" s="580"/>
      <c r="IG39" s="580"/>
      <c r="IH39" s="580"/>
      <c r="II39" s="581"/>
      <c r="IJ39" s="581"/>
      <c r="IK39" s="580"/>
      <c r="IL39" s="583"/>
      <c r="IM39" s="580"/>
      <c r="IN39" s="580"/>
      <c r="IO39" s="580"/>
      <c r="IP39" s="581"/>
      <c r="IQ39" s="581"/>
      <c r="IR39" s="580"/>
      <c r="IS39" s="583"/>
      <c r="IT39" s="580"/>
      <c r="IU39" s="580"/>
      <c r="IV39" s="580"/>
    </row>
    <row r="40" spans="1:256" ht="12.75">
      <c r="A40" s="505" t="s">
        <v>272</v>
      </c>
      <c r="B40" s="475">
        <v>3271</v>
      </c>
      <c r="C40" s="475">
        <v>346</v>
      </c>
      <c r="D40" s="475"/>
      <c r="E40" s="506"/>
      <c r="F40" s="506"/>
      <c r="G40" s="475"/>
      <c r="H40" s="584"/>
      <c r="I40" s="585"/>
      <c r="J40" s="585"/>
      <c r="K40" s="585"/>
      <c r="L40" s="586"/>
      <c r="M40" s="586"/>
      <c r="N40" s="585"/>
      <c r="O40" s="584"/>
      <c r="P40" s="585"/>
      <c r="Q40" s="585"/>
      <c r="R40" s="585"/>
      <c r="S40" s="586"/>
      <c r="T40" s="586"/>
      <c r="U40" s="585"/>
      <c r="V40" s="584"/>
      <c r="W40" s="585"/>
      <c r="X40" s="585"/>
      <c r="Y40" s="585"/>
      <c r="Z40" s="586"/>
      <c r="AA40" s="586"/>
      <c r="AB40" s="585"/>
      <c r="AC40" s="584"/>
      <c r="AD40" s="585"/>
      <c r="AE40" s="585"/>
      <c r="AF40" s="585"/>
      <c r="AG40" s="586"/>
      <c r="AH40" s="586"/>
      <c r="AI40" s="585"/>
      <c r="AJ40" s="584"/>
      <c r="AK40" s="585"/>
      <c r="AL40" s="585"/>
      <c r="AM40" s="585"/>
      <c r="AN40" s="586"/>
      <c r="AO40" s="586"/>
      <c r="AP40" s="585"/>
      <c r="AQ40" s="584"/>
      <c r="AR40" s="585"/>
      <c r="AS40" s="585"/>
      <c r="AT40" s="585"/>
      <c r="AU40" s="586"/>
      <c r="AV40" s="586"/>
      <c r="AW40" s="585"/>
      <c r="AX40" s="584"/>
      <c r="AY40" s="585"/>
      <c r="AZ40" s="585"/>
      <c r="BA40" s="585"/>
      <c r="BB40" s="586"/>
      <c r="BC40" s="586"/>
      <c r="BD40" s="585"/>
      <c r="BE40" s="584"/>
      <c r="BF40" s="585"/>
      <c r="BG40" s="585"/>
      <c r="BH40" s="585"/>
      <c r="BI40" s="586"/>
      <c r="BJ40" s="586"/>
      <c r="BK40" s="585"/>
      <c r="BL40" s="584"/>
      <c r="BM40" s="585"/>
      <c r="BN40" s="585"/>
      <c r="BO40" s="585"/>
      <c r="BP40" s="586"/>
      <c r="BQ40" s="586"/>
      <c r="BR40" s="585"/>
      <c r="BS40" s="584"/>
      <c r="BT40" s="585"/>
      <c r="BU40" s="585"/>
      <c r="BV40" s="585"/>
      <c r="BW40" s="586"/>
      <c r="BX40" s="586"/>
      <c r="BY40" s="585"/>
      <c r="BZ40" s="584"/>
      <c r="CA40" s="585"/>
      <c r="CB40" s="585"/>
      <c r="CC40" s="585"/>
      <c r="CD40" s="586"/>
      <c r="CE40" s="586"/>
      <c r="CF40" s="585"/>
      <c r="CG40" s="584"/>
      <c r="CH40" s="585"/>
      <c r="CI40" s="585"/>
      <c r="CJ40" s="585"/>
      <c r="CK40" s="586"/>
      <c r="CL40" s="586"/>
      <c r="CM40" s="585"/>
      <c r="CN40" s="584"/>
      <c r="CO40" s="585"/>
      <c r="CP40" s="585"/>
      <c r="CQ40" s="585"/>
      <c r="CR40" s="586"/>
      <c r="CS40" s="586"/>
      <c r="CT40" s="585"/>
      <c r="CU40" s="584"/>
      <c r="CV40" s="585"/>
      <c r="CW40" s="585"/>
      <c r="CX40" s="585"/>
      <c r="CY40" s="586"/>
      <c r="CZ40" s="586"/>
      <c r="DA40" s="585"/>
      <c r="DB40" s="584"/>
      <c r="DC40" s="585"/>
      <c r="DD40" s="585"/>
      <c r="DE40" s="585"/>
      <c r="DF40" s="586"/>
      <c r="DG40" s="586"/>
      <c r="DH40" s="585"/>
      <c r="DI40" s="584"/>
      <c r="DJ40" s="585"/>
      <c r="DK40" s="585"/>
      <c r="DL40" s="585"/>
      <c r="DM40" s="586"/>
      <c r="DN40" s="586"/>
      <c r="DO40" s="585"/>
      <c r="DP40" s="584"/>
      <c r="DQ40" s="585"/>
      <c r="DR40" s="585"/>
      <c r="DS40" s="585"/>
      <c r="DT40" s="586"/>
      <c r="DU40" s="586"/>
      <c r="DV40" s="585"/>
      <c r="DW40" s="584"/>
      <c r="DX40" s="585"/>
      <c r="DY40" s="585"/>
      <c r="DZ40" s="585"/>
      <c r="EA40" s="586"/>
      <c r="EB40" s="586"/>
      <c r="EC40" s="585"/>
      <c r="ED40" s="584"/>
      <c r="EE40" s="585"/>
      <c r="EF40" s="585"/>
      <c r="EG40" s="585"/>
      <c r="EH40" s="586"/>
      <c r="EI40" s="586"/>
      <c r="EJ40" s="585"/>
      <c r="EK40" s="584"/>
      <c r="EL40" s="585"/>
      <c r="EM40" s="585"/>
      <c r="EN40" s="585"/>
      <c r="EO40" s="586"/>
      <c r="EP40" s="586"/>
      <c r="EQ40" s="585"/>
      <c r="ER40" s="584"/>
      <c r="ES40" s="585"/>
      <c r="ET40" s="585"/>
      <c r="EU40" s="585"/>
      <c r="EV40" s="586"/>
      <c r="EW40" s="586"/>
      <c r="EX40" s="585"/>
      <c r="EY40" s="584"/>
      <c r="EZ40" s="585"/>
      <c r="FA40" s="585"/>
      <c r="FB40" s="585"/>
      <c r="FC40" s="586"/>
      <c r="FD40" s="586"/>
      <c r="FE40" s="585"/>
      <c r="FF40" s="584"/>
      <c r="FG40" s="585"/>
      <c r="FH40" s="585"/>
      <c r="FI40" s="585"/>
      <c r="FJ40" s="586"/>
      <c r="FK40" s="586"/>
      <c r="FL40" s="585"/>
      <c r="FM40" s="584"/>
      <c r="FN40" s="585"/>
      <c r="FO40" s="585"/>
      <c r="FP40" s="585"/>
      <c r="FQ40" s="586"/>
      <c r="FR40" s="586"/>
      <c r="FS40" s="585"/>
      <c r="FT40" s="584"/>
      <c r="FU40" s="585"/>
      <c r="FV40" s="585"/>
      <c r="FW40" s="585"/>
      <c r="FX40" s="586"/>
      <c r="FY40" s="586"/>
      <c r="FZ40" s="585"/>
      <c r="GA40" s="584"/>
      <c r="GB40" s="585"/>
      <c r="GC40" s="585"/>
      <c r="GD40" s="585"/>
      <c r="GE40" s="586"/>
      <c r="GF40" s="586"/>
      <c r="GG40" s="585"/>
      <c r="GH40" s="584"/>
      <c r="GI40" s="585"/>
      <c r="GJ40" s="585"/>
      <c r="GK40" s="585"/>
      <c r="GL40" s="586"/>
      <c r="GM40" s="586"/>
      <c r="GN40" s="585"/>
      <c r="GO40" s="584"/>
      <c r="GP40" s="585"/>
      <c r="GQ40" s="585"/>
      <c r="GR40" s="585"/>
      <c r="GS40" s="586"/>
      <c r="GT40" s="586"/>
      <c r="GU40" s="585"/>
      <c r="GV40" s="584"/>
      <c r="GW40" s="585"/>
      <c r="GX40" s="585"/>
      <c r="GY40" s="585"/>
      <c r="GZ40" s="586"/>
      <c r="HA40" s="586"/>
      <c r="HB40" s="585"/>
      <c r="HC40" s="584"/>
      <c r="HD40" s="585"/>
      <c r="HE40" s="585"/>
      <c r="HF40" s="585"/>
      <c r="HG40" s="586"/>
      <c r="HH40" s="586"/>
      <c r="HI40" s="585"/>
      <c r="HJ40" s="584"/>
      <c r="HK40" s="585"/>
      <c r="HL40" s="585"/>
      <c r="HM40" s="585"/>
      <c r="HN40" s="586"/>
      <c r="HO40" s="586"/>
      <c r="HP40" s="585"/>
      <c r="HQ40" s="584"/>
      <c r="HR40" s="585"/>
      <c r="HS40" s="585"/>
      <c r="HT40" s="585"/>
      <c r="HU40" s="586"/>
      <c r="HV40" s="586"/>
      <c r="HW40" s="585"/>
      <c r="HX40" s="584"/>
      <c r="HY40" s="585"/>
      <c r="HZ40" s="585"/>
      <c r="IA40" s="585"/>
      <c r="IB40" s="586"/>
      <c r="IC40" s="586"/>
      <c r="ID40" s="585"/>
      <c r="IE40" s="584"/>
      <c r="IF40" s="585"/>
      <c r="IG40" s="585"/>
      <c r="IH40" s="585"/>
      <c r="II40" s="586"/>
      <c r="IJ40" s="586"/>
      <c r="IK40" s="585"/>
      <c r="IL40" s="584"/>
      <c r="IM40" s="585"/>
      <c r="IN40" s="585"/>
      <c r="IO40" s="585"/>
      <c r="IP40" s="586"/>
      <c r="IQ40" s="586"/>
      <c r="IR40" s="585"/>
      <c r="IS40" s="584"/>
      <c r="IT40" s="585"/>
      <c r="IU40" s="585"/>
      <c r="IV40" s="585"/>
    </row>
    <row r="41" spans="1:256" ht="12.75">
      <c r="A41" s="473" t="s">
        <v>269</v>
      </c>
      <c r="B41" s="507">
        <v>150</v>
      </c>
      <c r="C41" s="507">
        <v>17</v>
      </c>
      <c r="D41" s="507"/>
      <c r="E41" s="40"/>
      <c r="F41" s="40"/>
      <c r="G41" s="507"/>
      <c r="H41" s="587"/>
      <c r="I41" s="510"/>
      <c r="J41" s="510"/>
      <c r="K41" s="510"/>
      <c r="L41" s="588"/>
      <c r="M41" s="588"/>
      <c r="N41" s="510"/>
      <c r="O41" s="587"/>
      <c r="P41" s="510"/>
      <c r="Q41" s="510"/>
      <c r="R41" s="510"/>
      <c r="S41" s="588"/>
      <c r="T41" s="588"/>
      <c r="U41" s="510"/>
      <c r="V41" s="587"/>
      <c r="W41" s="510"/>
      <c r="X41" s="510"/>
      <c r="Y41" s="510"/>
      <c r="Z41" s="588"/>
      <c r="AA41" s="588"/>
      <c r="AB41" s="510"/>
      <c r="AC41" s="587"/>
      <c r="AD41" s="510"/>
      <c r="AE41" s="510"/>
      <c r="AF41" s="510"/>
      <c r="AG41" s="588"/>
      <c r="AH41" s="588"/>
      <c r="AI41" s="510"/>
      <c r="AJ41" s="587"/>
      <c r="AK41" s="510"/>
      <c r="AL41" s="510"/>
      <c r="AM41" s="510"/>
      <c r="AN41" s="588"/>
      <c r="AO41" s="588"/>
      <c r="AP41" s="510"/>
      <c r="AQ41" s="587"/>
      <c r="AR41" s="510"/>
      <c r="AS41" s="510"/>
      <c r="AT41" s="510"/>
      <c r="AU41" s="588"/>
      <c r="AV41" s="588"/>
      <c r="AW41" s="510"/>
      <c r="AX41" s="587"/>
      <c r="AY41" s="510"/>
      <c r="AZ41" s="510"/>
      <c r="BA41" s="510"/>
      <c r="BB41" s="588"/>
      <c r="BC41" s="588"/>
      <c r="BD41" s="510"/>
      <c r="BE41" s="587"/>
      <c r="BF41" s="510"/>
      <c r="BG41" s="510"/>
      <c r="BH41" s="510"/>
      <c r="BI41" s="588"/>
      <c r="BJ41" s="588"/>
      <c r="BK41" s="510"/>
      <c r="BL41" s="587"/>
      <c r="BM41" s="510"/>
      <c r="BN41" s="510"/>
      <c r="BO41" s="510"/>
      <c r="BP41" s="588"/>
      <c r="BQ41" s="588"/>
      <c r="BR41" s="510"/>
      <c r="BS41" s="587"/>
      <c r="BT41" s="510"/>
      <c r="BU41" s="510"/>
      <c r="BV41" s="510"/>
      <c r="BW41" s="588"/>
      <c r="BX41" s="588"/>
      <c r="BY41" s="510"/>
      <c r="BZ41" s="587"/>
      <c r="CA41" s="510"/>
      <c r="CB41" s="510"/>
      <c r="CC41" s="510"/>
      <c r="CD41" s="588"/>
      <c r="CE41" s="588"/>
      <c r="CF41" s="510"/>
      <c r="CG41" s="587"/>
      <c r="CH41" s="510"/>
      <c r="CI41" s="510"/>
      <c r="CJ41" s="510"/>
      <c r="CK41" s="588"/>
      <c r="CL41" s="588"/>
      <c r="CM41" s="510"/>
      <c r="CN41" s="587"/>
      <c r="CO41" s="510"/>
      <c r="CP41" s="510"/>
      <c r="CQ41" s="510"/>
      <c r="CR41" s="588"/>
      <c r="CS41" s="588"/>
      <c r="CT41" s="510"/>
      <c r="CU41" s="587"/>
      <c r="CV41" s="510"/>
      <c r="CW41" s="510"/>
      <c r="CX41" s="510"/>
      <c r="CY41" s="588"/>
      <c r="CZ41" s="588"/>
      <c r="DA41" s="510"/>
      <c r="DB41" s="587"/>
      <c r="DC41" s="510"/>
      <c r="DD41" s="510"/>
      <c r="DE41" s="510"/>
      <c r="DF41" s="588"/>
      <c r="DG41" s="588"/>
      <c r="DH41" s="510"/>
      <c r="DI41" s="587"/>
      <c r="DJ41" s="510"/>
      <c r="DK41" s="510"/>
      <c r="DL41" s="510"/>
      <c r="DM41" s="588"/>
      <c r="DN41" s="588"/>
      <c r="DO41" s="510"/>
      <c r="DP41" s="587"/>
      <c r="DQ41" s="510"/>
      <c r="DR41" s="510"/>
      <c r="DS41" s="510"/>
      <c r="DT41" s="588"/>
      <c r="DU41" s="588"/>
      <c r="DV41" s="510"/>
      <c r="DW41" s="587"/>
      <c r="DX41" s="510"/>
      <c r="DY41" s="510"/>
      <c r="DZ41" s="510"/>
      <c r="EA41" s="588"/>
      <c r="EB41" s="588"/>
      <c r="EC41" s="510"/>
      <c r="ED41" s="587"/>
      <c r="EE41" s="510"/>
      <c r="EF41" s="510"/>
      <c r="EG41" s="510"/>
      <c r="EH41" s="588"/>
      <c r="EI41" s="588"/>
      <c r="EJ41" s="510"/>
      <c r="EK41" s="587"/>
      <c r="EL41" s="510"/>
      <c r="EM41" s="510"/>
      <c r="EN41" s="510"/>
      <c r="EO41" s="588"/>
      <c r="EP41" s="588"/>
      <c r="EQ41" s="510"/>
      <c r="ER41" s="587"/>
      <c r="ES41" s="510"/>
      <c r="ET41" s="510"/>
      <c r="EU41" s="510"/>
      <c r="EV41" s="588"/>
      <c r="EW41" s="588"/>
      <c r="EX41" s="510"/>
      <c r="EY41" s="587"/>
      <c r="EZ41" s="510"/>
      <c r="FA41" s="510"/>
      <c r="FB41" s="510"/>
      <c r="FC41" s="588"/>
      <c r="FD41" s="588"/>
      <c r="FE41" s="510"/>
      <c r="FF41" s="587"/>
      <c r="FG41" s="510"/>
      <c r="FH41" s="510"/>
      <c r="FI41" s="510"/>
      <c r="FJ41" s="588"/>
      <c r="FK41" s="588"/>
      <c r="FL41" s="510"/>
      <c r="FM41" s="587"/>
      <c r="FN41" s="510"/>
      <c r="FO41" s="510"/>
      <c r="FP41" s="510"/>
      <c r="FQ41" s="588"/>
      <c r="FR41" s="588"/>
      <c r="FS41" s="510"/>
      <c r="FT41" s="587"/>
      <c r="FU41" s="510"/>
      <c r="FV41" s="510"/>
      <c r="FW41" s="510"/>
      <c r="FX41" s="588"/>
      <c r="FY41" s="588"/>
      <c r="FZ41" s="510"/>
      <c r="GA41" s="587"/>
      <c r="GB41" s="510"/>
      <c r="GC41" s="510"/>
      <c r="GD41" s="510"/>
      <c r="GE41" s="588"/>
      <c r="GF41" s="588"/>
      <c r="GG41" s="510"/>
      <c r="GH41" s="587"/>
      <c r="GI41" s="510"/>
      <c r="GJ41" s="510"/>
      <c r="GK41" s="510"/>
      <c r="GL41" s="588"/>
      <c r="GM41" s="588"/>
      <c r="GN41" s="510"/>
      <c r="GO41" s="587"/>
      <c r="GP41" s="510"/>
      <c r="GQ41" s="510"/>
      <c r="GR41" s="510"/>
      <c r="GS41" s="588"/>
      <c r="GT41" s="588"/>
      <c r="GU41" s="510"/>
      <c r="GV41" s="587"/>
      <c r="GW41" s="510"/>
      <c r="GX41" s="510"/>
      <c r="GY41" s="510"/>
      <c r="GZ41" s="588"/>
      <c r="HA41" s="588"/>
      <c r="HB41" s="510"/>
      <c r="HC41" s="587"/>
      <c r="HD41" s="510"/>
      <c r="HE41" s="510"/>
      <c r="HF41" s="510"/>
      <c r="HG41" s="588"/>
      <c r="HH41" s="588"/>
      <c r="HI41" s="510"/>
      <c r="HJ41" s="587"/>
      <c r="HK41" s="510"/>
      <c r="HL41" s="510"/>
      <c r="HM41" s="510"/>
      <c r="HN41" s="588"/>
      <c r="HO41" s="588"/>
      <c r="HP41" s="510"/>
      <c r="HQ41" s="587"/>
      <c r="HR41" s="510"/>
      <c r="HS41" s="510"/>
      <c r="HT41" s="510"/>
      <c r="HU41" s="588"/>
      <c r="HV41" s="588"/>
      <c r="HW41" s="510"/>
      <c r="HX41" s="587"/>
      <c r="HY41" s="510"/>
      <c r="HZ41" s="510"/>
      <c r="IA41" s="510"/>
      <c r="IB41" s="588"/>
      <c r="IC41" s="588"/>
      <c r="ID41" s="510"/>
      <c r="IE41" s="587"/>
      <c r="IF41" s="510"/>
      <c r="IG41" s="510"/>
      <c r="IH41" s="510"/>
      <c r="II41" s="588"/>
      <c r="IJ41" s="588"/>
      <c r="IK41" s="510"/>
      <c r="IL41" s="587"/>
      <c r="IM41" s="510"/>
      <c r="IN41" s="510"/>
      <c r="IO41" s="510"/>
      <c r="IP41" s="588"/>
      <c r="IQ41" s="588"/>
      <c r="IR41" s="510"/>
      <c r="IS41" s="587"/>
      <c r="IT41" s="510"/>
      <c r="IU41" s="510"/>
      <c r="IV41" s="510"/>
    </row>
    <row r="42" spans="1:256" ht="12.75">
      <c r="A42" s="473" t="s">
        <v>270</v>
      </c>
      <c r="B42" s="507">
        <v>3121</v>
      </c>
      <c r="C42" s="507">
        <v>329</v>
      </c>
      <c r="D42" s="507"/>
      <c r="E42" s="40"/>
      <c r="F42" s="40"/>
      <c r="G42" s="507"/>
      <c r="H42" s="587"/>
      <c r="I42" s="510"/>
      <c r="J42" s="510"/>
      <c r="K42" s="510"/>
      <c r="L42" s="588"/>
      <c r="M42" s="588"/>
      <c r="N42" s="510"/>
      <c r="O42" s="587"/>
      <c r="P42" s="510"/>
      <c r="Q42" s="510"/>
      <c r="R42" s="510"/>
      <c r="S42" s="588"/>
      <c r="T42" s="588"/>
      <c r="U42" s="510"/>
      <c r="V42" s="587"/>
      <c r="W42" s="510"/>
      <c r="X42" s="510"/>
      <c r="Y42" s="510"/>
      <c r="Z42" s="588"/>
      <c r="AA42" s="588"/>
      <c r="AB42" s="510"/>
      <c r="AC42" s="587"/>
      <c r="AD42" s="510"/>
      <c r="AE42" s="510"/>
      <c r="AF42" s="510"/>
      <c r="AG42" s="588"/>
      <c r="AH42" s="588"/>
      <c r="AI42" s="510"/>
      <c r="AJ42" s="587"/>
      <c r="AK42" s="510"/>
      <c r="AL42" s="510"/>
      <c r="AM42" s="510"/>
      <c r="AN42" s="588"/>
      <c r="AO42" s="588"/>
      <c r="AP42" s="510"/>
      <c r="AQ42" s="587"/>
      <c r="AR42" s="510"/>
      <c r="AS42" s="510"/>
      <c r="AT42" s="510"/>
      <c r="AU42" s="588"/>
      <c r="AV42" s="588"/>
      <c r="AW42" s="510"/>
      <c r="AX42" s="587"/>
      <c r="AY42" s="510"/>
      <c r="AZ42" s="510"/>
      <c r="BA42" s="510"/>
      <c r="BB42" s="588"/>
      <c r="BC42" s="588"/>
      <c r="BD42" s="510"/>
      <c r="BE42" s="587"/>
      <c r="BF42" s="510"/>
      <c r="BG42" s="510"/>
      <c r="BH42" s="510"/>
      <c r="BI42" s="588"/>
      <c r="BJ42" s="588"/>
      <c r="BK42" s="510"/>
      <c r="BL42" s="587"/>
      <c r="BM42" s="510"/>
      <c r="BN42" s="510"/>
      <c r="BO42" s="510"/>
      <c r="BP42" s="588"/>
      <c r="BQ42" s="588"/>
      <c r="BR42" s="510"/>
      <c r="BS42" s="587"/>
      <c r="BT42" s="510"/>
      <c r="BU42" s="510"/>
      <c r="BV42" s="510"/>
      <c r="BW42" s="588"/>
      <c r="BX42" s="588"/>
      <c r="BY42" s="510"/>
      <c r="BZ42" s="587"/>
      <c r="CA42" s="510"/>
      <c r="CB42" s="510"/>
      <c r="CC42" s="510"/>
      <c r="CD42" s="588"/>
      <c r="CE42" s="588"/>
      <c r="CF42" s="510"/>
      <c r="CG42" s="587"/>
      <c r="CH42" s="510"/>
      <c r="CI42" s="510"/>
      <c r="CJ42" s="510"/>
      <c r="CK42" s="588"/>
      <c r="CL42" s="588"/>
      <c r="CM42" s="510"/>
      <c r="CN42" s="587"/>
      <c r="CO42" s="510"/>
      <c r="CP42" s="510"/>
      <c r="CQ42" s="510"/>
      <c r="CR42" s="588"/>
      <c r="CS42" s="588"/>
      <c r="CT42" s="510"/>
      <c r="CU42" s="587"/>
      <c r="CV42" s="510"/>
      <c r="CW42" s="510"/>
      <c r="CX42" s="510"/>
      <c r="CY42" s="588"/>
      <c r="CZ42" s="588"/>
      <c r="DA42" s="510"/>
      <c r="DB42" s="587"/>
      <c r="DC42" s="510"/>
      <c r="DD42" s="510"/>
      <c r="DE42" s="510"/>
      <c r="DF42" s="588"/>
      <c r="DG42" s="588"/>
      <c r="DH42" s="510"/>
      <c r="DI42" s="587"/>
      <c r="DJ42" s="510"/>
      <c r="DK42" s="510"/>
      <c r="DL42" s="510"/>
      <c r="DM42" s="588"/>
      <c r="DN42" s="588"/>
      <c r="DO42" s="510"/>
      <c r="DP42" s="587"/>
      <c r="DQ42" s="510"/>
      <c r="DR42" s="510"/>
      <c r="DS42" s="510"/>
      <c r="DT42" s="588"/>
      <c r="DU42" s="588"/>
      <c r="DV42" s="510"/>
      <c r="DW42" s="587"/>
      <c r="DX42" s="510"/>
      <c r="DY42" s="510"/>
      <c r="DZ42" s="510"/>
      <c r="EA42" s="588"/>
      <c r="EB42" s="588"/>
      <c r="EC42" s="510"/>
      <c r="ED42" s="587"/>
      <c r="EE42" s="510"/>
      <c r="EF42" s="510"/>
      <c r="EG42" s="510"/>
      <c r="EH42" s="588"/>
      <c r="EI42" s="588"/>
      <c r="EJ42" s="510"/>
      <c r="EK42" s="587"/>
      <c r="EL42" s="510"/>
      <c r="EM42" s="510"/>
      <c r="EN42" s="510"/>
      <c r="EO42" s="588"/>
      <c r="EP42" s="588"/>
      <c r="EQ42" s="510"/>
      <c r="ER42" s="587"/>
      <c r="ES42" s="510"/>
      <c r="ET42" s="510"/>
      <c r="EU42" s="510"/>
      <c r="EV42" s="588"/>
      <c r="EW42" s="588"/>
      <c r="EX42" s="510"/>
      <c r="EY42" s="587"/>
      <c r="EZ42" s="510"/>
      <c r="FA42" s="510"/>
      <c r="FB42" s="510"/>
      <c r="FC42" s="588"/>
      <c r="FD42" s="588"/>
      <c r="FE42" s="510"/>
      <c r="FF42" s="587"/>
      <c r="FG42" s="510"/>
      <c r="FH42" s="510"/>
      <c r="FI42" s="510"/>
      <c r="FJ42" s="588"/>
      <c r="FK42" s="588"/>
      <c r="FL42" s="510"/>
      <c r="FM42" s="587"/>
      <c r="FN42" s="510"/>
      <c r="FO42" s="510"/>
      <c r="FP42" s="510"/>
      <c r="FQ42" s="588"/>
      <c r="FR42" s="588"/>
      <c r="FS42" s="510"/>
      <c r="FT42" s="587"/>
      <c r="FU42" s="510"/>
      <c r="FV42" s="510"/>
      <c r="FW42" s="510"/>
      <c r="FX42" s="588"/>
      <c r="FY42" s="588"/>
      <c r="FZ42" s="510"/>
      <c r="GA42" s="587"/>
      <c r="GB42" s="510"/>
      <c r="GC42" s="510"/>
      <c r="GD42" s="510"/>
      <c r="GE42" s="588"/>
      <c r="GF42" s="588"/>
      <c r="GG42" s="510"/>
      <c r="GH42" s="587"/>
      <c r="GI42" s="510"/>
      <c r="GJ42" s="510"/>
      <c r="GK42" s="510"/>
      <c r="GL42" s="588"/>
      <c r="GM42" s="588"/>
      <c r="GN42" s="510"/>
      <c r="GO42" s="587"/>
      <c r="GP42" s="510"/>
      <c r="GQ42" s="510"/>
      <c r="GR42" s="510"/>
      <c r="GS42" s="588"/>
      <c r="GT42" s="588"/>
      <c r="GU42" s="510"/>
      <c r="GV42" s="587"/>
      <c r="GW42" s="510"/>
      <c r="GX42" s="510"/>
      <c r="GY42" s="510"/>
      <c r="GZ42" s="588"/>
      <c r="HA42" s="588"/>
      <c r="HB42" s="510"/>
      <c r="HC42" s="587"/>
      <c r="HD42" s="510"/>
      <c r="HE42" s="510"/>
      <c r="HF42" s="510"/>
      <c r="HG42" s="588"/>
      <c r="HH42" s="588"/>
      <c r="HI42" s="510"/>
      <c r="HJ42" s="587"/>
      <c r="HK42" s="510"/>
      <c r="HL42" s="510"/>
      <c r="HM42" s="510"/>
      <c r="HN42" s="588"/>
      <c r="HO42" s="588"/>
      <c r="HP42" s="510"/>
      <c r="HQ42" s="587"/>
      <c r="HR42" s="510"/>
      <c r="HS42" s="510"/>
      <c r="HT42" s="510"/>
      <c r="HU42" s="588"/>
      <c r="HV42" s="588"/>
      <c r="HW42" s="510"/>
      <c r="HX42" s="587"/>
      <c r="HY42" s="510"/>
      <c r="HZ42" s="510"/>
      <c r="IA42" s="510"/>
      <c r="IB42" s="588"/>
      <c r="IC42" s="588"/>
      <c r="ID42" s="510"/>
      <c r="IE42" s="587"/>
      <c r="IF42" s="510"/>
      <c r="IG42" s="510"/>
      <c r="IH42" s="510"/>
      <c r="II42" s="588"/>
      <c r="IJ42" s="588"/>
      <c r="IK42" s="510"/>
      <c r="IL42" s="587"/>
      <c r="IM42" s="510"/>
      <c r="IN42" s="510"/>
      <c r="IO42" s="510"/>
      <c r="IP42" s="588"/>
      <c r="IQ42" s="588"/>
      <c r="IR42" s="510"/>
      <c r="IS42" s="587"/>
      <c r="IT42" s="510"/>
      <c r="IU42" s="510"/>
      <c r="IV42" s="510"/>
    </row>
    <row r="43" spans="1:256" ht="12.75">
      <c r="A43" s="505" t="s">
        <v>273</v>
      </c>
      <c r="B43" s="475">
        <v>835</v>
      </c>
      <c r="C43" s="475"/>
      <c r="D43" s="475"/>
      <c r="E43" s="506"/>
      <c r="F43" s="506"/>
      <c r="G43" s="475"/>
      <c r="H43" s="584"/>
      <c r="I43" s="585"/>
      <c r="J43" s="585"/>
      <c r="K43" s="585"/>
      <c r="L43" s="586"/>
      <c r="M43" s="586"/>
      <c r="N43" s="585"/>
      <c r="O43" s="584"/>
      <c r="P43" s="585"/>
      <c r="Q43" s="585"/>
      <c r="R43" s="585"/>
      <c r="S43" s="586"/>
      <c r="T43" s="586"/>
      <c r="U43" s="585"/>
      <c r="V43" s="584"/>
      <c r="W43" s="585"/>
      <c r="X43" s="585"/>
      <c r="Y43" s="585"/>
      <c r="Z43" s="586"/>
      <c r="AA43" s="586"/>
      <c r="AB43" s="585"/>
      <c r="AC43" s="584"/>
      <c r="AD43" s="585"/>
      <c r="AE43" s="585"/>
      <c r="AF43" s="585"/>
      <c r="AG43" s="586"/>
      <c r="AH43" s="586"/>
      <c r="AI43" s="585"/>
      <c r="AJ43" s="584"/>
      <c r="AK43" s="585"/>
      <c r="AL43" s="585"/>
      <c r="AM43" s="585"/>
      <c r="AN43" s="586"/>
      <c r="AO43" s="586"/>
      <c r="AP43" s="585"/>
      <c r="AQ43" s="584"/>
      <c r="AR43" s="585"/>
      <c r="AS43" s="585"/>
      <c r="AT43" s="585"/>
      <c r="AU43" s="586"/>
      <c r="AV43" s="586"/>
      <c r="AW43" s="585"/>
      <c r="AX43" s="584"/>
      <c r="AY43" s="585"/>
      <c r="AZ43" s="585"/>
      <c r="BA43" s="585"/>
      <c r="BB43" s="586"/>
      <c r="BC43" s="586"/>
      <c r="BD43" s="585"/>
      <c r="BE43" s="584"/>
      <c r="BF43" s="585"/>
      <c r="BG43" s="585"/>
      <c r="BH43" s="585"/>
      <c r="BI43" s="586"/>
      <c r="BJ43" s="586"/>
      <c r="BK43" s="585"/>
      <c r="BL43" s="584"/>
      <c r="BM43" s="585"/>
      <c r="BN43" s="585"/>
      <c r="BO43" s="585"/>
      <c r="BP43" s="586"/>
      <c r="BQ43" s="586"/>
      <c r="BR43" s="585"/>
      <c r="BS43" s="584"/>
      <c r="BT43" s="585"/>
      <c r="BU43" s="585"/>
      <c r="BV43" s="585"/>
      <c r="BW43" s="586"/>
      <c r="BX43" s="586"/>
      <c r="BY43" s="585"/>
      <c r="BZ43" s="584"/>
      <c r="CA43" s="585"/>
      <c r="CB43" s="585"/>
      <c r="CC43" s="585"/>
      <c r="CD43" s="586"/>
      <c r="CE43" s="586"/>
      <c r="CF43" s="585"/>
      <c r="CG43" s="584"/>
      <c r="CH43" s="585"/>
      <c r="CI43" s="585"/>
      <c r="CJ43" s="585"/>
      <c r="CK43" s="586"/>
      <c r="CL43" s="586"/>
      <c r="CM43" s="585"/>
      <c r="CN43" s="584"/>
      <c r="CO43" s="585"/>
      <c r="CP43" s="585"/>
      <c r="CQ43" s="585"/>
      <c r="CR43" s="586"/>
      <c r="CS43" s="586"/>
      <c r="CT43" s="585"/>
      <c r="CU43" s="584"/>
      <c r="CV43" s="585"/>
      <c r="CW43" s="585"/>
      <c r="CX43" s="585"/>
      <c r="CY43" s="586"/>
      <c r="CZ43" s="586"/>
      <c r="DA43" s="585"/>
      <c r="DB43" s="584"/>
      <c r="DC43" s="585"/>
      <c r="DD43" s="585"/>
      <c r="DE43" s="585"/>
      <c r="DF43" s="586"/>
      <c r="DG43" s="586"/>
      <c r="DH43" s="585"/>
      <c r="DI43" s="584"/>
      <c r="DJ43" s="585"/>
      <c r="DK43" s="585"/>
      <c r="DL43" s="585"/>
      <c r="DM43" s="586"/>
      <c r="DN43" s="586"/>
      <c r="DO43" s="585"/>
      <c r="DP43" s="584"/>
      <c r="DQ43" s="585"/>
      <c r="DR43" s="585"/>
      <c r="DS43" s="585"/>
      <c r="DT43" s="586"/>
      <c r="DU43" s="586"/>
      <c r="DV43" s="585"/>
      <c r="DW43" s="584"/>
      <c r="DX43" s="585"/>
      <c r="DY43" s="585"/>
      <c r="DZ43" s="585"/>
      <c r="EA43" s="586"/>
      <c r="EB43" s="586"/>
      <c r="EC43" s="585"/>
      <c r="ED43" s="584"/>
      <c r="EE43" s="585"/>
      <c r="EF43" s="585"/>
      <c r="EG43" s="585"/>
      <c r="EH43" s="586"/>
      <c r="EI43" s="586"/>
      <c r="EJ43" s="585"/>
      <c r="EK43" s="584"/>
      <c r="EL43" s="585"/>
      <c r="EM43" s="585"/>
      <c r="EN43" s="585"/>
      <c r="EO43" s="586"/>
      <c r="EP43" s="586"/>
      <c r="EQ43" s="585"/>
      <c r="ER43" s="584"/>
      <c r="ES43" s="585"/>
      <c r="ET43" s="585"/>
      <c r="EU43" s="585"/>
      <c r="EV43" s="586"/>
      <c r="EW43" s="586"/>
      <c r="EX43" s="585"/>
      <c r="EY43" s="584"/>
      <c r="EZ43" s="585"/>
      <c r="FA43" s="585"/>
      <c r="FB43" s="585"/>
      <c r="FC43" s="586"/>
      <c r="FD43" s="586"/>
      <c r="FE43" s="585"/>
      <c r="FF43" s="584"/>
      <c r="FG43" s="585"/>
      <c r="FH43" s="585"/>
      <c r="FI43" s="585"/>
      <c r="FJ43" s="586"/>
      <c r="FK43" s="586"/>
      <c r="FL43" s="585"/>
      <c r="FM43" s="584"/>
      <c r="FN43" s="585"/>
      <c r="FO43" s="585"/>
      <c r="FP43" s="585"/>
      <c r="FQ43" s="586"/>
      <c r="FR43" s="586"/>
      <c r="FS43" s="585"/>
      <c r="FT43" s="584"/>
      <c r="FU43" s="585"/>
      <c r="FV43" s="585"/>
      <c r="FW43" s="585"/>
      <c r="FX43" s="586"/>
      <c r="FY43" s="586"/>
      <c r="FZ43" s="585"/>
      <c r="GA43" s="584"/>
      <c r="GB43" s="585"/>
      <c r="GC43" s="585"/>
      <c r="GD43" s="585"/>
      <c r="GE43" s="586"/>
      <c r="GF43" s="586"/>
      <c r="GG43" s="585"/>
      <c r="GH43" s="584"/>
      <c r="GI43" s="585"/>
      <c r="GJ43" s="585"/>
      <c r="GK43" s="585"/>
      <c r="GL43" s="586"/>
      <c r="GM43" s="586"/>
      <c r="GN43" s="585"/>
      <c r="GO43" s="584"/>
      <c r="GP43" s="585"/>
      <c r="GQ43" s="585"/>
      <c r="GR43" s="585"/>
      <c r="GS43" s="586"/>
      <c r="GT43" s="586"/>
      <c r="GU43" s="585"/>
      <c r="GV43" s="584"/>
      <c r="GW43" s="585"/>
      <c r="GX43" s="585"/>
      <c r="GY43" s="585"/>
      <c r="GZ43" s="586"/>
      <c r="HA43" s="586"/>
      <c r="HB43" s="585"/>
      <c r="HC43" s="584"/>
      <c r="HD43" s="585"/>
      <c r="HE43" s="585"/>
      <c r="HF43" s="585"/>
      <c r="HG43" s="586"/>
      <c r="HH43" s="586"/>
      <c r="HI43" s="585"/>
      <c r="HJ43" s="584"/>
      <c r="HK43" s="585"/>
      <c r="HL43" s="585"/>
      <c r="HM43" s="585"/>
      <c r="HN43" s="586"/>
      <c r="HO43" s="586"/>
      <c r="HP43" s="585"/>
      <c r="HQ43" s="584"/>
      <c r="HR43" s="585"/>
      <c r="HS43" s="585"/>
      <c r="HT43" s="585"/>
      <c r="HU43" s="586"/>
      <c r="HV43" s="586"/>
      <c r="HW43" s="585"/>
      <c r="HX43" s="584"/>
      <c r="HY43" s="585"/>
      <c r="HZ43" s="585"/>
      <c r="IA43" s="585"/>
      <c r="IB43" s="586"/>
      <c r="IC43" s="586"/>
      <c r="ID43" s="585"/>
      <c r="IE43" s="584"/>
      <c r="IF43" s="585"/>
      <c r="IG43" s="585"/>
      <c r="IH43" s="585"/>
      <c r="II43" s="586"/>
      <c r="IJ43" s="586"/>
      <c r="IK43" s="585"/>
      <c r="IL43" s="584"/>
      <c r="IM43" s="585"/>
      <c r="IN43" s="585"/>
      <c r="IO43" s="585"/>
      <c r="IP43" s="586"/>
      <c r="IQ43" s="586"/>
      <c r="IR43" s="585"/>
      <c r="IS43" s="584"/>
      <c r="IT43" s="585"/>
      <c r="IU43" s="585"/>
      <c r="IV43" s="585"/>
    </row>
    <row r="44" spans="1:256" ht="12.75">
      <c r="A44" s="473" t="s">
        <v>269</v>
      </c>
      <c r="B44" s="507">
        <v>7</v>
      </c>
      <c r="C44" s="507"/>
      <c r="D44" s="507"/>
      <c r="E44" s="40"/>
      <c r="F44" s="40"/>
      <c r="G44" s="507"/>
      <c r="H44" s="587"/>
      <c r="I44" s="510"/>
      <c r="J44" s="510"/>
      <c r="K44" s="510"/>
      <c r="L44" s="588"/>
      <c r="M44" s="588"/>
      <c r="N44" s="510"/>
      <c r="O44" s="587"/>
      <c r="P44" s="510"/>
      <c r="Q44" s="510"/>
      <c r="R44" s="510"/>
      <c r="S44" s="588"/>
      <c r="T44" s="588"/>
      <c r="U44" s="510"/>
      <c r="V44" s="587"/>
      <c r="W44" s="510"/>
      <c r="X44" s="510"/>
      <c r="Y44" s="510"/>
      <c r="Z44" s="588"/>
      <c r="AA44" s="588"/>
      <c r="AB44" s="510"/>
      <c r="AC44" s="587"/>
      <c r="AD44" s="510"/>
      <c r="AE44" s="510"/>
      <c r="AF44" s="510"/>
      <c r="AG44" s="588"/>
      <c r="AH44" s="588"/>
      <c r="AI44" s="510"/>
      <c r="AJ44" s="587"/>
      <c r="AK44" s="510"/>
      <c r="AL44" s="510"/>
      <c r="AM44" s="510"/>
      <c r="AN44" s="588"/>
      <c r="AO44" s="588"/>
      <c r="AP44" s="510"/>
      <c r="AQ44" s="587"/>
      <c r="AR44" s="510"/>
      <c r="AS44" s="510"/>
      <c r="AT44" s="510"/>
      <c r="AU44" s="588"/>
      <c r="AV44" s="588"/>
      <c r="AW44" s="510"/>
      <c r="AX44" s="587"/>
      <c r="AY44" s="510"/>
      <c r="AZ44" s="510"/>
      <c r="BA44" s="510"/>
      <c r="BB44" s="588"/>
      <c r="BC44" s="588"/>
      <c r="BD44" s="510"/>
      <c r="BE44" s="587"/>
      <c r="BF44" s="510"/>
      <c r="BG44" s="510"/>
      <c r="BH44" s="510"/>
      <c r="BI44" s="588"/>
      <c r="BJ44" s="588"/>
      <c r="BK44" s="510"/>
      <c r="BL44" s="587"/>
      <c r="BM44" s="510"/>
      <c r="BN44" s="510"/>
      <c r="BO44" s="510"/>
      <c r="BP44" s="588"/>
      <c r="BQ44" s="588"/>
      <c r="BR44" s="510"/>
      <c r="BS44" s="587"/>
      <c r="BT44" s="510"/>
      <c r="BU44" s="510"/>
      <c r="BV44" s="510"/>
      <c r="BW44" s="588"/>
      <c r="BX44" s="588"/>
      <c r="BY44" s="510"/>
      <c r="BZ44" s="587"/>
      <c r="CA44" s="510"/>
      <c r="CB44" s="510"/>
      <c r="CC44" s="510"/>
      <c r="CD44" s="588"/>
      <c r="CE44" s="588"/>
      <c r="CF44" s="510"/>
      <c r="CG44" s="587"/>
      <c r="CH44" s="510"/>
      <c r="CI44" s="510"/>
      <c r="CJ44" s="510"/>
      <c r="CK44" s="588"/>
      <c r="CL44" s="588"/>
      <c r="CM44" s="510"/>
      <c r="CN44" s="587"/>
      <c r="CO44" s="510"/>
      <c r="CP44" s="510"/>
      <c r="CQ44" s="510"/>
      <c r="CR44" s="588"/>
      <c r="CS44" s="588"/>
      <c r="CT44" s="510"/>
      <c r="CU44" s="587"/>
      <c r="CV44" s="510"/>
      <c r="CW44" s="510"/>
      <c r="CX44" s="510"/>
      <c r="CY44" s="588"/>
      <c r="CZ44" s="588"/>
      <c r="DA44" s="510"/>
      <c r="DB44" s="587"/>
      <c r="DC44" s="510"/>
      <c r="DD44" s="510"/>
      <c r="DE44" s="510"/>
      <c r="DF44" s="588"/>
      <c r="DG44" s="588"/>
      <c r="DH44" s="510"/>
      <c r="DI44" s="587"/>
      <c r="DJ44" s="510"/>
      <c r="DK44" s="510"/>
      <c r="DL44" s="510"/>
      <c r="DM44" s="588"/>
      <c r="DN44" s="588"/>
      <c r="DO44" s="510"/>
      <c r="DP44" s="587"/>
      <c r="DQ44" s="510"/>
      <c r="DR44" s="510"/>
      <c r="DS44" s="510"/>
      <c r="DT44" s="588"/>
      <c r="DU44" s="588"/>
      <c r="DV44" s="510"/>
      <c r="DW44" s="587"/>
      <c r="DX44" s="510"/>
      <c r="DY44" s="510"/>
      <c r="DZ44" s="510"/>
      <c r="EA44" s="588"/>
      <c r="EB44" s="588"/>
      <c r="EC44" s="510"/>
      <c r="ED44" s="587"/>
      <c r="EE44" s="510"/>
      <c r="EF44" s="510"/>
      <c r="EG44" s="510"/>
      <c r="EH44" s="588"/>
      <c r="EI44" s="588"/>
      <c r="EJ44" s="510"/>
      <c r="EK44" s="587"/>
      <c r="EL44" s="510"/>
      <c r="EM44" s="510"/>
      <c r="EN44" s="510"/>
      <c r="EO44" s="588"/>
      <c r="EP44" s="588"/>
      <c r="EQ44" s="510"/>
      <c r="ER44" s="587"/>
      <c r="ES44" s="510"/>
      <c r="ET44" s="510"/>
      <c r="EU44" s="510"/>
      <c r="EV44" s="588"/>
      <c r="EW44" s="588"/>
      <c r="EX44" s="510"/>
      <c r="EY44" s="587"/>
      <c r="EZ44" s="510"/>
      <c r="FA44" s="510"/>
      <c r="FB44" s="510"/>
      <c r="FC44" s="588"/>
      <c r="FD44" s="588"/>
      <c r="FE44" s="510"/>
      <c r="FF44" s="587"/>
      <c r="FG44" s="510"/>
      <c r="FH44" s="510"/>
      <c r="FI44" s="510"/>
      <c r="FJ44" s="588"/>
      <c r="FK44" s="588"/>
      <c r="FL44" s="510"/>
      <c r="FM44" s="587"/>
      <c r="FN44" s="510"/>
      <c r="FO44" s="510"/>
      <c r="FP44" s="510"/>
      <c r="FQ44" s="588"/>
      <c r="FR44" s="588"/>
      <c r="FS44" s="510"/>
      <c r="FT44" s="587"/>
      <c r="FU44" s="510"/>
      <c r="FV44" s="510"/>
      <c r="FW44" s="510"/>
      <c r="FX44" s="588"/>
      <c r="FY44" s="588"/>
      <c r="FZ44" s="510"/>
      <c r="GA44" s="587"/>
      <c r="GB44" s="510"/>
      <c r="GC44" s="510"/>
      <c r="GD44" s="510"/>
      <c r="GE44" s="588"/>
      <c r="GF44" s="588"/>
      <c r="GG44" s="510"/>
      <c r="GH44" s="587"/>
      <c r="GI44" s="510"/>
      <c r="GJ44" s="510"/>
      <c r="GK44" s="510"/>
      <c r="GL44" s="588"/>
      <c r="GM44" s="588"/>
      <c r="GN44" s="510"/>
      <c r="GO44" s="587"/>
      <c r="GP44" s="510"/>
      <c r="GQ44" s="510"/>
      <c r="GR44" s="510"/>
      <c r="GS44" s="588"/>
      <c r="GT44" s="588"/>
      <c r="GU44" s="510"/>
      <c r="GV44" s="587"/>
      <c r="GW44" s="510"/>
      <c r="GX44" s="510"/>
      <c r="GY44" s="510"/>
      <c r="GZ44" s="588"/>
      <c r="HA44" s="588"/>
      <c r="HB44" s="510"/>
      <c r="HC44" s="587"/>
      <c r="HD44" s="510"/>
      <c r="HE44" s="510"/>
      <c r="HF44" s="510"/>
      <c r="HG44" s="588"/>
      <c r="HH44" s="588"/>
      <c r="HI44" s="510"/>
      <c r="HJ44" s="587"/>
      <c r="HK44" s="510"/>
      <c r="HL44" s="510"/>
      <c r="HM44" s="510"/>
      <c r="HN44" s="588"/>
      <c r="HO44" s="588"/>
      <c r="HP44" s="510"/>
      <c r="HQ44" s="587"/>
      <c r="HR44" s="510"/>
      <c r="HS44" s="510"/>
      <c r="HT44" s="510"/>
      <c r="HU44" s="588"/>
      <c r="HV44" s="588"/>
      <c r="HW44" s="510"/>
      <c r="HX44" s="587"/>
      <c r="HY44" s="510"/>
      <c r="HZ44" s="510"/>
      <c r="IA44" s="510"/>
      <c r="IB44" s="588"/>
      <c r="IC44" s="588"/>
      <c r="ID44" s="510"/>
      <c r="IE44" s="587"/>
      <c r="IF44" s="510"/>
      <c r="IG44" s="510"/>
      <c r="IH44" s="510"/>
      <c r="II44" s="588"/>
      <c r="IJ44" s="588"/>
      <c r="IK44" s="510"/>
      <c r="IL44" s="587"/>
      <c r="IM44" s="510"/>
      <c r="IN44" s="510"/>
      <c r="IO44" s="510"/>
      <c r="IP44" s="588"/>
      <c r="IQ44" s="588"/>
      <c r="IR44" s="510"/>
      <c r="IS44" s="587"/>
      <c r="IT44" s="510"/>
      <c r="IU44" s="510"/>
      <c r="IV44" s="510"/>
    </row>
    <row r="45" spans="1:256" ht="12.75">
      <c r="A45" s="473" t="s">
        <v>270</v>
      </c>
      <c r="B45" s="507">
        <v>828</v>
      </c>
      <c r="C45" s="507"/>
      <c r="D45" s="507"/>
      <c r="E45" s="40"/>
      <c r="F45" s="40"/>
      <c r="G45" s="507"/>
      <c r="H45" s="587"/>
      <c r="I45" s="510"/>
      <c r="J45" s="510"/>
      <c r="K45" s="510"/>
      <c r="L45" s="588"/>
      <c r="M45" s="588"/>
      <c r="N45" s="510"/>
      <c r="O45" s="587"/>
      <c r="P45" s="510"/>
      <c r="Q45" s="510"/>
      <c r="R45" s="510"/>
      <c r="S45" s="588"/>
      <c r="T45" s="588"/>
      <c r="U45" s="510"/>
      <c r="V45" s="587"/>
      <c r="W45" s="510"/>
      <c r="X45" s="510"/>
      <c r="Y45" s="510"/>
      <c r="Z45" s="588"/>
      <c r="AA45" s="588"/>
      <c r="AB45" s="510"/>
      <c r="AC45" s="587"/>
      <c r="AD45" s="510"/>
      <c r="AE45" s="510"/>
      <c r="AF45" s="510"/>
      <c r="AG45" s="588"/>
      <c r="AH45" s="588"/>
      <c r="AI45" s="510"/>
      <c r="AJ45" s="587"/>
      <c r="AK45" s="510"/>
      <c r="AL45" s="510"/>
      <c r="AM45" s="510"/>
      <c r="AN45" s="588"/>
      <c r="AO45" s="588"/>
      <c r="AP45" s="510"/>
      <c r="AQ45" s="587"/>
      <c r="AR45" s="510"/>
      <c r="AS45" s="510"/>
      <c r="AT45" s="510"/>
      <c r="AU45" s="588"/>
      <c r="AV45" s="588"/>
      <c r="AW45" s="510"/>
      <c r="AX45" s="587"/>
      <c r="AY45" s="510"/>
      <c r="AZ45" s="510"/>
      <c r="BA45" s="510"/>
      <c r="BB45" s="588"/>
      <c r="BC45" s="588"/>
      <c r="BD45" s="510"/>
      <c r="BE45" s="587"/>
      <c r="BF45" s="510"/>
      <c r="BG45" s="510"/>
      <c r="BH45" s="510"/>
      <c r="BI45" s="588"/>
      <c r="BJ45" s="588"/>
      <c r="BK45" s="510"/>
      <c r="BL45" s="587"/>
      <c r="BM45" s="510"/>
      <c r="BN45" s="510"/>
      <c r="BO45" s="510"/>
      <c r="BP45" s="588"/>
      <c r="BQ45" s="588"/>
      <c r="BR45" s="510"/>
      <c r="BS45" s="587"/>
      <c r="BT45" s="510"/>
      <c r="BU45" s="510"/>
      <c r="BV45" s="510"/>
      <c r="BW45" s="588"/>
      <c r="BX45" s="588"/>
      <c r="BY45" s="510"/>
      <c r="BZ45" s="587"/>
      <c r="CA45" s="510"/>
      <c r="CB45" s="510"/>
      <c r="CC45" s="510"/>
      <c r="CD45" s="588"/>
      <c r="CE45" s="588"/>
      <c r="CF45" s="510"/>
      <c r="CG45" s="587"/>
      <c r="CH45" s="510"/>
      <c r="CI45" s="510"/>
      <c r="CJ45" s="510"/>
      <c r="CK45" s="588"/>
      <c r="CL45" s="588"/>
      <c r="CM45" s="510"/>
      <c r="CN45" s="587"/>
      <c r="CO45" s="510"/>
      <c r="CP45" s="510"/>
      <c r="CQ45" s="510"/>
      <c r="CR45" s="588"/>
      <c r="CS45" s="588"/>
      <c r="CT45" s="510"/>
      <c r="CU45" s="587"/>
      <c r="CV45" s="510"/>
      <c r="CW45" s="510"/>
      <c r="CX45" s="510"/>
      <c r="CY45" s="588"/>
      <c r="CZ45" s="588"/>
      <c r="DA45" s="510"/>
      <c r="DB45" s="587"/>
      <c r="DC45" s="510"/>
      <c r="DD45" s="510"/>
      <c r="DE45" s="510"/>
      <c r="DF45" s="588"/>
      <c r="DG45" s="588"/>
      <c r="DH45" s="510"/>
      <c r="DI45" s="587"/>
      <c r="DJ45" s="510"/>
      <c r="DK45" s="510"/>
      <c r="DL45" s="510"/>
      <c r="DM45" s="588"/>
      <c r="DN45" s="588"/>
      <c r="DO45" s="510"/>
      <c r="DP45" s="587"/>
      <c r="DQ45" s="510"/>
      <c r="DR45" s="510"/>
      <c r="DS45" s="510"/>
      <c r="DT45" s="588"/>
      <c r="DU45" s="588"/>
      <c r="DV45" s="510"/>
      <c r="DW45" s="587"/>
      <c r="DX45" s="510"/>
      <c r="DY45" s="510"/>
      <c r="DZ45" s="510"/>
      <c r="EA45" s="588"/>
      <c r="EB45" s="588"/>
      <c r="EC45" s="510"/>
      <c r="ED45" s="587"/>
      <c r="EE45" s="510"/>
      <c r="EF45" s="510"/>
      <c r="EG45" s="510"/>
      <c r="EH45" s="588"/>
      <c r="EI45" s="588"/>
      <c r="EJ45" s="510"/>
      <c r="EK45" s="587"/>
      <c r="EL45" s="510"/>
      <c r="EM45" s="510"/>
      <c r="EN45" s="510"/>
      <c r="EO45" s="588"/>
      <c r="EP45" s="588"/>
      <c r="EQ45" s="510"/>
      <c r="ER45" s="587"/>
      <c r="ES45" s="510"/>
      <c r="ET45" s="510"/>
      <c r="EU45" s="510"/>
      <c r="EV45" s="588"/>
      <c r="EW45" s="588"/>
      <c r="EX45" s="510"/>
      <c r="EY45" s="587"/>
      <c r="EZ45" s="510"/>
      <c r="FA45" s="510"/>
      <c r="FB45" s="510"/>
      <c r="FC45" s="588"/>
      <c r="FD45" s="588"/>
      <c r="FE45" s="510"/>
      <c r="FF45" s="587"/>
      <c r="FG45" s="510"/>
      <c r="FH45" s="510"/>
      <c r="FI45" s="510"/>
      <c r="FJ45" s="588"/>
      <c r="FK45" s="588"/>
      <c r="FL45" s="510"/>
      <c r="FM45" s="587"/>
      <c r="FN45" s="510"/>
      <c r="FO45" s="510"/>
      <c r="FP45" s="510"/>
      <c r="FQ45" s="588"/>
      <c r="FR45" s="588"/>
      <c r="FS45" s="510"/>
      <c r="FT45" s="587"/>
      <c r="FU45" s="510"/>
      <c r="FV45" s="510"/>
      <c r="FW45" s="510"/>
      <c r="FX45" s="588"/>
      <c r="FY45" s="588"/>
      <c r="FZ45" s="510"/>
      <c r="GA45" s="587"/>
      <c r="GB45" s="510"/>
      <c r="GC45" s="510"/>
      <c r="GD45" s="510"/>
      <c r="GE45" s="588"/>
      <c r="GF45" s="588"/>
      <c r="GG45" s="510"/>
      <c r="GH45" s="587"/>
      <c r="GI45" s="510"/>
      <c r="GJ45" s="510"/>
      <c r="GK45" s="510"/>
      <c r="GL45" s="588"/>
      <c r="GM45" s="588"/>
      <c r="GN45" s="510"/>
      <c r="GO45" s="587"/>
      <c r="GP45" s="510"/>
      <c r="GQ45" s="510"/>
      <c r="GR45" s="510"/>
      <c r="GS45" s="588"/>
      <c r="GT45" s="588"/>
      <c r="GU45" s="510"/>
      <c r="GV45" s="587"/>
      <c r="GW45" s="510"/>
      <c r="GX45" s="510"/>
      <c r="GY45" s="510"/>
      <c r="GZ45" s="588"/>
      <c r="HA45" s="588"/>
      <c r="HB45" s="510"/>
      <c r="HC45" s="587"/>
      <c r="HD45" s="510"/>
      <c r="HE45" s="510"/>
      <c r="HF45" s="510"/>
      <c r="HG45" s="588"/>
      <c r="HH45" s="588"/>
      <c r="HI45" s="510"/>
      <c r="HJ45" s="587"/>
      <c r="HK45" s="510"/>
      <c r="HL45" s="510"/>
      <c r="HM45" s="510"/>
      <c r="HN45" s="588"/>
      <c r="HO45" s="588"/>
      <c r="HP45" s="510"/>
      <c r="HQ45" s="587"/>
      <c r="HR45" s="510"/>
      <c r="HS45" s="510"/>
      <c r="HT45" s="510"/>
      <c r="HU45" s="588"/>
      <c r="HV45" s="588"/>
      <c r="HW45" s="510"/>
      <c r="HX45" s="587"/>
      <c r="HY45" s="510"/>
      <c r="HZ45" s="510"/>
      <c r="IA45" s="510"/>
      <c r="IB45" s="588"/>
      <c r="IC45" s="588"/>
      <c r="ID45" s="510"/>
      <c r="IE45" s="587"/>
      <c r="IF45" s="510"/>
      <c r="IG45" s="510"/>
      <c r="IH45" s="510"/>
      <c r="II45" s="588"/>
      <c r="IJ45" s="588"/>
      <c r="IK45" s="510"/>
      <c r="IL45" s="587"/>
      <c r="IM45" s="510"/>
      <c r="IN45" s="510"/>
      <c r="IO45" s="510"/>
      <c r="IP45" s="588"/>
      <c r="IQ45" s="588"/>
      <c r="IR45" s="510"/>
      <c r="IS45" s="587"/>
      <c r="IT45" s="510"/>
      <c r="IU45" s="510"/>
      <c r="IV45" s="510"/>
    </row>
    <row r="46" spans="1:256" ht="12.75">
      <c r="A46" s="17" t="s">
        <v>326</v>
      </c>
      <c r="B46" s="248">
        <v>2907</v>
      </c>
      <c r="C46" s="248">
        <v>118</v>
      </c>
      <c r="D46" s="248">
        <v>16</v>
      </c>
      <c r="E46" s="16">
        <v>0.5503955968352253</v>
      </c>
      <c r="F46" s="16">
        <v>13.559322033898304</v>
      </c>
      <c r="G46" s="248">
        <v>16</v>
      </c>
      <c r="H46" s="589"/>
      <c r="I46" s="580"/>
      <c r="J46" s="580"/>
      <c r="K46" s="580"/>
      <c r="L46" s="581"/>
      <c r="M46" s="581"/>
      <c r="N46" s="580"/>
      <c r="O46" s="589"/>
      <c r="P46" s="580"/>
      <c r="Q46" s="580"/>
      <c r="R46" s="580"/>
      <c r="S46" s="581"/>
      <c r="T46" s="581"/>
      <c r="U46" s="580"/>
      <c r="V46" s="589"/>
      <c r="W46" s="580"/>
      <c r="X46" s="580"/>
      <c r="Y46" s="580"/>
      <c r="Z46" s="581"/>
      <c r="AA46" s="581"/>
      <c r="AB46" s="580"/>
      <c r="AC46" s="589"/>
      <c r="AD46" s="580"/>
      <c r="AE46" s="580"/>
      <c r="AF46" s="580"/>
      <c r="AG46" s="581"/>
      <c r="AH46" s="581"/>
      <c r="AI46" s="580"/>
      <c r="AJ46" s="589"/>
      <c r="AK46" s="580"/>
      <c r="AL46" s="580"/>
      <c r="AM46" s="580"/>
      <c r="AN46" s="581"/>
      <c r="AO46" s="581"/>
      <c r="AP46" s="580"/>
      <c r="AQ46" s="589"/>
      <c r="AR46" s="580"/>
      <c r="AS46" s="580"/>
      <c r="AT46" s="580"/>
      <c r="AU46" s="581"/>
      <c r="AV46" s="581"/>
      <c r="AW46" s="580"/>
      <c r="AX46" s="589"/>
      <c r="AY46" s="580"/>
      <c r="AZ46" s="580"/>
      <c r="BA46" s="580"/>
      <c r="BB46" s="581"/>
      <c r="BC46" s="581"/>
      <c r="BD46" s="580"/>
      <c r="BE46" s="589"/>
      <c r="BF46" s="580"/>
      <c r="BG46" s="580"/>
      <c r="BH46" s="580"/>
      <c r="BI46" s="581"/>
      <c r="BJ46" s="581"/>
      <c r="BK46" s="580"/>
      <c r="BL46" s="589"/>
      <c r="BM46" s="580"/>
      <c r="BN46" s="580"/>
      <c r="BO46" s="580"/>
      <c r="BP46" s="581"/>
      <c r="BQ46" s="581"/>
      <c r="BR46" s="580"/>
      <c r="BS46" s="589"/>
      <c r="BT46" s="580"/>
      <c r="BU46" s="580"/>
      <c r="BV46" s="580"/>
      <c r="BW46" s="581"/>
      <c r="BX46" s="581"/>
      <c r="BY46" s="580"/>
      <c r="BZ46" s="589"/>
      <c r="CA46" s="580"/>
      <c r="CB46" s="580"/>
      <c r="CC46" s="580"/>
      <c r="CD46" s="581"/>
      <c r="CE46" s="581"/>
      <c r="CF46" s="580"/>
      <c r="CG46" s="589"/>
      <c r="CH46" s="580"/>
      <c r="CI46" s="580"/>
      <c r="CJ46" s="580"/>
      <c r="CK46" s="581"/>
      <c r="CL46" s="581"/>
      <c r="CM46" s="580"/>
      <c r="CN46" s="589"/>
      <c r="CO46" s="580"/>
      <c r="CP46" s="580"/>
      <c r="CQ46" s="580"/>
      <c r="CR46" s="581"/>
      <c r="CS46" s="581"/>
      <c r="CT46" s="580"/>
      <c r="CU46" s="589"/>
      <c r="CV46" s="580"/>
      <c r="CW46" s="580"/>
      <c r="CX46" s="580"/>
      <c r="CY46" s="581"/>
      <c r="CZ46" s="581"/>
      <c r="DA46" s="580"/>
      <c r="DB46" s="589"/>
      <c r="DC46" s="580"/>
      <c r="DD46" s="580"/>
      <c r="DE46" s="580"/>
      <c r="DF46" s="581"/>
      <c r="DG46" s="581"/>
      <c r="DH46" s="580"/>
      <c r="DI46" s="589"/>
      <c r="DJ46" s="580"/>
      <c r="DK46" s="580"/>
      <c r="DL46" s="580"/>
      <c r="DM46" s="581"/>
      <c r="DN46" s="581"/>
      <c r="DO46" s="580"/>
      <c r="DP46" s="589"/>
      <c r="DQ46" s="580"/>
      <c r="DR46" s="580"/>
      <c r="DS46" s="580"/>
      <c r="DT46" s="581"/>
      <c r="DU46" s="581"/>
      <c r="DV46" s="580"/>
      <c r="DW46" s="589"/>
      <c r="DX46" s="580"/>
      <c r="DY46" s="580"/>
      <c r="DZ46" s="580"/>
      <c r="EA46" s="581"/>
      <c r="EB46" s="581"/>
      <c r="EC46" s="580"/>
      <c r="ED46" s="589"/>
      <c r="EE46" s="580"/>
      <c r="EF46" s="580"/>
      <c r="EG46" s="580"/>
      <c r="EH46" s="581"/>
      <c r="EI46" s="581"/>
      <c r="EJ46" s="580"/>
      <c r="EK46" s="589"/>
      <c r="EL46" s="580"/>
      <c r="EM46" s="580"/>
      <c r="EN46" s="580"/>
      <c r="EO46" s="581"/>
      <c r="EP46" s="581"/>
      <c r="EQ46" s="580"/>
      <c r="ER46" s="589"/>
      <c r="ES46" s="580"/>
      <c r="ET46" s="580"/>
      <c r="EU46" s="580"/>
      <c r="EV46" s="581"/>
      <c r="EW46" s="581"/>
      <c r="EX46" s="580"/>
      <c r="EY46" s="589"/>
      <c r="EZ46" s="580"/>
      <c r="FA46" s="580"/>
      <c r="FB46" s="580"/>
      <c r="FC46" s="581"/>
      <c r="FD46" s="581"/>
      <c r="FE46" s="580"/>
      <c r="FF46" s="589"/>
      <c r="FG46" s="580"/>
      <c r="FH46" s="580"/>
      <c r="FI46" s="580"/>
      <c r="FJ46" s="581"/>
      <c r="FK46" s="581"/>
      <c r="FL46" s="580"/>
      <c r="FM46" s="589"/>
      <c r="FN46" s="580"/>
      <c r="FO46" s="580"/>
      <c r="FP46" s="580"/>
      <c r="FQ46" s="581"/>
      <c r="FR46" s="581"/>
      <c r="FS46" s="580"/>
      <c r="FT46" s="589"/>
      <c r="FU46" s="580"/>
      <c r="FV46" s="580"/>
      <c r="FW46" s="580"/>
      <c r="FX46" s="581"/>
      <c r="FY46" s="581"/>
      <c r="FZ46" s="580"/>
      <c r="GA46" s="589"/>
      <c r="GB46" s="580"/>
      <c r="GC46" s="580"/>
      <c r="GD46" s="580"/>
      <c r="GE46" s="581"/>
      <c r="GF46" s="581"/>
      <c r="GG46" s="580"/>
      <c r="GH46" s="589"/>
      <c r="GI46" s="580"/>
      <c r="GJ46" s="580"/>
      <c r="GK46" s="580"/>
      <c r="GL46" s="581"/>
      <c r="GM46" s="581"/>
      <c r="GN46" s="580"/>
      <c r="GO46" s="589"/>
      <c r="GP46" s="580"/>
      <c r="GQ46" s="580"/>
      <c r="GR46" s="580"/>
      <c r="GS46" s="581"/>
      <c r="GT46" s="581"/>
      <c r="GU46" s="580"/>
      <c r="GV46" s="589"/>
      <c r="GW46" s="580"/>
      <c r="GX46" s="580"/>
      <c r="GY46" s="580"/>
      <c r="GZ46" s="581"/>
      <c r="HA46" s="581"/>
      <c r="HB46" s="580"/>
      <c r="HC46" s="589"/>
      <c r="HD46" s="580"/>
      <c r="HE46" s="580"/>
      <c r="HF46" s="580"/>
      <c r="HG46" s="581"/>
      <c r="HH46" s="581"/>
      <c r="HI46" s="580"/>
      <c r="HJ46" s="589"/>
      <c r="HK46" s="580"/>
      <c r="HL46" s="580"/>
      <c r="HM46" s="580"/>
      <c r="HN46" s="581"/>
      <c r="HO46" s="581"/>
      <c r="HP46" s="580"/>
      <c r="HQ46" s="589"/>
      <c r="HR46" s="580"/>
      <c r="HS46" s="580"/>
      <c r="HT46" s="580"/>
      <c r="HU46" s="581"/>
      <c r="HV46" s="581"/>
      <c r="HW46" s="580"/>
      <c r="HX46" s="589"/>
      <c r="HY46" s="580"/>
      <c r="HZ46" s="580"/>
      <c r="IA46" s="580"/>
      <c r="IB46" s="581"/>
      <c r="IC46" s="581"/>
      <c r="ID46" s="580"/>
      <c r="IE46" s="589"/>
      <c r="IF46" s="580"/>
      <c r="IG46" s="580"/>
      <c r="IH46" s="580"/>
      <c r="II46" s="581"/>
      <c r="IJ46" s="581"/>
      <c r="IK46" s="580"/>
      <c r="IL46" s="589"/>
      <c r="IM46" s="580"/>
      <c r="IN46" s="580"/>
      <c r="IO46" s="580"/>
      <c r="IP46" s="581"/>
      <c r="IQ46" s="581"/>
      <c r="IR46" s="580"/>
      <c r="IS46" s="589"/>
      <c r="IT46" s="580"/>
      <c r="IU46" s="580"/>
      <c r="IV46" s="580"/>
    </row>
    <row r="47" spans="1:256" ht="12.75">
      <c r="A47" s="505" t="s">
        <v>272</v>
      </c>
      <c r="B47" s="475">
        <v>1292</v>
      </c>
      <c r="C47" s="475">
        <v>57</v>
      </c>
      <c r="D47" s="475"/>
      <c r="E47" s="506"/>
      <c r="F47" s="506"/>
      <c r="G47" s="475"/>
      <c r="H47" s="584"/>
      <c r="I47" s="585"/>
      <c r="J47" s="585"/>
      <c r="K47" s="585"/>
      <c r="L47" s="586"/>
      <c r="M47" s="586"/>
      <c r="N47" s="585"/>
      <c r="O47" s="584"/>
      <c r="P47" s="585"/>
      <c r="Q47" s="585"/>
      <c r="R47" s="585"/>
      <c r="S47" s="586"/>
      <c r="T47" s="586"/>
      <c r="U47" s="585"/>
      <c r="V47" s="584"/>
      <c r="W47" s="585"/>
      <c r="X47" s="585"/>
      <c r="Y47" s="585"/>
      <c r="Z47" s="586"/>
      <c r="AA47" s="586"/>
      <c r="AB47" s="585"/>
      <c r="AC47" s="584"/>
      <c r="AD47" s="585"/>
      <c r="AE47" s="585"/>
      <c r="AF47" s="585"/>
      <c r="AG47" s="586"/>
      <c r="AH47" s="586"/>
      <c r="AI47" s="585"/>
      <c r="AJ47" s="584"/>
      <c r="AK47" s="585"/>
      <c r="AL47" s="585"/>
      <c r="AM47" s="585"/>
      <c r="AN47" s="586"/>
      <c r="AO47" s="586"/>
      <c r="AP47" s="585"/>
      <c r="AQ47" s="584"/>
      <c r="AR47" s="585"/>
      <c r="AS47" s="585"/>
      <c r="AT47" s="585"/>
      <c r="AU47" s="586"/>
      <c r="AV47" s="586"/>
      <c r="AW47" s="585"/>
      <c r="AX47" s="584"/>
      <c r="AY47" s="585"/>
      <c r="AZ47" s="585"/>
      <c r="BA47" s="585"/>
      <c r="BB47" s="586"/>
      <c r="BC47" s="586"/>
      <c r="BD47" s="585"/>
      <c r="BE47" s="584"/>
      <c r="BF47" s="585"/>
      <c r="BG47" s="585"/>
      <c r="BH47" s="585"/>
      <c r="BI47" s="586"/>
      <c r="BJ47" s="586"/>
      <c r="BK47" s="585"/>
      <c r="BL47" s="584"/>
      <c r="BM47" s="585"/>
      <c r="BN47" s="585"/>
      <c r="BO47" s="585"/>
      <c r="BP47" s="586"/>
      <c r="BQ47" s="586"/>
      <c r="BR47" s="585"/>
      <c r="BS47" s="584"/>
      <c r="BT47" s="585"/>
      <c r="BU47" s="585"/>
      <c r="BV47" s="585"/>
      <c r="BW47" s="586"/>
      <c r="BX47" s="586"/>
      <c r="BY47" s="585"/>
      <c r="BZ47" s="584"/>
      <c r="CA47" s="585"/>
      <c r="CB47" s="585"/>
      <c r="CC47" s="585"/>
      <c r="CD47" s="586"/>
      <c r="CE47" s="586"/>
      <c r="CF47" s="585"/>
      <c r="CG47" s="584"/>
      <c r="CH47" s="585"/>
      <c r="CI47" s="585"/>
      <c r="CJ47" s="585"/>
      <c r="CK47" s="586"/>
      <c r="CL47" s="586"/>
      <c r="CM47" s="585"/>
      <c r="CN47" s="584"/>
      <c r="CO47" s="585"/>
      <c r="CP47" s="585"/>
      <c r="CQ47" s="585"/>
      <c r="CR47" s="586"/>
      <c r="CS47" s="586"/>
      <c r="CT47" s="585"/>
      <c r="CU47" s="584"/>
      <c r="CV47" s="585"/>
      <c r="CW47" s="585"/>
      <c r="CX47" s="585"/>
      <c r="CY47" s="586"/>
      <c r="CZ47" s="586"/>
      <c r="DA47" s="585"/>
      <c r="DB47" s="584"/>
      <c r="DC47" s="585"/>
      <c r="DD47" s="585"/>
      <c r="DE47" s="585"/>
      <c r="DF47" s="586"/>
      <c r="DG47" s="586"/>
      <c r="DH47" s="585"/>
      <c r="DI47" s="584"/>
      <c r="DJ47" s="585"/>
      <c r="DK47" s="585"/>
      <c r="DL47" s="585"/>
      <c r="DM47" s="586"/>
      <c r="DN47" s="586"/>
      <c r="DO47" s="585"/>
      <c r="DP47" s="584"/>
      <c r="DQ47" s="585"/>
      <c r="DR47" s="585"/>
      <c r="DS47" s="585"/>
      <c r="DT47" s="586"/>
      <c r="DU47" s="586"/>
      <c r="DV47" s="585"/>
      <c r="DW47" s="584"/>
      <c r="DX47" s="585"/>
      <c r="DY47" s="585"/>
      <c r="DZ47" s="585"/>
      <c r="EA47" s="586"/>
      <c r="EB47" s="586"/>
      <c r="EC47" s="585"/>
      <c r="ED47" s="584"/>
      <c r="EE47" s="585"/>
      <c r="EF47" s="585"/>
      <c r="EG47" s="585"/>
      <c r="EH47" s="586"/>
      <c r="EI47" s="586"/>
      <c r="EJ47" s="585"/>
      <c r="EK47" s="584"/>
      <c r="EL47" s="585"/>
      <c r="EM47" s="585"/>
      <c r="EN47" s="585"/>
      <c r="EO47" s="586"/>
      <c r="EP47" s="586"/>
      <c r="EQ47" s="585"/>
      <c r="ER47" s="584"/>
      <c r="ES47" s="585"/>
      <c r="ET47" s="585"/>
      <c r="EU47" s="585"/>
      <c r="EV47" s="586"/>
      <c r="EW47" s="586"/>
      <c r="EX47" s="585"/>
      <c r="EY47" s="584"/>
      <c r="EZ47" s="585"/>
      <c r="FA47" s="585"/>
      <c r="FB47" s="585"/>
      <c r="FC47" s="586"/>
      <c r="FD47" s="586"/>
      <c r="FE47" s="585"/>
      <c r="FF47" s="584"/>
      <c r="FG47" s="585"/>
      <c r="FH47" s="585"/>
      <c r="FI47" s="585"/>
      <c r="FJ47" s="586"/>
      <c r="FK47" s="586"/>
      <c r="FL47" s="585"/>
      <c r="FM47" s="584"/>
      <c r="FN47" s="585"/>
      <c r="FO47" s="585"/>
      <c r="FP47" s="585"/>
      <c r="FQ47" s="586"/>
      <c r="FR47" s="586"/>
      <c r="FS47" s="585"/>
      <c r="FT47" s="584"/>
      <c r="FU47" s="585"/>
      <c r="FV47" s="585"/>
      <c r="FW47" s="585"/>
      <c r="FX47" s="586"/>
      <c r="FY47" s="586"/>
      <c r="FZ47" s="585"/>
      <c r="GA47" s="584"/>
      <c r="GB47" s="585"/>
      <c r="GC47" s="585"/>
      <c r="GD47" s="585"/>
      <c r="GE47" s="586"/>
      <c r="GF47" s="586"/>
      <c r="GG47" s="585"/>
      <c r="GH47" s="584"/>
      <c r="GI47" s="585"/>
      <c r="GJ47" s="585"/>
      <c r="GK47" s="585"/>
      <c r="GL47" s="586"/>
      <c r="GM47" s="586"/>
      <c r="GN47" s="585"/>
      <c r="GO47" s="584"/>
      <c r="GP47" s="585"/>
      <c r="GQ47" s="585"/>
      <c r="GR47" s="585"/>
      <c r="GS47" s="586"/>
      <c r="GT47" s="586"/>
      <c r="GU47" s="585"/>
      <c r="GV47" s="584"/>
      <c r="GW47" s="585"/>
      <c r="GX47" s="585"/>
      <c r="GY47" s="585"/>
      <c r="GZ47" s="586"/>
      <c r="HA47" s="586"/>
      <c r="HB47" s="585"/>
      <c r="HC47" s="584"/>
      <c r="HD47" s="585"/>
      <c r="HE47" s="585"/>
      <c r="HF47" s="585"/>
      <c r="HG47" s="586"/>
      <c r="HH47" s="586"/>
      <c r="HI47" s="585"/>
      <c r="HJ47" s="584"/>
      <c r="HK47" s="585"/>
      <c r="HL47" s="585"/>
      <c r="HM47" s="585"/>
      <c r="HN47" s="586"/>
      <c r="HO47" s="586"/>
      <c r="HP47" s="585"/>
      <c r="HQ47" s="584"/>
      <c r="HR47" s="585"/>
      <c r="HS47" s="585"/>
      <c r="HT47" s="585"/>
      <c r="HU47" s="586"/>
      <c r="HV47" s="586"/>
      <c r="HW47" s="585"/>
      <c r="HX47" s="584"/>
      <c r="HY47" s="585"/>
      <c r="HZ47" s="585"/>
      <c r="IA47" s="585"/>
      <c r="IB47" s="586"/>
      <c r="IC47" s="586"/>
      <c r="ID47" s="585"/>
      <c r="IE47" s="584"/>
      <c r="IF47" s="585"/>
      <c r="IG47" s="585"/>
      <c r="IH47" s="585"/>
      <c r="II47" s="586"/>
      <c r="IJ47" s="586"/>
      <c r="IK47" s="585"/>
      <c r="IL47" s="584"/>
      <c r="IM47" s="585"/>
      <c r="IN47" s="585"/>
      <c r="IO47" s="585"/>
      <c r="IP47" s="586"/>
      <c r="IQ47" s="586"/>
      <c r="IR47" s="585"/>
      <c r="IS47" s="584"/>
      <c r="IT47" s="585"/>
      <c r="IU47" s="585"/>
      <c r="IV47" s="585"/>
    </row>
    <row r="48" spans="1:256" ht="12.75">
      <c r="A48" s="473" t="s">
        <v>269</v>
      </c>
      <c r="B48" s="507">
        <v>1232</v>
      </c>
      <c r="C48" s="507"/>
      <c r="D48" s="507"/>
      <c r="E48" s="40"/>
      <c r="F48" s="40"/>
      <c r="G48" s="507"/>
      <c r="H48" s="587"/>
      <c r="I48" s="510"/>
      <c r="J48" s="510"/>
      <c r="K48" s="510"/>
      <c r="L48" s="588"/>
      <c r="M48" s="588"/>
      <c r="N48" s="510"/>
      <c r="O48" s="587"/>
      <c r="P48" s="510"/>
      <c r="Q48" s="510"/>
      <c r="R48" s="510"/>
      <c r="S48" s="588"/>
      <c r="T48" s="588"/>
      <c r="U48" s="510"/>
      <c r="V48" s="587"/>
      <c r="W48" s="510"/>
      <c r="X48" s="510"/>
      <c r="Y48" s="510"/>
      <c r="Z48" s="588"/>
      <c r="AA48" s="588"/>
      <c r="AB48" s="510"/>
      <c r="AC48" s="587"/>
      <c r="AD48" s="510"/>
      <c r="AE48" s="510"/>
      <c r="AF48" s="510"/>
      <c r="AG48" s="588"/>
      <c r="AH48" s="588"/>
      <c r="AI48" s="510"/>
      <c r="AJ48" s="587"/>
      <c r="AK48" s="510"/>
      <c r="AL48" s="510"/>
      <c r="AM48" s="510"/>
      <c r="AN48" s="588"/>
      <c r="AO48" s="588"/>
      <c r="AP48" s="510"/>
      <c r="AQ48" s="587"/>
      <c r="AR48" s="510"/>
      <c r="AS48" s="510"/>
      <c r="AT48" s="510"/>
      <c r="AU48" s="588"/>
      <c r="AV48" s="588"/>
      <c r="AW48" s="510"/>
      <c r="AX48" s="587"/>
      <c r="AY48" s="510"/>
      <c r="AZ48" s="510"/>
      <c r="BA48" s="510"/>
      <c r="BB48" s="588"/>
      <c r="BC48" s="588"/>
      <c r="BD48" s="510"/>
      <c r="BE48" s="587"/>
      <c r="BF48" s="510"/>
      <c r="BG48" s="510"/>
      <c r="BH48" s="510"/>
      <c r="BI48" s="588"/>
      <c r="BJ48" s="588"/>
      <c r="BK48" s="510"/>
      <c r="BL48" s="587"/>
      <c r="BM48" s="510"/>
      <c r="BN48" s="510"/>
      <c r="BO48" s="510"/>
      <c r="BP48" s="588"/>
      <c r="BQ48" s="588"/>
      <c r="BR48" s="510"/>
      <c r="BS48" s="587"/>
      <c r="BT48" s="510"/>
      <c r="BU48" s="510"/>
      <c r="BV48" s="510"/>
      <c r="BW48" s="588"/>
      <c r="BX48" s="588"/>
      <c r="BY48" s="510"/>
      <c r="BZ48" s="587"/>
      <c r="CA48" s="510"/>
      <c r="CB48" s="510"/>
      <c r="CC48" s="510"/>
      <c r="CD48" s="588"/>
      <c r="CE48" s="588"/>
      <c r="CF48" s="510"/>
      <c r="CG48" s="587"/>
      <c r="CH48" s="510"/>
      <c r="CI48" s="510"/>
      <c r="CJ48" s="510"/>
      <c r="CK48" s="588"/>
      <c r="CL48" s="588"/>
      <c r="CM48" s="510"/>
      <c r="CN48" s="587"/>
      <c r="CO48" s="510"/>
      <c r="CP48" s="510"/>
      <c r="CQ48" s="510"/>
      <c r="CR48" s="588"/>
      <c r="CS48" s="588"/>
      <c r="CT48" s="510"/>
      <c r="CU48" s="587"/>
      <c r="CV48" s="510"/>
      <c r="CW48" s="510"/>
      <c r="CX48" s="510"/>
      <c r="CY48" s="588"/>
      <c r="CZ48" s="588"/>
      <c r="DA48" s="510"/>
      <c r="DB48" s="587"/>
      <c r="DC48" s="510"/>
      <c r="DD48" s="510"/>
      <c r="DE48" s="510"/>
      <c r="DF48" s="588"/>
      <c r="DG48" s="588"/>
      <c r="DH48" s="510"/>
      <c r="DI48" s="587"/>
      <c r="DJ48" s="510"/>
      <c r="DK48" s="510"/>
      <c r="DL48" s="510"/>
      <c r="DM48" s="588"/>
      <c r="DN48" s="588"/>
      <c r="DO48" s="510"/>
      <c r="DP48" s="587"/>
      <c r="DQ48" s="510"/>
      <c r="DR48" s="510"/>
      <c r="DS48" s="510"/>
      <c r="DT48" s="588"/>
      <c r="DU48" s="588"/>
      <c r="DV48" s="510"/>
      <c r="DW48" s="587"/>
      <c r="DX48" s="510"/>
      <c r="DY48" s="510"/>
      <c r="DZ48" s="510"/>
      <c r="EA48" s="588"/>
      <c r="EB48" s="588"/>
      <c r="EC48" s="510"/>
      <c r="ED48" s="587"/>
      <c r="EE48" s="510"/>
      <c r="EF48" s="510"/>
      <c r="EG48" s="510"/>
      <c r="EH48" s="588"/>
      <c r="EI48" s="588"/>
      <c r="EJ48" s="510"/>
      <c r="EK48" s="587"/>
      <c r="EL48" s="510"/>
      <c r="EM48" s="510"/>
      <c r="EN48" s="510"/>
      <c r="EO48" s="588"/>
      <c r="EP48" s="588"/>
      <c r="EQ48" s="510"/>
      <c r="ER48" s="587"/>
      <c r="ES48" s="510"/>
      <c r="ET48" s="510"/>
      <c r="EU48" s="510"/>
      <c r="EV48" s="588"/>
      <c r="EW48" s="588"/>
      <c r="EX48" s="510"/>
      <c r="EY48" s="587"/>
      <c r="EZ48" s="510"/>
      <c r="FA48" s="510"/>
      <c r="FB48" s="510"/>
      <c r="FC48" s="588"/>
      <c r="FD48" s="588"/>
      <c r="FE48" s="510"/>
      <c r="FF48" s="587"/>
      <c r="FG48" s="510"/>
      <c r="FH48" s="510"/>
      <c r="FI48" s="510"/>
      <c r="FJ48" s="588"/>
      <c r="FK48" s="588"/>
      <c r="FL48" s="510"/>
      <c r="FM48" s="587"/>
      <c r="FN48" s="510"/>
      <c r="FO48" s="510"/>
      <c r="FP48" s="510"/>
      <c r="FQ48" s="588"/>
      <c r="FR48" s="588"/>
      <c r="FS48" s="510"/>
      <c r="FT48" s="587"/>
      <c r="FU48" s="510"/>
      <c r="FV48" s="510"/>
      <c r="FW48" s="510"/>
      <c r="FX48" s="588"/>
      <c r="FY48" s="588"/>
      <c r="FZ48" s="510"/>
      <c r="GA48" s="587"/>
      <c r="GB48" s="510"/>
      <c r="GC48" s="510"/>
      <c r="GD48" s="510"/>
      <c r="GE48" s="588"/>
      <c r="GF48" s="588"/>
      <c r="GG48" s="510"/>
      <c r="GH48" s="587"/>
      <c r="GI48" s="510"/>
      <c r="GJ48" s="510"/>
      <c r="GK48" s="510"/>
      <c r="GL48" s="588"/>
      <c r="GM48" s="588"/>
      <c r="GN48" s="510"/>
      <c r="GO48" s="587"/>
      <c r="GP48" s="510"/>
      <c r="GQ48" s="510"/>
      <c r="GR48" s="510"/>
      <c r="GS48" s="588"/>
      <c r="GT48" s="588"/>
      <c r="GU48" s="510"/>
      <c r="GV48" s="587"/>
      <c r="GW48" s="510"/>
      <c r="GX48" s="510"/>
      <c r="GY48" s="510"/>
      <c r="GZ48" s="588"/>
      <c r="HA48" s="588"/>
      <c r="HB48" s="510"/>
      <c r="HC48" s="587"/>
      <c r="HD48" s="510"/>
      <c r="HE48" s="510"/>
      <c r="HF48" s="510"/>
      <c r="HG48" s="588"/>
      <c r="HH48" s="588"/>
      <c r="HI48" s="510"/>
      <c r="HJ48" s="587"/>
      <c r="HK48" s="510"/>
      <c r="HL48" s="510"/>
      <c r="HM48" s="510"/>
      <c r="HN48" s="588"/>
      <c r="HO48" s="588"/>
      <c r="HP48" s="510"/>
      <c r="HQ48" s="587"/>
      <c r="HR48" s="510"/>
      <c r="HS48" s="510"/>
      <c r="HT48" s="510"/>
      <c r="HU48" s="588"/>
      <c r="HV48" s="588"/>
      <c r="HW48" s="510"/>
      <c r="HX48" s="587"/>
      <c r="HY48" s="510"/>
      <c r="HZ48" s="510"/>
      <c r="IA48" s="510"/>
      <c r="IB48" s="588"/>
      <c r="IC48" s="588"/>
      <c r="ID48" s="510"/>
      <c r="IE48" s="587"/>
      <c r="IF48" s="510"/>
      <c r="IG48" s="510"/>
      <c r="IH48" s="510"/>
      <c r="II48" s="588"/>
      <c r="IJ48" s="588"/>
      <c r="IK48" s="510"/>
      <c r="IL48" s="587"/>
      <c r="IM48" s="510"/>
      <c r="IN48" s="510"/>
      <c r="IO48" s="510"/>
      <c r="IP48" s="588"/>
      <c r="IQ48" s="588"/>
      <c r="IR48" s="510"/>
      <c r="IS48" s="587"/>
      <c r="IT48" s="510"/>
      <c r="IU48" s="510"/>
      <c r="IV48" s="510"/>
    </row>
    <row r="49" spans="1:256" ht="12.75">
      <c r="A49" s="473" t="s">
        <v>270</v>
      </c>
      <c r="B49" s="507">
        <v>60</v>
      </c>
      <c r="C49" s="507">
        <v>57</v>
      </c>
      <c r="D49" s="507"/>
      <c r="E49" s="40"/>
      <c r="F49" s="40"/>
      <c r="G49" s="507"/>
      <c r="H49" s="587"/>
      <c r="I49" s="510"/>
      <c r="J49" s="510"/>
      <c r="K49" s="510"/>
      <c r="L49" s="588"/>
      <c r="M49" s="588"/>
      <c r="N49" s="510"/>
      <c r="O49" s="587"/>
      <c r="P49" s="510"/>
      <c r="Q49" s="510"/>
      <c r="R49" s="510"/>
      <c r="S49" s="588"/>
      <c r="T49" s="588"/>
      <c r="U49" s="510"/>
      <c r="V49" s="587"/>
      <c r="W49" s="510"/>
      <c r="X49" s="510"/>
      <c r="Y49" s="510"/>
      <c r="Z49" s="588"/>
      <c r="AA49" s="588"/>
      <c r="AB49" s="510"/>
      <c r="AC49" s="587"/>
      <c r="AD49" s="510"/>
      <c r="AE49" s="510"/>
      <c r="AF49" s="510"/>
      <c r="AG49" s="588"/>
      <c r="AH49" s="588"/>
      <c r="AI49" s="510"/>
      <c r="AJ49" s="587"/>
      <c r="AK49" s="510"/>
      <c r="AL49" s="510"/>
      <c r="AM49" s="510"/>
      <c r="AN49" s="588"/>
      <c r="AO49" s="588"/>
      <c r="AP49" s="510"/>
      <c r="AQ49" s="587"/>
      <c r="AR49" s="510"/>
      <c r="AS49" s="510"/>
      <c r="AT49" s="510"/>
      <c r="AU49" s="588"/>
      <c r="AV49" s="588"/>
      <c r="AW49" s="510"/>
      <c r="AX49" s="587"/>
      <c r="AY49" s="510"/>
      <c r="AZ49" s="510"/>
      <c r="BA49" s="510"/>
      <c r="BB49" s="588"/>
      <c r="BC49" s="588"/>
      <c r="BD49" s="510"/>
      <c r="BE49" s="587"/>
      <c r="BF49" s="510"/>
      <c r="BG49" s="510"/>
      <c r="BH49" s="510"/>
      <c r="BI49" s="588"/>
      <c r="BJ49" s="588"/>
      <c r="BK49" s="510"/>
      <c r="BL49" s="587"/>
      <c r="BM49" s="510"/>
      <c r="BN49" s="510"/>
      <c r="BO49" s="510"/>
      <c r="BP49" s="588"/>
      <c r="BQ49" s="588"/>
      <c r="BR49" s="510"/>
      <c r="BS49" s="587"/>
      <c r="BT49" s="510"/>
      <c r="BU49" s="510"/>
      <c r="BV49" s="510"/>
      <c r="BW49" s="588"/>
      <c r="BX49" s="588"/>
      <c r="BY49" s="510"/>
      <c r="BZ49" s="587"/>
      <c r="CA49" s="510"/>
      <c r="CB49" s="510"/>
      <c r="CC49" s="510"/>
      <c r="CD49" s="588"/>
      <c r="CE49" s="588"/>
      <c r="CF49" s="510"/>
      <c r="CG49" s="587"/>
      <c r="CH49" s="510"/>
      <c r="CI49" s="510"/>
      <c r="CJ49" s="510"/>
      <c r="CK49" s="588"/>
      <c r="CL49" s="588"/>
      <c r="CM49" s="510"/>
      <c r="CN49" s="587"/>
      <c r="CO49" s="510"/>
      <c r="CP49" s="510"/>
      <c r="CQ49" s="510"/>
      <c r="CR49" s="588"/>
      <c r="CS49" s="588"/>
      <c r="CT49" s="510"/>
      <c r="CU49" s="587"/>
      <c r="CV49" s="510"/>
      <c r="CW49" s="510"/>
      <c r="CX49" s="510"/>
      <c r="CY49" s="588"/>
      <c r="CZ49" s="588"/>
      <c r="DA49" s="510"/>
      <c r="DB49" s="587"/>
      <c r="DC49" s="510"/>
      <c r="DD49" s="510"/>
      <c r="DE49" s="510"/>
      <c r="DF49" s="588"/>
      <c r="DG49" s="588"/>
      <c r="DH49" s="510"/>
      <c r="DI49" s="587"/>
      <c r="DJ49" s="510"/>
      <c r="DK49" s="510"/>
      <c r="DL49" s="510"/>
      <c r="DM49" s="588"/>
      <c r="DN49" s="588"/>
      <c r="DO49" s="510"/>
      <c r="DP49" s="587"/>
      <c r="DQ49" s="510"/>
      <c r="DR49" s="510"/>
      <c r="DS49" s="510"/>
      <c r="DT49" s="588"/>
      <c r="DU49" s="588"/>
      <c r="DV49" s="510"/>
      <c r="DW49" s="587"/>
      <c r="DX49" s="510"/>
      <c r="DY49" s="510"/>
      <c r="DZ49" s="510"/>
      <c r="EA49" s="588"/>
      <c r="EB49" s="588"/>
      <c r="EC49" s="510"/>
      <c r="ED49" s="587"/>
      <c r="EE49" s="510"/>
      <c r="EF49" s="510"/>
      <c r="EG49" s="510"/>
      <c r="EH49" s="588"/>
      <c r="EI49" s="588"/>
      <c r="EJ49" s="510"/>
      <c r="EK49" s="587"/>
      <c r="EL49" s="510"/>
      <c r="EM49" s="510"/>
      <c r="EN49" s="510"/>
      <c r="EO49" s="588"/>
      <c r="EP49" s="588"/>
      <c r="EQ49" s="510"/>
      <c r="ER49" s="587"/>
      <c r="ES49" s="510"/>
      <c r="ET49" s="510"/>
      <c r="EU49" s="510"/>
      <c r="EV49" s="588"/>
      <c r="EW49" s="588"/>
      <c r="EX49" s="510"/>
      <c r="EY49" s="587"/>
      <c r="EZ49" s="510"/>
      <c r="FA49" s="510"/>
      <c r="FB49" s="510"/>
      <c r="FC49" s="588"/>
      <c r="FD49" s="588"/>
      <c r="FE49" s="510"/>
      <c r="FF49" s="587"/>
      <c r="FG49" s="510"/>
      <c r="FH49" s="510"/>
      <c r="FI49" s="510"/>
      <c r="FJ49" s="588"/>
      <c r="FK49" s="588"/>
      <c r="FL49" s="510"/>
      <c r="FM49" s="587"/>
      <c r="FN49" s="510"/>
      <c r="FO49" s="510"/>
      <c r="FP49" s="510"/>
      <c r="FQ49" s="588"/>
      <c r="FR49" s="588"/>
      <c r="FS49" s="510"/>
      <c r="FT49" s="587"/>
      <c r="FU49" s="510"/>
      <c r="FV49" s="510"/>
      <c r="FW49" s="510"/>
      <c r="FX49" s="588"/>
      <c r="FY49" s="588"/>
      <c r="FZ49" s="510"/>
      <c r="GA49" s="587"/>
      <c r="GB49" s="510"/>
      <c r="GC49" s="510"/>
      <c r="GD49" s="510"/>
      <c r="GE49" s="588"/>
      <c r="GF49" s="588"/>
      <c r="GG49" s="510"/>
      <c r="GH49" s="587"/>
      <c r="GI49" s="510"/>
      <c r="GJ49" s="510"/>
      <c r="GK49" s="510"/>
      <c r="GL49" s="588"/>
      <c r="GM49" s="588"/>
      <c r="GN49" s="510"/>
      <c r="GO49" s="587"/>
      <c r="GP49" s="510"/>
      <c r="GQ49" s="510"/>
      <c r="GR49" s="510"/>
      <c r="GS49" s="588"/>
      <c r="GT49" s="588"/>
      <c r="GU49" s="510"/>
      <c r="GV49" s="587"/>
      <c r="GW49" s="510"/>
      <c r="GX49" s="510"/>
      <c r="GY49" s="510"/>
      <c r="GZ49" s="588"/>
      <c r="HA49" s="588"/>
      <c r="HB49" s="510"/>
      <c r="HC49" s="587"/>
      <c r="HD49" s="510"/>
      <c r="HE49" s="510"/>
      <c r="HF49" s="510"/>
      <c r="HG49" s="588"/>
      <c r="HH49" s="588"/>
      <c r="HI49" s="510"/>
      <c r="HJ49" s="587"/>
      <c r="HK49" s="510"/>
      <c r="HL49" s="510"/>
      <c r="HM49" s="510"/>
      <c r="HN49" s="588"/>
      <c r="HO49" s="588"/>
      <c r="HP49" s="510"/>
      <c r="HQ49" s="587"/>
      <c r="HR49" s="510"/>
      <c r="HS49" s="510"/>
      <c r="HT49" s="510"/>
      <c r="HU49" s="588"/>
      <c r="HV49" s="588"/>
      <c r="HW49" s="510"/>
      <c r="HX49" s="587"/>
      <c r="HY49" s="510"/>
      <c r="HZ49" s="510"/>
      <c r="IA49" s="510"/>
      <c r="IB49" s="588"/>
      <c r="IC49" s="588"/>
      <c r="ID49" s="510"/>
      <c r="IE49" s="587"/>
      <c r="IF49" s="510"/>
      <c r="IG49" s="510"/>
      <c r="IH49" s="510"/>
      <c r="II49" s="588"/>
      <c r="IJ49" s="588"/>
      <c r="IK49" s="510"/>
      <c r="IL49" s="587"/>
      <c r="IM49" s="510"/>
      <c r="IN49" s="510"/>
      <c r="IO49" s="510"/>
      <c r="IP49" s="588"/>
      <c r="IQ49" s="588"/>
      <c r="IR49" s="510"/>
      <c r="IS49" s="587"/>
      <c r="IT49" s="510"/>
      <c r="IU49" s="510"/>
      <c r="IV49" s="510"/>
    </row>
    <row r="50" spans="1:256" ht="12.75">
      <c r="A50" s="505" t="s">
        <v>273</v>
      </c>
      <c r="B50" s="475">
        <v>1615</v>
      </c>
      <c r="C50" s="475">
        <v>61</v>
      </c>
      <c r="D50" s="475">
        <v>16</v>
      </c>
      <c r="E50" s="506">
        <v>0.9907120743034057</v>
      </c>
      <c r="F50" s="506">
        <v>26.229508196721312</v>
      </c>
      <c r="G50" s="475">
        <v>16</v>
      </c>
      <c r="H50" s="584"/>
      <c r="I50" s="585"/>
      <c r="J50" s="585"/>
      <c r="K50" s="585"/>
      <c r="L50" s="586"/>
      <c r="M50" s="586"/>
      <c r="N50" s="585"/>
      <c r="O50" s="584"/>
      <c r="P50" s="585"/>
      <c r="Q50" s="585"/>
      <c r="R50" s="585"/>
      <c r="S50" s="586"/>
      <c r="T50" s="586"/>
      <c r="U50" s="585"/>
      <c r="V50" s="584"/>
      <c r="W50" s="585"/>
      <c r="X50" s="585"/>
      <c r="Y50" s="585"/>
      <c r="Z50" s="586"/>
      <c r="AA50" s="586"/>
      <c r="AB50" s="585"/>
      <c r="AC50" s="584"/>
      <c r="AD50" s="585"/>
      <c r="AE50" s="585"/>
      <c r="AF50" s="585"/>
      <c r="AG50" s="586"/>
      <c r="AH50" s="586"/>
      <c r="AI50" s="585"/>
      <c r="AJ50" s="584"/>
      <c r="AK50" s="585"/>
      <c r="AL50" s="585"/>
      <c r="AM50" s="585"/>
      <c r="AN50" s="586"/>
      <c r="AO50" s="586"/>
      <c r="AP50" s="585"/>
      <c r="AQ50" s="584"/>
      <c r="AR50" s="585"/>
      <c r="AS50" s="585"/>
      <c r="AT50" s="585"/>
      <c r="AU50" s="586"/>
      <c r="AV50" s="586"/>
      <c r="AW50" s="585"/>
      <c r="AX50" s="584"/>
      <c r="AY50" s="585"/>
      <c r="AZ50" s="585"/>
      <c r="BA50" s="585"/>
      <c r="BB50" s="586"/>
      <c r="BC50" s="586"/>
      <c r="BD50" s="585"/>
      <c r="BE50" s="584"/>
      <c r="BF50" s="585"/>
      <c r="BG50" s="585"/>
      <c r="BH50" s="585"/>
      <c r="BI50" s="586"/>
      <c r="BJ50" s="586"/>
      <c r="BK50" s="585"/>
      <c r="BL50" s="584"/>
      <c r="BM50" s="585"/>
      <c r="BN50" s="585"/>
      <c r="BO50" s="585"/>
      <c r="BP50" s="586"/>
      <c r="BQ50" s="586"/>
      <c r="BR50" s="585"/>
      <c r="BS50" s="584"/>
      <c r="BT50" s="585"/>
      <c r="BU50" s="585"/>
      <c r="BV50" s="585"/>
      <c r="BW50" s="586"/>
      <c r="BX50" s="586"/>
      <c r="BY50" s="585"/>
      <c r="BZ50" s="584"/>
      <c r="CA50" s="585"/>
      <c r="CB50" s="585"/>
      <c r="CC50" s="585"/>
      <c r="CD50" s="586"/>
      <c r="CE50" s="586"/>
      <c r="CF50" s="585"/>
      <c r="CG50" s="584"/>
      <c r="CH50" s="585"/>
      <c r="CI50" s="585"/>
      <c r="CJ50" s="585"/>
      <c r="CK50" s="586"/>
      <c r="CL50" s="586"/>
      <c r="CM50" s="585"/>
      <c r="CN50" s="584"/>
      <c r="CO50" s="585"/>
      <c r="CP50" s="585"/>
      <c r="CQ50" s="585"/>
      <c r="CR50" s="586"/>
      <c r="CS50" s="586"/>
      <c r="CT50" s="585"/>
      <c r="CU50" s="584"/>
      <c r="CV50" s="585"/>
      <c r="CW50" s="585"/>
      <c r="CX50" s="585"/>
      <c r="CY50" s="586"/>
      <c r="CZ50" s="586"/>
      <c r="DA50" s="585"/>
      <c r="DB50" s="584"/>
      <c r="DC50" s="585"/>
      <c r="DD50" s="585"/>
      <c r="DE50" s="585"/>
      <c r="DF50" s="586"/>
      <c r="DG50" s="586"/>
      <c r="DH50" s="585"/>
      <c r="DI50" s="584"/>
      <c r="DJ50" s="585"/>
      <c r="DK50" s="585"/>
      <c r="DL50" s="585"/>
      <c r="DM50" s="586"/>
      <c r="DN50" s="586"/>
      <c r="DO50" s="585"/>
      <c r="DP50" s="584"/>
      <c r="DQ50" s="585"/>
      <c r="DR50" s="585"/>
      <c r="DS50" s="585"/>
      <c r="DT50" s="586"/>
      <c r="DU50" s="586"/>
      <c r="DV50" s="585"/>
      <c r="DW50" s="584"/>
      <c r="DX50" s="585"/>
      <c r="DY50" s="585"/>
      <c r="DZ50" s="585"/>
      <c r="EA50" s="586"/>
      <c r="EB50" s="586"/>
      <c r="EC50" s="585"/>
      <c r="ED50" s="584"/>
      <c r="EE50" s="585"/>
      <c r="EF50" s="585"/>
      <c r="EG50" s="585"/>
      <c r="EH50" s="586"/>
      <c r="EI50" s="586"/>
      <c r="EJ50" s="585"/>
      <c r="EK50" s="584"/>
      <c r="EL50" s="585"/>
      <c r="EM50" s="585"/>
      <c r="EN50" s="585"/>
      <c r="EO50" s="586"/>
      <c r="EP50" s="586"/>
      <c r="EQ50" s="585"/>
      <c r="ER50" s="584"/>
      <c r="ES50" s="585"/>
      <c r="ET50" s="585"/>
      <c r="EU50" s="585"/>
      <c r="EV50" s="586"/>
      <c r="EW50" s="586"/>
      <c r="EX50" s="585"/>
      <c r="EY50" s="584"/>
      <c r="EZ50" s="585"/>
      <c r="FA50" s="585"/>
      <c r="FB50" s="585"/>
      <c r="FC50" s="586"/>
      <c r="FD50" s="586"/>
      <c r="FE50" s="585"/>
      <c r="FF50" s="584"/>
      <c r="FG50" s="585"/>
      <c r="FH50" s="585"/>
      <c r="FI50" s="585"/>
      <c r="FJ50" s="586"/>
      <c r="FK50" s="586"/>
      <c r="FL50" s="585"/>
      <c r="FM50" s="584"/>
      <c r="FN50" s="585"/>
      <c r="FO50" s="585"/>
      <c r="FP50" s="585"/>
      <c r="FQ50" s="586"/>
      <c r="FR50" s="586"/>
      <c r="FS50" s="585"/>
      <c r="FT50" s="584"/>
      <c r="FU50" s="585"/>
      <c r="FV50" s="585"/>
      <c r="FW50" s="585"/>
      <c r="FX50" s="586"/>
      <c r="FY50" s="586"/>
      <c r="FZ50" s="585"/>
      <c r="GA50" s="584"/>
      <c r="GB50" s="585"/>
      <c r="GC50" s="585"/>
      <c r="GD50" s="585"/>
      <c r="GE50" s="586"/>
      <c r="GF50" s="586"/>
      <c r="GG50" s="585"/>
      <c r="GH50" s="584"/>
      <c r="GI50" s="585"/>
      <c r="GJ50" s="585"/>
      <c r="GK50" s="585"/>
      <c r="GL50" s="586"/>
      <c r="GM50" s="586"/>
      <c r="GN50" s="585"/>
      <c r="GO50" s="584"/>
      <c r="GP50" s="585"/>
      <c r="GQ50" s="585"/>
      <c r="GR50" s="585"/>
      <c r="GS50" s="586"/>
      <c r="GT50" s="586"/>
      <c r="GU50" s="585"/>
      <c r="GV50" s="584"/>
      <c r="GW50" s="585"/>
      <c r="GX50" s="585"/>
      <c r="GY50" s="585"/>
      <c r="GZ50" s="586"/>
      <c r="HA50" s="586"/>
      <c r="HB50" s="585"/>
      <c r="HC50" s="584"/>
      <c r="HD50" s="585"/>
      <c r="HE50" s="585"/>
      <c r="HF50" s="585"/>
      <c r="HG50" s="586"/>
      <c r="HH50" s="586"/>
      <c r="HI50" s="585"/>
      <c r="HJ50" s="584"/>
      <c r="HK50" s="585"/>
      <c r="HL50" s="585"/>
      <c r="HM50" s="585"/>
      <c r="HN50" s="586"/>
      <c r="HO50" s="586"/>
      <c r="HP50" s="585"/>
      <c r="HQ50" s="584"/>
      <c r="HR50" s="585"/>
      <c r="HS50" s="585"/>
      <c r="HT50" s="585"/>
      <c r="HU50" s="586"/>
      <c r="HV50" s="586"/>
      <c r="HW50" s="585"/>
      <c r="HX50" s="584"/>
      <c r="HY50" s="585"/>
      <c r="HZ50" s="585"/>
      <c r="IA50" s="585"/>
      <c r="IB50" s="586"/>
      <c r="IC50" s="586"/>
      <c r="ID50" s="585"/>
      <c r="IE50" s="584"/>
      <c r="IF50" s="585"/>
      <c r="IG50" s="585"/>
      <c r="IH50" s="585"/>
      <c r="II50" s="586"/>
      <c r="IJ50" s="586"/>
      <c r="IK50" s="585"/>
      <c r="IL50" s="584"/>
      <c r="IM50" s="585"/>
      <c r="IN50" s="585"/>
      <c r="IO50" s="585"/>
      <c r="IP50" s="586"/>
      <c r="IQ50" s="586"/>
      <c r="IR50" s="585"/>
      <c r="IS50" s="584"/>
      <c r="IT50" s="585"/>
      <c r="IU50" s="585"/>
      <c r="IV50" s="585"/>
    </row>
    <row r="51" spans="1:256" ht="12.75">
      <c r="A51" s="473" t="s">
        <v>269</v>
      </c>
      <c r="B51" s="507">
        <v>1615</v>
      </c>
      <c r="C51" s="507">
        <v>61</v>
      </c>
      <c r="D51" s="507">
        <v>16</v>
      </c>
      <c r="E51" s="40">
        <v>0.9907120743034057</v>
      </c>
      <c r="F51" s="40">
        <v>26.229508196721312</v>
      </c>
      <c r="G51" s="507">
        <v>16</v>
      </c>
      <c r="H51" s="587"/>
      <c r="I51" s="510"/>
      <c r="J51" s="510"/>
      <c r="K51" s="510"/>
      <c r="L51" s="588"/>
      <c r="M51" s="588"/>
      <c r="N51" s="510"/>
      <c r="O51" s="587"/>
      <c r="P51" s="510"/>
      <c r="Q51" s="510"/>
      <c r="R51" s="510"/>
      <c r="S51" s="588"/>
      <c r="T51" s="588"/>
      <c r="U51" s="510"/>
      <c r="V51" s="587"/>
      <c r="W51" s="510"/>
      <c r="X51" s="510"/>
      <c r="Y51" s="510"/>
      <c r="Z51" s="588"/>
      <c r="AA51" s="588"/>
      <c r="AB51" s="510"/>
      <c r="AC51" s="587"/>
      <c r="AD51" s="510"/>
      <c r="AE51" s="510"/>
      <c r="AF51" s="510"/>
      <c r="AG51" s="588"/>
      <c r="AH51" s="588"/>
      <c r="AI51" s="510"/>
      <c r="AJ51" s="587"/>
      <c r="AK51" s="510"/>
      <c r="AL51" s="510"/>
      <c r="AM51" s="510"/>
      <c r="AN51" s="588"/>
      <c r="AO51" s="588"/>
      <c r="AP51" s="510"/>
      <c r="AQ51" s="587"/>
      <c r="AR51" s="510"/>
      <c r="AS51" s="510"/>
      <c r="AT51" s="510"/>
      <c r="AU51" s="588"/>
      <c r="AV51" s="588"/>
      <c r="AW51" s="510"/>
      <c r="AX51" s="587"/>
      <c r="AY51" s="510"/>
      <c r="AZ51" s="510"/>
      <c r="BA51" s="510"/>
      <c r="BB51" s="588"/>
      <c r="BC51" s="588"/>
      <c r="BD51" s="510"/>
      <c r="BE51" s="587"/>
      <c r="BF51" s="510"/>
      <c r="BG51" s="510"/>
      <c r="BH51" s="510"/>
      <c r="BI51" s="588"/>
      <c r="BJ51" s="588"/>
      <c r="BK51" s="510"/>
      <c r="BL51" s="587"/>
      <c r="BM51" s="510"/>
      <c r="BN51" s="510"/>
      <c r="BO51" s="510"/>
      <c r="BP51" s="588"/>
      <c r="BQ51" s="588"/>
      <c r="BR51" s="510"/>
      <c r="BS51" s="587"/>
      <c r="BT51" s="510"/>
      <c r="BU51" s="510"/>
      <c r="BV51" s="510"/>
      <c r="BW51" s="588"/>
      <c r="BX51" s="588"/>
      <c r="BY51" s="510"/>
      <c r="BZ51" s="587"/>
      <c r="CA51" s="510"/>
      <c r="CB51" s="510"/>
      <c r="CC51" s="510"/>
      <c r="CD51" s="588"/>
      <c r="CE51" s="588"/>
      <c r="CF51" s="510"/>
      <c r="CG51" s="587"/>
      <c r="CH51" s="510"/>
      <c r="CI51" s="510"/>
      <c r="CJ51" s="510"/>
      <c r="CK51" s="588"/>
      <c r="CL51" s="588"/>
      <c r="CM51" s="510"/>
      <c r="CN51" s="587"/>
      <c r="CO51" s="510"/>
      <c r="CP51" s="510"/>
      <c r="CQ51" s="510"/>
      <c r="CR51" s="588"/>
      <c r="CS51" s="588"/>
      <c r="CT51" s="510"/>
      <c r="CU51" s="587"/>
      <c r="CV51" s="510"/>
      <c r="CW51" s="510"/>
      <c r="CX51" s="510"/>
      <c r="CY51" s="588"/>
      <c r="CZ51" s="588"/>
      <c r="DA51" s="510"/>
      <c r="DB51" s="587"/>
      <c r="DC51" s="510"/>
      <c r="DD51" s="510"/>
      <c r="DE51" s="510"/>
      <c r="DF51" s="588"/>
      <c r="DG51" s="588"/>
      <c r="DH51" s="510"/>
      <c r="DI51" s="587"/>
      <c r="DJ51" s="510"/>
      <c r="DK51" s="510"/>
      <c r="DL51" s="510"/>
      <c r="DM51" s="588"/>
      <c r="DN51" s="588"/>
      <c r="DO51" s="510"/>
      <c r="DP51" s="587"/>
      <c r="DQ51" s="510"/>
      <c r="DR51" s="510"/>
      <c r="DS51" s="510"/>
      <c r="DT51" s="588"/>
      <c r="DU51" s="588"/>
      <c r="DV51" s="510"/>
      <c r="DW51" s="587"/>
      <c r="DX51" s="510"/>
      <c r="DY51" s="510"/>
      <c r="DZ51" s="510"/>
      <c r="EA51" s="588"/>
      <c r="EB51" s="588"/>
      <c r="EC51" s="510"/>
      <c r="ED51" s="587"/>
      <c r="EE51" s="510"/>
      <c r="EF51" s="510"/>
      <c r="EG51" s="510"/>
      <c r="EH51" s="588"/>
      <c r="EI51" s="588"/>
      <c r="EJ51" s="510"/>
      <c r="EK51" s="587"/>
      <c r="EL51" s="510"/>
      <c r="EM51" s="510"/>
      <c r="EN51" s="510"/>
      <c r="EO51" s="588"/>
      <c r="EP51" s="588"/>
      <c r="EQ51" s="510"/>
      <c r="ER51" s="587"/>
      <c r="ES51" s="510"/>
      <c r="ET51" s="510"/>
      <c r="EU51" s="510"/>
      <c r="EV51" s="588"/>
      <c r="EW51" s="588"/>
      <c r="EX51" s="510"/>
      <c r="EY51" s="587"/>
      <c r="EZ51" s="510"/>
      <c r="FA51" s="510"/>
      <c r="FB51" s="510"/>
      <c r="FC51" s="588"/>
      <c r="FD51" s="588"/>
      <c r="FE51" s="510"/>
      <c r="FF51" s="587"/>
      <c r="FG51" s="510"/>
      <c r="FH51" s="510"/>
      <c r="FI51" s="510"/>
      <c r="FJ51" s="588"/>
      <c r="FK51" s="588"/>
      <c r="FL51" s="510"/>
      <c r="FM51" s="587"/>
      <c r="FN51" s="510"/>
      <c r="FO51" s="510"/>
      <c r="FP51" s="510"/>
      <c r="FQ51" s="588"/>
      <c r="FR51" s="588"/>
      <c r="FS51" s="510"/>
      <c r="FT51" s="587"/>
      <c r="FU51" s="510"/>
      <c r="FV51" s="510"/>
      <c r="FW51" s="510"/>
      <c r="FX51" s="588"/>
      <c r="FY51" s="588"/>
      <c r="FZ51" s="510"/>
      <c r="GA51" s="587"/>
      <c r="GB51" s="510"/>
      <c r="GC51" s="510"/>
      <c r="GD51" s="510"/>
      <c r="GE51" s="588"/>
      <c r="GF51" s="588"/>
      <c r="GG51" s="510"/>
      <c r="GH51" s="587"/>
      <c r="GI51" s="510"/>
      <c r="GJ51" s="510"/>
      <c r="GK51" s="510"/>
      <c r="GL51" s="588"/>
      <c r="GM51" s="588"/>
      <c r="GN51" s="510"/>
      <c r="GO51" s="587"/>
      <c r="GP51" s="510"/>
      <c r="GQ51" s="510"/>
      <c r="GR51" s="510"/>
      <c r="GS51" s="588"/>
      <c r="GT51" s="588"/>
      <c r="GU51" s="510"/>
      <c r="GV51" s="587"/>
      <c r="GW51" s="510"/>
      <c r="GX51" s="510"/>
      <c r="GY51" s="510"/>
      <c r="GZ51" s="588"/>
      <c r="HA51" s="588"/>
      <c r="HB51" s="510"/>
      <c r="HC51" s="587"/>
      <c r="HD51" s="510"/>
      <c r="HE51" s="510"/>
      <c r="HF51" s="510"/>
      <c r="HG51" s="588"/>
      <c r="HH51" s="588"/>
      <c r="HI51" s="510"/>
      <c r="HJ51" s="587"/>
      <c r="HK51" s="510"/>
      <c r="HL51" s="510"/>
      <c r="HM51" s="510"/>
      <c r="HN51" s="588"/>
      <c r="HO51" s="588"/>
      <c r="HP51" s="510"/>
      <c r="HQ51" s="587"/>
      <c r="HR51" s="510"/>
      <c r="HS51" s="510"/>
      <c r="HT51" s="510"/>
      <c r="HU51" s="588"/>
      <c r="HV51" s="588"/>
      <c r="HW51" s="510"/>
      <c r="HX51" s="587"/>
      <c r="HY51" s="510"/>
      <c r="HZ51" s="510"/>
      <c r="IA51" s="510"/>
      <c r="IB51" s="588"/>
      <c r="IC51" s="588"/>
      <c r="ID51" s="510"/>
      <c r="IE51" s="587"/>
      <c r="IF51" s="510"/>
      <c r="IG51" s="510"/>
      <c r="IH51" s="510"/>
      <c r="II51" s="588"/>
      <c r="IJ51" s="588"/>
      <c r="IK51" s="510"/>
      <c r="IL51" s="587"/>
      <c r="IM51" s="510"/>
      <c r="IN51" s="510"/>
      <c r="IO51" s="510"/>
      <c r="IP51" s="588"/>
      <c r="IQ51" s="588"/>
      <c r="IR51" s="510"/>
      <c r="IS51" s="587"/>
      <c r="IT51" s="510"/>
      <c r="IU51" s="510"/>
      <c r="IV51" s="510"/>
    </row>
    <row r="52" spans="1:256" ht="12.75">
      <c r="A52" s="32" t="s">
        <v>327</v>
      </c>
      <c r="B52" s="248">
        <v>20320</v>
      </c>
      <c r="C52" s="248">
        <v>704</v>
      </c>
      <c r="D52" s="248">
        <v>16</v>
      </c>
      <c r="E52" s="16">
        <v>0.07874015748031496</v>
      </c>
      <c r="F52" s="16">
        <v>2.272727272727273</v>
      </c>
      <c r="G52" s="248">
        <v>16</v>
      </c>
      <c r="H52" s="583"/>
      <c r="I52" s="580"/>
      <c r="J52" s="580"/>
      <c r="K52" s="580"/>
      <c r="L52" s="581"/>
      <c r="M52" s="581"/>
      <c r="N52" s="580"/>
      <c r="O52" s="583"/>
      <c r="P52" s="580"/>
      <c r="Q52" s="580"/>
      <c r="R52" s="580"/>
      <c r="S52" s="581"/>
      <c r="T52" s="581"/>
      <c r="U52" s="580"/>
      <c r="V52" s="583"/>
      <c r="W52" s="580"/>
      <c r="X52" s="580"/>
      <c r="Y52" s="580"/>
      <c r="Z52" s="581"/>
      <c r="AA52" s="581"/>
      <c r="AB52" s="580"/>
      <c r="AC52" s="583"/>
      <c r="AD52" s="580"/>
      <c r="AE52" s="580"/>
      <c r="AF52" s="580"/>
      <c r="AG52" s="581"/>
      <c r="AH52" s="581"/>
      <c r="AI52" s="580"/>
      <c r="AJ52" s="583"/>
      <c r="AK52" s="580"/>
      <c r="AL52" s="580"/>
      <c r="AM52" s="580"/>
      <c r="AN52" s="581"/>
      <c r="AO52" s="581"/>
      <c r="AP52" s="580"/>
      <c r="AQ52" s="583"/>
      <c r="AR52" s="580"/>
      <c r="AS52" s="580"/>
      <c r="AT52" s="580"/>
      <c r="AU52" s="581"/>
      <c r="AV52" s="581"/>
      <c r="AW52" s="580"/>
      <c r="AX52" s="583"/>
      <c r="AY52" s="580"/>
      <c r="AZ52" s="580"/>
      <c r="BA52" s="580"/>
      <c r="BB52" s="581"/>
      <c r="BC52" s="581"/>
      <c r="BD52" s="580"/>
      <c r="BE52" s="583"/>
      <c r="BF52" s="580"/>
      <c r="BG52" s="580"/>
      <c r="BH52" s="580"/>
      <c r="BI52" s="581"/>
      <c r="BJ52" s="581"/>
      <c r="BK52" s="580"/>
      <c r="BL52" s="583"/>
      <c r="BM52" s="580"/>
      <c r="BN52" s="580"/>
      <c r="BO52" s="580"/>
      <c r="BP52" s="581"/>
      <c r="BQ52" s="581"/>
      <c r="BR52" s="580"/>
      <c r="BS52" s="583"/>
      <c r="BT52" s="580"/>
      <c r="BU52" s="580"/>
      <c r="BV52" s="580"/>
      <c r="BW52" s="581"/>
      <c r="BX52" s="581"/>
      <c r="BY52" s="580"/>
      <c r="BZ52" s="583"/>
      <c r="CA52" s="580"/>
      <c r="CB52" s="580"/>
      <c r="CC52" s="580"/>
      <c r="CD52" s="581"/>
      <c r="CE52" s="581"/>
      <c r="CF52" s="580"/>
      <c r="CG52" s="583"/>
      <c r="CH52" s="580"/>
      <c r="CI52" s="580"/>
      <c r="CJ52" s="580"/>
      <c r="CK52" s="581"/>
      <c r="CL52" s="581"/>
      <c r="CM52" s="580"/>
      <c r="CN52" s="583"/>
      <c r="CO52" s="580"/>
      <c r="CP52" s="580"/>
      <c r="CQ52" s="580"/>
      <c r="CR52" s="581"/>
      <c r="CS52" s="581"/>
      <c r="CT52" s="580"/>
      <c r="CU52" s="583"/>
      <c r="CV52" s="580"/>
      <c r="CW52" s="580"/>
      <c r="CX52" s="580"/>
      <c r="CY52" s="581"/>
      <c r="CZ52" s="581"/>
      <c r="DA52" s="580"/>
      <c r="DB52" s="583"/>
      <c r="DC52" s="580"/>
      <c r="DD52" s="580"/>
      <c r="DE52" s="580"/>
      <c r="DF52" s="581"/>
      <c r="DG52" s="581"/>
      <c r="DH52" s="580"/>
      <c r="DI52" s="583"/>
      <c r="DJ52" s="580"/>
      <c r="DK52" s="580"/>
      <c r="DL52" s="580"/>
      <c r="DM52" s="581"/>
      <c r="DN52" s="581"/>
      <c r="DO52" s="580"/>
      <c r="DP52" s="583"/>
      <c r="DQ52" s="580"/>
      <c r="DR52" s="580"/>
      <c r="DS52" s="580"/>
      <c r="DT52" s="581"/>
      <c r="DU52" s="581"/>
      <c r="DV52" s="580"/>
      <c r="DW52" s="583"/>
      <c r="DX52" s="580"/>
      <c r="DY52" s="580"/>
      <c r="DZ52" s="580"/>
      <c r="EA52" s="581"/>
      <c r="EB52" s="581"/>
      <c r="EC52" s="580"/>
      <c r="ED52" s="583"/>
      <c r="EE52" s="580"/>
      <c r="EF52" s="580"/>
      <c r="EG52" s="580"/>
      <c r="EH52" s="581"/>
      <c r="EI52" s="581"/>
      <c r="EJ52" s="580"/>
      <c r="EK52" s="583"/>
      <c r="EL52" s="580"/>
      <c r="EM52" s="580"/>
      <c r="EN52" s="580"/>
      <c r="EO52" s="581"/>
      <c r="EP52" s="581"/>
      <c r="EQ52" s="580"/>
      <c r="ER52" s="583"/>
      <c r="ES52" s="580"/>
      <c r="ET52" s="580"/>
      <c r="EU52" s="580"/>
      <c r="EV52" s="581"/>
      <c r="EW52" s="581"/>
      <c r="EX52" s="580"/>
      <c r="EY52" s="583"/>
      <c r="EZ52" s="580"/>
      <c r="FA52" s="580"/>
      <c r="FB52" s="580"/>
      <c r="FC52" s="581"/>
      <c r="FD52" s="581"/>
      <c r="FE52" s="580"/>
      <c r="FF52" s="583"/>
      <c r="FG52" s="580"/>
      <c r="FH52" s="580"/>
      <c r="FI52" s="580"/>
      <c r="FJ52" s="581"/>
      <c r="FK52" s="581"/>
      <c r="FL52" s="580"/>
      <c r="FM52" s="583"/>
      <c r="FN52" s="580"/>
      <c r="FO52" s="580"/>
      <c r="FP52" s="580"/>
      <c r="FQ52" s="581"/>
      <c r="FR52" s="581"/>
      <c r="FS52" s="580"/>
      <c r="FT52" s="583"/>
      <c r="FU52" s="580"/>
      <c r="FV52" s="580"/>
      <c r="FW52" s="580"/>
      <c r="FX52" s="581"/>
      <c r="FY52" s="581"/>
      <c r="FZ52" s="580"/>
      <c r="GA52" s="583"/>
      <c r="GB52" s="580"/>
      <c r="GC52" s="580"/>
      <c r="GD52" s="580"/>
      <c r="GE52" s="581"/>
      <c r="GF52" s="581"/>
      <c r="GG52" s="580"/>
      <c r="GH52" s="583"/>
      <c r="GI52" s="580"/>
      <c r="GJ52" s="580"/>
      <c r="GK52" s="580"/>
      <c r="GL52" s="581"/>
      <c r="GM52" s="581"/>
      <c r="GN52" s="580"/>
      <c r="GO52" s="583"/>
      <c r="GP52" s="580"/>
      <c r="GQ52" s="580"/>
      <c r="GR52" s="580"/>
      <c r="GS52" s="581"/>
      <c r="GT52" s="581"/>
      <c r="GU52" s="580"/>
      <c r="GV52" s="583"/>
      <c r="GW52" s="580"/>
      <c r="GX52" s="580"/>
      <c r="GY52" s="580"/>
      <c r="GZ52" s="581"/>
      <c r="HA52" s="581"/>
      <c r="HB52" s="580"/>
      <c r="HC52" s="583"/>
      <c r="HD52" s="580"/>
      <c r="HE52" s="580"/>
      <c r="HF52" s="580"/>
      <c r="HG52" s="581"/>
      <c r="HH52" s="581"/>
      <c r="HI52" s="580"/>
      <c r="HJ52" s="583"/>
      <c r="HK52" s="580"/>
      <c r="HL52" s="580"/>
      <c r="HM52" s="580"/>
      <c r="HN52" s="581"/>
      <c r="HO52" s="581"/>
      <c r="HP52" s="580"/>
      <c r="HQ52" s="583"/>
      <c r="HR52" s="580"/>
      <c r="HS52" s="580"/>
      <c r="HT52" s="580"/>
      <c r="HU52" s="581"/>
      <c r="HV52" s="581"/>
      <c r="HW52" s="580"/>
      <c r="HX52" s="583"/>
      <c r="HY52" s="580"/>
      <c r="HZ52" s="580"/>
      <c r="IA52" s="580"/>
      <c r="IB52" s="581"/>
      <c r="IC52" s="581"/>
      <c r="ID52" s="580"/>
      <c r="IE52" s="583"/>
      <c r="IF52" s="580"/>
      <c r="IG52" s="580"/>
      <c r="IH52" s="580"/>
      <c r="II52" s="581"/>
      <c r="IJ52" s="581"/>
      <c r="IK52" s="580"/>
      <c r="IL52" s="583"/>
      <c r="IM52" s="580"/>
      <c r="IN52" s="580"/>
      <c r="IO52" s="580"/>
      <c r="IP52" s="581"/>
      <c r="IQ52" s="581"/>
      <c r="IR52" s="580"/>
      <c r="IS52" s="583"/>
      <c r="IT52" s="580"/>
      <c r="IU52" s="580"/>
      <c r="IV52" s="580"/>
    </row>
    <row r="53" spans="1:256" ht="12.75">
      <c r="A53" s="505" t="s">
        <v>272</v>
      </c>
      <c r="B53" s="475">
        <v>15520</v>
      </c>
      <c r="C53" s="475">
        <v>655</v>
      </c>
      <c r="D53" s="475">
        <v>1</v>
      </c>
      <c r="E53" s="506">
        <v>0.0064432989690721655</v>
      </c>
      <c r="F53" s="506">
        <v>0.15267175572519084</v>
      </c>
      <c r="G53" s="475">
        <v>1</v>
      </c>
      <c r="H53" s="584"/>
      <c r="I53" s="585"/>
      <c r="J53" s="585"/>
      <c r="K53" s="585"/>
      <c r="L53" s="586"/>
      <c r="M53" s="586"/>
      <c r="N53" s="585"/>
      <c r="O53" s="584"/>
      <c r="P53" s="585"/>
      <c r="Q53" s="585"/>
      <c r="R53" s="585"/>
      <c r="S53" s="586"/>
      <c r="T53" s="586"/>
      <c r="U53" s="585"/>
      <c r="V53" s="584"/>
      <c r="W53" s="585"/>
      <c r="X53" s="585"/>
      <c r="Y53" s="585"/>
      <c r="Z53" s="586"/>
      <c r="AA53" s="586"/>
      <c r="AB53" s="585"/>
      <c r="AC53" s="584"/>
      <c r="AD53" s="585"/>
      <c r="AE53" s="585"/>
      <c r="AF53" s="585"/>
      <c r="AG53" s="586"/>
      <c r="AH53" s="586"/>
      <c r="AI53" s="585"/>
      <c r="AJ53" s="584"/>
      <c r="AK53" s="585"/>
      <c r="AL53" s="585"/>
      <c r="AM53" s="585"/>
      <c r="AN53" s="586"/>
      <c r="AO53" s="586"/>
      <c r="AP53" s="585"/>
      <c r="AQ53" s="584"/>
      <c r="AR53" s="585"/>
      <c r="AS53" s="585"/>
      <c r="AT53" s="585"/>
      <c r="AU53" s="586"/>
      <c r="AV53" s="586"/>
      <c r="AW53" s="585"/>
      <c r="AX53" s="584"/>
      <c r="AY53" s="585"/>
      <c r="AZ53" s="585"/>
      <c r="BA53" s="585"/>
      <c r="BB53" s="586"/>
      <c r="BC53" s="586"/>
      <c r="BD53" s="585"/>
      <c r="BE53" s="584"/>
      <c r="BF53" s="585"/>
      <c r="BG53" s="585"/>
      <c r="BH53" s="585"/>
      <c r="BI53" s="586"/>
      <c r="BJ53" s="586"/>
      <c r="BK53" s="585"/>
      <c r="BL53" s="584"/>
      <c r="BM53" s="585"/>
      <c r="BN53" s="585"/>
      <c r="BO53" s="585"/>
      <c r="BP53" s="586"/>
      <c r="BQ53" s="586"/>
      <c r="BR53" s="585"/>
      <c r="BS53" s="584"/>
      <c r="BT53" s="585"/>
      <c r="BU53" s="585"/>
      <c r="BV53" s="585"/>
      <c r="BW53" s="586"/>
      <c r="BX53" s="586"/>
      <c r="BY53" s="585"/>
      <c r="BZ53" s="584"/>
      <c r="CA53" s="585"/>
      <c r="CB53" s="585"/>
      <c r="CC53" s="585"/>
      <c r="CD53" s="586"/>
      <c r="CE53" s="586"/>
      <c r="CF53" s="585"/>
      <c r="CG53" s="584"/>
      <c r="CH53" s="585"/>
      <c r="CI53" s="585"/>
      <c r="CJ53" s="585"/>
      <c r="CK53" s="586"/>
      <c r="CL53" s="586"/>
      <c r="CM53" s="585"/>
      <c r="CN53" s="584"/>
      <c r="CO53" s="585"/>
      <c r="CP53" s="585"/>
      <c r="CQ53" s="585"/>
      <c r="CR53" s="586"/>
      <c r="CS53" s="586"/>
      <c r="CT53" s="585"/>
      <c r="CU53" s="584"/>
      <c r="CV53" s="585"/>
      <c r="CW53" s="585"/>
      <c r="CX53" s="585"/>
      <c r="CY53" s="586"/>
      <c r="CZ53" s="586"/>
      <c r="DA53" s="585"/>
      <c r="DB53" s="584"/>
      <c r="DC53" s="585"/>
      <c r="DD53" s="585"/>
      <c r="DE53" s="585"/>
      <c r="DF53" s="586"/>
      <c r="DG53" s="586"/>
      <c r="DH53" s="585"/>
      <c r="DI53" s="584"/>
      <c r="DJ53" s="585"/>
      <c r="DK53" s="585"/>
      <c r="DL53" s="585"/>
      <c r="DM53" s="586"/>
      <c r="DN53" s="586"/>
      <c r="DO53" s="585"/>
      <c r="DP53" s="584"/>
      <c r="DQ53" s="585"/>
      <c r="DR53" s="585"/>
      <c r="DS53" s="585"/>
      <c r="DT53" s="586"/>
      <c r="DU53" s="586"/>
      <c r="DV53" s="585"/>
      <c r="DW53" s="584"/>
      <c r="DX53" s="585"/>
      <c r="DY53" s="585"/>
      <c r="DZ53" s="585"/>
      <c r="EA53" s="586"/>
      <c r="EB53" s="586"/>
      <c r="EC53" s="585"/>
      <c r="ED53" s="584"/>
      <c r="EE53" s="585"/>
      <c r="EF53" s="585"/>
      <c r="EG53" s="585"/>
      <c r="EH53" s="586"/>
      <c r="EI53" s="586"/>
      <c r="EJ53" s="585"/>
      <c r="EK53" s="584"/>
      <c r="EL53" s="585"/>
      <c r="EM53" s="585"/>
      <c r="EN53" s="585"/>
      <c r="EO53" s="586"/>
      <c r="EP53" s="586"/>
      <c r="EQ53" s="585"/>
      <c r="ER53" s="584"/>
      <c r="ES53" s="585"/>
      <c r="ET53" s="585"/>
      <c r="EU53" s="585"/>
      <c r="EV53" s="586"/>
      <c r="EW53" s="586"/>
      <c r="EX53" s="585"/>
      <c r="EY53" s="584"/>
      <c r="EZ53" s="585"/>
      <c r="FA53" s="585"/>
      <c r="FB53" s="585"/>
      <c r="FC53" s="586"/>
      <c r="FD53" s="586"/>
      <c r="FE53" s="585"/>
      <c r="FF53" s="584"/>
      <c r="FG53" s="585"/>
      <c r="FH53" s="585"/>
      <c r="FI53" s="585"/>
      <c r="FJ53" s="586"/>
      <c r="FK53" s="586"/>
      <c r="FL53" s="585"/>
      <c r="FM53" s="584"/>
      <c r="FN53" s="585"/>
      <c r="FO53" s="585"/>
      <c r="FP53" s="585"/>
      <c r="FQ53" s="586"/>
      <c r="FR53" s="586"/>
      <c r="FS53" s="585"/>
      <c r="FT53" s="584"/>
      <c r="FU53" s="585"/>
      <c r="FV53" s="585"/>
      <c r="FW53" s="585"/>
      <c r="FX53" s="586"/>
      <c r="FY53" s="586"/>
      <c r="FZ53" s="585"/>
      <c r="GA53" s="584"/>
      <c r="GB53" s="585"/>
      <c r="GC53" s="585"/>
      <c r="GD53" s="585"/>
      <c r="GE53" s="586"/>
      <c r="GF53" s="586"/>
      <c r="GG53" s="585"/>
      <c r="GH53" s="584"/>
      <c r="GI53" s="585"/>
      <c r="GJ53" s="585"/>
      <c r="GK53" s="585"/>
      <c r="GL53" s="586"/>
      <c r="GM53" s="586"/>
      <c r="GN53" s="585"/>
      <c r="GO53" s="584"/>
      <c r="GP53" s="585"/>
      <c r="GQ53" s="585"/>
      <c r="GR53" s="585"/>
      <c r="GS53" s="586"/>
      <c r="GT53" s="586"/>
      <c r="GU53" s="585"/>
      <c r="GV53" s="584"/>
      <c r="GW53" s="585"/>
      <c r="GX53" s="585"/>
      <c r="GY53" s="585"/>
      <c r="GZ53" s="586"/>
      <c r="HA53" s="586"/>
      <c r="HB53" s="585"/>
      <c r="HC53" s="584"/>
      <c r="HD53" s="585"/>
      <c r="HE53" s="585"/>
      <c r="HF53" s="585"/>
      <c r="HG53" s="586"/>
      <c r="HH53" s="586"/>
      <c r="HI53" s="585"/>
      <c r="HJ53" s="584"/>
      <c r="HK53" s="585"/>
      <c r="HL53" s="585"/>
      <c r="HM53" s="585"/>
      <c r="HN53" s="586"/>
      <c r="HO53" s="586"/>
      <c r="HP53" s="585"/>
      <c r="HQ53" s="584"/>
      <c r="HR53" s="585"/>
      <c r="HS53" s="585"/>
      <c r="HT53" s="585"/>
      <c r="HU53" s="586"/>
      <c r="HV53" s="586"/>
      <c r="HW53" s="585"/>
      <c r="HX53" s="584"/>
      <c r="HY53" s="585"/>
      <c r="HZ53" s="585"/>
      <c r="IA53" s="585"/>
      <c r="IB53" s="586"/>
      <c r="IC53" s="586"/>
      <c r="ID53" s="585"/>
      <c r="IE53" s="584"/>
      <c r="IF53" s="585"/>
      <c r="IG53" s="585"/>
      <c r="IH53" s="585"/>
      <c r="II53" s="586"/>
      <c r="IJ53" s="586"/>
      <c r="IK53" s="585"/>
      <c r="IL53" s="584"/>
      <c r="IM53" s="585"/>
      <c r="IN53" s="585"/>
      <c r="IO53" s="585"/>
      <c r="IP53" s="586"/>
      <c r="IQ53" s="586"/>
      <c r="IR53" s="585"/>
      <c r="IS53" s="584"/>
      <c r="IT53" s="585"/>
      <c r="IU53" s="585"/>
      <c r="IV53" s="585"/>
    </row>
    <row r="54" spans="1:256" ht="12.75">
      <c r="A54" s="473" t="s">
        <v>269</v>
      </c>
      <c r="B54" s="507">
        <v>14279</v>
      </c>
      <c r="C54" s="507">
        <v>156</v>
      </c>
      <c r="D54" s="507">
        <v>1</v>
      </c>
      <c r="E54" s="40">
        <v>0.0070032915470271025</v>
      </c>
      <c r="F54" s="40">
        <v>0.641025641025641</v>
      </c>
      <c r="G54" s="507">
        <v>1</v>
      </c>
      <c r="H54" s="587"/>
      <c r="I54" s="510"/>
      <c r="J54" s="510"/>
      <c r="K54" s="510"/>
      <c r="L54" s="588"/>
      <c r="M54" s="588"/>
      <c r="N54" s="510"/>
      <c r="O54" s="587"/>
      <c r="P54" s="510"/>
      <c r="Q54" s="510"/>
      <c r="R54" s="510"/>
      <c r="S54" s="588"/>
      <c r="T54" s="588"/>
      <c r="U54" s="510"/>
      <c r="V54" s="587"/>
      <c r="W54" s="510"/>
      <c r="X54" s="510"/>
      <c r="Y54" s="510"/>
      <c r="Z54" s="588"/>
      <c r="AA54" s="588"/>
      <c r="AB54" s="510"/>
      <c r="AC54" s="587"/>
      <c r="AD54" s="510"/>
      <c r="AE54" s="510"/>
      <c r="AF54" s="510"/>
      <c r="AG54" s="588"/>
      <c r="AH54" s="588"/>
      <c r="AI54" s="510"/>
      <c r="AJ54" s="587"/>
      <c r="AK54" s="510"/>
      <c r="AL54" s="510"/>
      <c r="AM54" s="510"/>
      <c r="AN54" s="588"/>
      <c r="AO54" s="588"/>
      <c r="AP54" s="510"/>
      <c r="AQ54" s="587"/>
      <c r="AR54" s="510"/>
      <c r="AS54" s="510"/>
      <c r="AT54" s="510"/>
      <c r="AU54" s="588"/>
      <c r="AV54" s="588"/>
      <c r="AW54" s="510"/>
      <c r="AX54" s="587"/>
      <c r="AY54" s="510"/>
      <c r="AZ54" s="510"/>
      <c r="BA54" s="510"/>
      <c r="BB54" s="588"/>
      <c r="BC54" s="588"/>
      <c r="BD54" s="510"/>
      <c r="BE54" s="587"/>
      <c r="BF54" s="510"/>
      <c r="BG54" s="510"/>
      <c r="BH54" s="510"/>
      <c r="BI54" s="588"/>
      <c r="BJ54" s="588"/>
      <c r="BK54" s="510"/>
      <c r="BL54" s="587"/>
      <c r="BM54" s="510"/>
      <c r="BN54" s="510"/>
      <c r="BO54" s="510"/>
      <c r="BP54" s="588"/>
      <c r="BQ54" s="588"/>
      <c r="BR54" s="510"/>
      <c r="BS54" s="587"/>
      <c r="BT54" s="510"/>
      <c r="BU54" s="510"/>
      <c r="BV54" s="510"/>
      <c r="BW54" s="588"/>
      <c r="BX54" s="588"/>
      <c r="BY54" s="510"/>
      <c r="BZ54" s="587"/>
      <c r="CA54" s="510"/>
      <c r="CB54" s="510"/>
      <c r="CC54" s="510"/>
      <c r="CD54" s="588"/>
      <c r="CE54" s="588"/>
      <c r="CF54" s="510"/>
      <c r="CG54" s="587"/>
      <c r="CH54" s="510"/>
      <c r="CI54" s="510"/>
      <c r="CJ54" s="510"/>
      <c r="CK54" s="588"/>
      <c r="CL54" s="588"/>
      <c r="CM54" s="510"/>
      <c r="CN54" s="587"/>
      <c r="CO54" s="510"/>
      <c r="CP54" s="510"/>
      <c r="CQ54" s="510"/>
      <c r="CR54" s="588"/>
      <c r="CS54" s="588"/>
      <c r="CT54" s="510"/>
      <c r="CU54" s="587"/>
      <c r="CV54" s="510"/>
      <c r="CW54" s="510"/>
      <c r="CX54" s="510"/>
      <c r="CY54" s="588"/>
      <c r="CZ54" s="588"/>
      <c r="DA54" s="510"/>
      <c r="DB54" s="587"/>
      <c r="DC54" s="510"/>
      <c r="DD54" s="510"/>
      <c r="DE54" s="510"/>
      <c r="DF54" s="588"/>
      <c r="DG54" s="588"/>
      <c r="DH54" s="510"/>
      <c r="DI54" s="587"/>
      <c r="DJ54" s="510"/>
      <c r="DK54" s="510"/>
      <c r="DL54" s="510"/>
      <c r="DM54" s="588"/>
      <c r="DN54" s="588"/>
      <c r="DO54" s="510"/>
      <c r="DP54" s="587"/>
      <c r="DQ54" s="510"/>
      <c r="DR54" s="510"/>
      <c r="DS54" s="510"/>
      <c r="DT54" s="588"/>
      <c r="DU54" s="588"/>
      <c r="DV54" s="510"/>
      <c r="DW54" s="587"/>
      <c r="DX54" s="510"/>
      <c r="DY54" s="510"/>
      <c r="DZ54" s="510"/>
      <c r="EA54" s="588"/>
      <c r="EB54" s="588"/>
      <c r="EC54" s="510"/>
      <c r="ED54" s="587"/>
      <c r="EE54" s="510"/>
      <c r="EF54" s="510"/>
      <c r="EG54" s="510"/>
      <c r="EH54" s="588"/>
      <c r="EI54" s="588"/>
      <c r="EJ54" s="510"/>
      <c r="EK54" s="587"/>
      <c r="EL54" s="510"/>
      <c r="EM54" s="510"/>
      <c r="EN54" s="510"/>
      <c r="EO54" s="588"/>
      <c r="EP54" s="588"/>
      <c r="EQ54" s="510"/>
      <c r="ER54" s="587"/>
      <c r="ES54" s="510"/>
      <c r="ET54" s="510"/>
      <c r="EU54" s="510"/>
      <c r="EV54" s="588"/>
      <c r="EW54" s="588"/>
      <c r="EX54" s="510"/>
      <c r="EY54" s="587"/>
      <c r="EZ54" s="510"/>
      <c r="FA54" s="510"/>
      <c r="FB54" s="510"/>
      <c r="FC54" s="588"/>
      <c r="FD54" s="588"/>
      <c r="FE54" s="510"/>
      <c r="FF54" s="587"/>
      <c r="FG54" s="510"/>
      <c r="FH54" s="510"/>
      <c r="FI54" s="510"/>
      <c r="FJ54" s="588"/>
      <c r="FK54" s="588"/>
      <c r="FL54" s="510"/>
      <c r="FM54" s="587"/>
      <c r="FN54" s="510"/>
      <c r="FO54" s="510"/>
      <c r="FP54" s="510"/>
      <c r="FQ54" s="588"/>
      <c r="FR54" s="588"/>
      <c r="FS54" s="510"/>
      <c r="FT54" s="587"/>
      <c r="FU54" s="510"/>
      <c r="FV54" s="510"/>
      <c r="FW54" s="510"/>
      <c r="FX54" s="588"/>
      <c r="FY54" s="588"/>
      <c r="FZ54" s="510"/>
      <c r="GA54" s="587"/>
      <c r="GB54" s="510"/>
      <c r="GC54" s="510"/>
      <c r="GD54" s="510"/>
      <c r="GE54" s="588"/>
      <c r="GF54" s="588"/>
      <c r="GG54" s="510"/>
      <c r="GH54" s="587"/>
      <c r="GI54" s="510"/>
      <c r="GJ54" s="510"/>
      <c r="GK54" s="510"/>
      <c r="GL54" s="588"/>
      <c r="GM54" s="588"/>
      <c r="GN54" s="510"/>
      <c r="GO54" s="587"/>
      <c r="GP54" s="510"/>
      <c r="GQ54" s="510"/>
      <c r="GR54" s="510"/>
      <c r="GS54" s="588"/>
      <c r="GT54" s="588"/>
      <c r="GU54" s="510"/>
      <c r="GV54" s="587"/>
      <c r="GW54" s="510"/>
      <c r="GX54" s="510"/>
      <c r="GY54" s="510"/>
      <c r="GZ54" s="588"/>
      <c r="HA54" s="588"/>
      <c r="HB54" s="510"/>
      <c r="HC54" s="587"/>
      <c r="HD54" s="510"/>
      <c r="HE54" s="510"/>
      <c r="HF54" s="510"/>
      <c r="HG54" s="588"/>
      <c r="HH54" s="588"/>
      <c r="HI54" s="510"/>
      <c r="HJ54" s="587"/>
      <c r="HK54" s="510"/>
      <c r="HL54" s="510"/>
      <c r="HM54" s="510"/>
      <c r="HN54" s="588"/>
      <c r="HO54" s="588"/>
      <c r="HP54" s="510"/>
      <c r="HQ54" s="587"/>
      <c r="HR54" s="510"/>
      <c r="HS54" s="510"/>
      <c r="HT54" s="510"/>
      <c r="HU54" s="588"/>
      <c r="HV54" s="588"/>
      <c r="HW54" s="510"/>
      <c r="HX54" s="587"/>
      <c r="HY54" s="510"/>
      <c r="HZ54" s="510"/>
      <c r="IA54" s="510"/>
      <c r="IB54" s="588"/>
      <c r="IC54" s="588"/>
      <c r="ID54" s="510"/>
      <c r="IE54" s="587"/>
      <c r="IF54" s="510"/>
      <c r="IG54" s="510"/>
      <c r="IH54" s="510"/>
      <c r="II54" s="588"/>
      <c r="IJ54" s="588"/>
      <c r="IK54" s="510"/>
      <c r="IL54" s="587"/>
      <c r="IM54" s="510"/>
      <c r="IN54" s="510"/>
      <c r="IO54" s="510"/>
      <c r="IP54" s="588"/>
      <c r="IQ54" s="588"/>
      <c r="IR54" s="510"/>
      <c r="IS54" s="587"/>
      <c r="IT54" s="510"/>
      <c r="IU54" s="510"/>
      <c r="IV54" s="510"/>
    </row>
    <row r="55" spans="1:256" ht="12.75">
      <c r="A55" s="473" t="s">
        <v>270</v>
      </c>
      <c r="B55" s="507">
        <v>1241</v>
      </c>
      <c r="C55" s="507">
        <v>499</v>
      </c>
      <c r="D55" s="507"/>
      <c r="E55" s="40"/>
      <c r="F55" s="40"/>
      <c r="G55" s="507">
        <v>0</v>
      </c>
      <c r="H55" s="587"/>
      <c r="I55" s="510"/>
      <c r="J55" s="510"/>
      <c r="K55" s="510"/>
      <c r="L55" s="588"/>
      <c r="M55" s="588"/>
      <c r="N55" s="510"/>
      <c r="O55" s="587"/>
      <c r="P55" s="510"/>
      <c r="Q55" s="510"/>
      <c r="R55" s="510"/>
      <c r="S55" s="588"/>
      <c r="T55" s="588"/>
      <c r="U55" s="510"/>
      <c r="V55" s="587"/>
      <c r="W55" s="510"/>
      <c r="X55" s="510"/>
      <c r="Y55" s="510"/>
      <c r="Z55" s="588"/>
      <c r="AA55" s="588"/>
      <c r="AB55" s="510"/>
      <c r="AC55" s="587"/>
      <c r="AD55" s="510"/>
      <c r="AE55" s="510"/>
      <c r="AF55" s="510"/>
      <c r="AG55" s="588"/>
      <c r="AH55" s="588"/>
      <c r="AI55" s="510"/>
      <c r="AJ55" s="587"/>
      <c r="AK55" s="510"/>
      <c r="AL55" s="510"/>
      <c r="AM55" s="510"/>
      <c r="AN55" s="588"/>
      <c r="AO55" s="588"/>
      <c r="AP55" s="510"/>
      <c r="AQ55" s="587"/>
      <c r="AR55" s="510"/>
      <c r="AS55" s="510"/>
      <c r="AT55" s="510"/>
      <c r="AU55" s="588"/>
      <c r="AV55" s="588"/>
      <c r="AW55" s="510"/>
      <c r="AX55" s="587"/>
      <c r="AY55" s="510"/>
      <c r="AZ55" s="510"/>
      <c r="BA55" s="510"/>
      <c r="BB55" s="588"/>
      <c r="BC55" s="588"/>
      <c r="BD55" s="510"/>
      <c r="BE55" s="587"/>
      <c r="BF55" s="510"/>
      <c r="BG55" s="510"/>
      <c r="BH55" s="510"/>
      <c r="BI55" s="588"/>
      <c r="BJ55" s="588"/>
      <c r="BK55" s="510"/>
      <c r="BL55" s="587"/>
      <c r="BM55" s="510"/>
      <c r="BN55" s="510"/>
      <c r="BO55" s="510"/>
      <c r="BP55" s="588"/>
      <c r="BQ55" s="588"/>
      <c r="BR55" s="510"/>
      <c r="BS55" s="587"/>
      <c r="BT55" s="510"/>
      <c r="BU55" s="510"/>
      <c r="BV55" s="510"/>
      <c r="BW55" s="588"/>
      <c r="BX55" s="588"/>
      <c r="BY55" s="510"/>
      <c r="BZ55" s="587"/>
      <c r="CA55" s="510"/>
      <c r="CB55" s="510"/>
      <c r="CC55" s="510"/>
      <c r="CD55" s="588"/>
      <c r="CE55" s="588"/>
      <c r="CF55" s="510"/>
      <c r="CG55" s="587"/>
      <c r="CH55" s="510"/>
      <c r="CI55" s="510"/>
      <c r="CJ55" s="510"/>
      <c r="CK55" s="588"/>
      <c r="CL55" s="588"/>
      <c r="CM55" s="510"/>
      <c r="CN55" s="587"/>
      <c r="CO55" s="510"/>
      <c r="CP55" s="510"/>
      <c r="CQ55" s="510"/>
      <c r="CR55" s="588"/>
      <c r="CS55" s="588"/>
      <c r="CT55" s="510"/>
      <c r="CU55" s="587"/>
      <c r="CV55" s="510"/>
      <c r="CW55" s="510"/>
      <c r="CX55" s="510"/>
      <c r="CY55" s="588"/>
      <c r="CZ55" s="588"/>
      <c r="DA55" s="510"/>
      <c r="DB55" s="587"/>
      <c r="DC55" s="510"/>
      <c r="DD55" s="510"/>
      <c r="DE55" s="510"/>
      <c r="DF55" s="588"/>
      <c r="DG55" s="588"/>
      <c r="DH55" s="510"/>
      <c r="DI55" s="587"/>
      <c r="DJ55" s="510"/>
      <c r="DK55" s="510"/>
      <c r="DL55" s="510"/>
      <c r="DM55" s="588"/>
      <c r="DN55" s="588"/>
      <c r="DO55" s="510"/>
      <c r="DP55" s="587"/>
      <c r="DQ55" s="510"/>
      <c r="DR55" s="510"/>
      <c r="DS55" s="510"/>
      <c r="DT55" s="588"/>
      <c r="DU55" s="588"/>
      <c r="DV55" s="510"/>
      <c r="DW55" s="587"/>
      <c r="DX55" s="510"/>
      <c r="DY55" s="510"/>
      <c r="DZ55" s="510"/>
      <c r="EA55" s="588"/>
      <c r="EB55" s="588"/>
      <c r="EC55" s="510"/>
      <c r="ED55" s="587"/>
      <c r="EE55" s="510"/>
      <c r="EF55" s="510"/>
      <c r="EG55" s="510"/>
      <c r="EH55" s="588"/>
      <c r="EI55" s="588"/>
      <c r="EJ55" s="510"/>
      <c r="EK55" s="587"/>
      <c r="EL55" s="510"/>
      <c r="EM55" s="510"/>
      <c r="EN55" s="510"/>
      <c r="EO55" s="588"/>
      <c r="EP55" s="588"/>
      <c r="EQ55" s="510"/>
      <c r="ER55" s="587"/>
      <c r="ES55" s="510"/>
      <c r="ET55" s="510"/>
      <c r="EU55" s="510"/>
      <c r="EV55" s="588"/>
      <c r="EW55" s="588"/>
      <c r="EX55" s="510"/>
      <c r="EY55" s="587"/>
      <c r="EZ55" s="510"/>
      <c r="FA55" s="510"/>
      <c r="FB55" s="510"/>
      <c r="FC55" s="588"/>
      <c r="FD55" s="588"/>
      <c r="FE55" s="510"/>
      <c r="FF55" s="587"/>
      <c r="FG55" s="510"/>
      <c r="FH55" s="510"/>
      <c r="FI55" s="510"/>
      <c r="FJ55" s="588"/>
      <c r="FK55" s="588"/>
      <c r="FL55" s="510"/>
      <c r="FM55" s="587"/>
      <c r="FN55" s="510"/>
      <c r="FO55" s="510"/>
      <c r="FP55" s="510"/>
      <c r="FQ55" s="588"/>
      <c r="FR55" s="588"/>
      <c r="FS55" s="510"/>
      <c r="FT55" s="587"/>
      <c r="FU55" s="510"/>
      <c r="FV55" s="510"/>
      <c r="FW55" s="510"/>
      <c r="FX55" s="588"/>
      <c r="FY55" s="588"/>
      <c r="FZ55" s="510"/>
      <c r="GA55" s="587"/>
      <c r="GB55" s="510"/>
      <c r="GC55" s="510"/>
      <c r="GD55" s="510"/>
      <c r="GE55" s="588"/>
      <c r="GF55" s="588"/>
      <c r="GG55" s="510"/>
      <c r="GH55" s="587"/>
      <c r="GI55" s="510"/>
      <c r="GJ55" s="510"/>
      <c r="GK55" s="510"/>
      <c r="GL55" s="588"/>
      <c r="GM55" s="588"/>
      <c r="GN55" s="510"/>
      <c r="GO55" s="587"/>
      <c r="GP55" s="510"/>
      <c r="GQ55" s="510"/>
      <c r="GR55" s="510"/>
      <c r="GS55" s="588"/>
      <c r="GT55" s="588"/>
      <c r="GU55" s="510"/>
      <c r="GV55" s="587"/>
      <c r="GW55" s="510"/>
      <c r="GX55" s="510"/>
      <c r="GY55" s="510"/>
      <c r="GZ55" s="588"/>
      <c r="HA55" s="588"/>
      <c r="HB55" s="510"/>
      <c r="HC55" s="587"/>
      <c r="HD55" s="510"/>
      <c r="HE55" s="510"/>
      <c r="HF55" s="510"/>
      <c r="HG55" s="588"/>
      <c r="HH55" s="588"/>
      <c r="HI55" s="510"/>
      <c r="HJ55" s="587"/>
      <c r="HK55" s="510"/>
      <c r="HL55" s="510"/>
      <c r="HM55" s="510"/>
      <c r="HN55" s="588"/>
      <c r="HO55" s="588"/>
      <c r="HP55" s="510"/>
      <c r="HQ55" s="587"/>
      <c r="HR55" s="510"/>
      <c r="HS55" s="510"/>
      <c r="HT55" s="510"/>
      <c r="HU55" s="588"/>
      <c r="HV55" s="588"/>
      <c r="HW55" s="510"/>
      <c r="HX55" s="587"/>
      <c r="HY55" s="510"/>
      <c r="HZ55" s="510"/>
      <c r="IA55" s="510"/>
      <c r="IB55" s="588"/>
      <c r="IC55" s="588"/>
      <c r="ID55" s="510"/>
      <c r="IE55" s="587"/>
      <c r="IF55" s="510"/>
      <c r="IG55" s="510"/>
      <c r="IH55" s="510"/>
      <c r="II55" s="588"/>
      <c r="IJ55" s="588"/>
      <c r="IK55" s="510"/>
      <c r="IL55" s="587"/>
      <c r="IM55" s="510"/>
      <c r="IN55" s="510"/>
      <c r="IO55" s="510"/>
      <c r="IP55" s="588"/>
      <c r="IQ55" s="588"/>
      <c r="IR55" s="510"/>
      <c r="IS55" s="587"/>
      <c r="IT55" s="510"/>
      <c r="IU55" s="510"/>
      <c r="IV55" s="510"/>
    </row>
    <row r="56" spans="1:256" ht="12.75">
      <c r="A56" s="505" t="s">
        <v>273</v>
      </c>
      <c r="B56" s="475">
        <v>4800</v>
      </c>
      <c r="C56" s="475">
        <v>49</v>
      </c>
      <c r="D56" s="475">
        <v>15</v>
      </c>
      <c r="E56" s="506">
        <v>0.3125</v>
      </c>
      <c r="F56" s="506">
        <v>30.612244897959183</v>
      </c>
      <c r="G56" s="475">
        <v>15</v>
      </c>
      <c r="H56" s="584"/>
      <c r="I56" s="585"/>
      <c r="J56" s="585"/>
      <c r="K56" s="585"/>
      <c r="L56" s="586"/>
      <c r="M56" s="586"/>
      <c r="N56" s="585"/>
      <c r="O56" s="584"/>
      <c r="P56" s="585"/>
      <c r="Q56" s="585"/>
      <c r="R56" s="585"/>
      <c r="S56" s="586"/>
      <c r="T56" s="586"/>
      <c r="U56" s="585"/>
      <c r="V56" s="584"/>
      <c r="W56" s="585"/>
      <c r="X56" s="585"/>
      <c r="Y56" s="585"/>
      <c r="Z56" s="586"/>
      <c r="AA56" s="586"/>
      <c r="AB56" s="585"/>
      <c r="AC56" s="584"/>
      <c r="AD56" s="585"/>
      <c r="AE56" s="585"/>
      <c r="AF56" s="585"/>
      <c r="AG56" s="586"/>
      <c r="AH56" s="586"/>
      <c r="AI56" s="585"/>
      <c r="AJ56" s="584"/>
      <c r="AK56" s="585"/>
      <c r="AL56" s="585"/>
      <c r="AM56" s="585"/>
      <c r="AN56" s="586"/>
      <c r="AO56" s="586"/>
      <c r="AP56" s="585"/>
      <c r="AQ56" s="584"/>
      <c r="AR56" s="585"/>
      <c r="AS56" s="585"/>
      <c r="AT56" s="585"/>
      <c r="AU56" s="586"/>
      <c r="AV56" s="586"/>
      <c r="AW56" s="585"/>
      <c r="AX56" s="584"/>
      <c r="AY56" s="585"/>
      <c r="AZ56" s="585"/>
      <c r="BA56" s="585"/>
      <c r="BB56" s="586"/>
      <c r="BC56" s="586"/>
      <c r="BD56" s="585"/>
      <c r="BE56" s="584"/>
      <c r="BF56" s="585"/>
      <c r="BG56" s="585"/>
      <c r="BH56" s="585"/>
      <c r="BI56" s="586"/>
      <c r="BJ56" s="586"/>
      <c r="BK56" s="585"/>
      <c r="BL56" s="584"/>
      <c r="BM56" s="585"/>
      <c r="BN56" s="585"/>
      <c r="BO56" s="585"/>
      <c r="BP56" s="586"/>
      <c r="BQ56" s="586"/>
      <c r="BR56" s="585"/>
      <c r="BS56" s="584"/>
      <c r="BT56" s="585"/>
      <c r="BU56" s="585"/>
      <c r="BV56" s="585"/>
      <c r="BW56" s="586"/>
      <c r="BX56" s="586"/>
      <c r="BY56" s="585"/>
      <c r="BZ56" s="584"/>
      <c r="CA56" s="585"/>
      <c r="CB56" s="585"/>
      <c r="CC56" s="585"/>
      <c r="CD56" s="586"/>
      <c r="CE56" s="586"/>
      <c r="CF56" s="585"/>
      <c r="CG56" s="584"/>
      <c r="CH56" s="585"/>
      <c r="CI56" s="585"/>
      <c r="CJ56" s="585"/>
      <c r="CK56" s="586"/>
      <c r="CL56" s="586"/>
      <c r="CM56" s="585"/>
      <c r="CN56" s="584"/>
      <c r="CO56" s="585"/>
      <c r="CP56" s="585"/>
      <c r="CQ56" s="585"/>
      <c r="CR56" s="586"/>
      <c r="CS56" s="586"/>
      <c r="CT56" s="585"/>
      <c r="CU56" s="584"/>
      <c r="CV56" s="585"/>
      <c r="CW56" s="585"/>
      <c r="CX56" s="585"/>
      <c r="CY56" s="586"/>
      <c r="CZ56" s="586"/>
      <c r="DA56" s="585"/>
      <c r="DB56" s="584"/>
      <c r="DC56" s="585"/>
      <c r="DD56" s="585"/>
      <c r="DE56" s="585"/>
      <c r="DF56" s="586"/>
      <c r="DG56" s="586"/>
      <c r="DH56" s="585"/>
      <c r="DI56" s="584"/>
      <c r="DJ56" s="585"/>
      <c r="DK56" s="585"/>
      <c r="DL56" s="585"/>
      <c r="DM56" s="586"/>
      <c r="DN56" s="586"/>
      <c r="DO56" s="585"/>
      <c r="DP56" s="584"/>
      <c r="DQ56" s="585"/>
      <c r="DR56" s="585"/>
      <c r="DS56" s="585"/>
      <c r="DT56" s="586"/>
      <c r="DU56" s="586"/>
      <c r="DV56" s="585"/>
      <c r="DW56" s="584"/>
      <c r="DX56" s="585"/>
      <c r="DY56" s="585"/>
      <c r="DZ56" s="585"/>
      <c r="EA56" s="586"/>
      <c r="EB56" s="586"/>
      <c r="EC56" s="585"/>
      <c r="ED56" s="584"/>
      <c r="EE56" s="585"/>
      <c r="EF56" s="585"/>
      <c r="EG56" s="585"/>
      <c r="EH56" s="586"/>
      <c r="EI56" s="586"/>
      <c r="EJ56" s="585"/>
      <c r="EK56" s="584"/>
      <c r="EL56" s="585"/>
      <c r="EM56" s="585"/>
      <c r="EN56" s="585"/>
      <c r="EO56" s="586"/>
      <c r="EP56" s="586"/>
      <c r="EQ56" s="585"/>
      <c r="ER56" s="584"/>
      <c r="ES56" s="585"/>
      <c r="ET56" s="585"/>
      <c r="EU56" s="585"/>
      <c r="EV56" s="586"/>
      <c r="EW56" s="586"/>
      <c r="EX56" s="585"/>
      <c r="EY56" s="584"/>
      <c r="EZ56" s="585"/>
      <c r="FA56" s="585"/>
      <c r="FB56" s="585"/>
      <c r="FC56" s="586"/>
      <c r="FD56" s="586"/>
      <c r="FE56" s="585"/>
      <c r="FF56" s="584"/>
      <c r="FG56" s="585"/>
      <c r="FH56" s="585"/>
      <c r="FI56" s="585"/>
      <c r="FJ56" s="586"/>
      <c r="FK56" s="586"/>
      <c r="FL56" s="585"/>
      <c r="FM56" s="584"/>
      <c r="FN56" s="585"/>
      <c r="FO56" s="585"/>
      <c r="FP56" s="585"/>
      <c r="FQ56" s="586"/>
      <c r="FR56" s="586"/>
      <c r="FS56" s="585"/>
      <c r="FT56" s="584"/>
      <c r="FU56" s="585"/>
      <c r="FV56" s="585"/>
      <c r="FW56" s="585"/>
      <c r="FX56" s="586"/>
      <c r="FY56" s="586"/>
      <c r="FZ56" s="585"/>
      <c r="GA56" s="584"/>
      <c r="GB56" s="585"/>
      <c r="GC56" s="585"/>
      <c r="GD56" s="585"/>
      <c r="GE56" s="586"/>
      <c r="GF56" s="586"/>
      <c r="GG56" s="585"/>
      <c r="GH56" s="584"/>
      <c r="GI56" s="585"/>
      <c r="GJ56" s="585"/>
      <c r="GK56" s="585"/>
      <c r="GL56" s="586"/>
      <c r="GM56" s="586"/>
      <c r="GN56" s="585"/>
      <c r="GO56" s="584"/>
      <c r="GP56" s="585"/>
      <c r="GQ56" s="585"/>
      <c r="GR56" s="585"/>
      <c r="GS56" s="586"/>
      <c r="GT56" s="586"/>
      <c r="GU56" s="585"/>
      <c r="GV56" s="584"/>
      <c r="GW56" s="585"/>
      <c r="GX56" s="585"/>
      <c r="GY56" s="585"/>
      <c r="GZ56" s="586"/>
      <c r="HA56" s="586"/>
      <c r="HB56" s="585"/>
      <c r="HC56" s="584"/>
      <c r="HD56" s="585"/>
      <c r="HE56" s="585"/>
      <c r="HF56" s="585"/>
      <c r="HG56" s="586"/>
      <c r="HH56" s="586"/>
      <c r="HI56" s="585"/>
      <c r="HJ56" s="584"/>
      <c r="HK56" s="585"/>
      <c r="HL56" s="585"/>
      <c r="HM56" s="585"/>
      <c r="HN56" s="586"/>
      <c r="HO56" s="586"/>
      <c r="HP56" s="585"/>
      <c r="HQ56" s="584"/>
      <c r="HR56" s="585"/>
      <c r="HS56" s="585"/>
      <c r="HT56" s="585"/>
      <c r="HU56" s="586"/>
      <c r="HV56" s="586"/>
      <c r="HW56" s="585"/>
      <c r="HX56" s="584"/>
      <c r="HY56" s="585"/>
      <c r="HZ56" s="585"/>
      <c r="IA56" s="585"/>
      <c r="IB56" s="586"/>
      <c r="IC56" s="586"/>
      <c r="ID56" s="585"/>
      <c r="IE56" s="584"/>
      <c r="IF56" s="585"/>
      <c r="IG56" s="585"/>
      <c r="IH56" s="585"/>
      <c r="II56" s="586"/>
      <c r="IJ56" s="586"/>
      <c r="IK56" s="585"/>
      <c r="IL56" s="584"/>
      <c r="IM56" s="585"/>
      <c r="IN56" s="585"/>
      <c r="IO56" s="585"/>
      <c r="IP56" s="586"/>
      <c r="IQ56" s="586"/>
      <c r="IR56" s="585"/>
      <c r="IS56" s="584"/>
      <c r="IT56" s="585"/>
      <c r="IU56" s="585"/>
      <c r="IV56" s="585"/>
    </row>
    <row r="57" spans="1:256" ht="12.75">
      <c r="A57" s="473" t="s">
        <v>269</v>
      </c>
      <c r="B57" s="507">
        <v>4578</v>
      </c>
      <c r="C57" s="507">
        <v>0</v>
      </c>
      <c r="D57" s="507"/>
      <c r="E57" s="40"/>
      <c r="F57" s="40"/>
      <c r="G57" s="507">
        <v>0</v>
      </c>
      <c r="H57" s="587"/>
      <c r="I57" s="510"/>
      <c r="J57" s="510"/>
      <c r="K57" s="510"/>
      <c r="L57" s="588"/>
      <c r="M57" s="588"/>
      <c r="N57" s="510"/>
      <c r="O57" s="587"/>
      <c r="P57" s="510"/>
      <c r="Q57" s="510"/>
      <c r="R57" s="510"/>
      <c r="S57" s="588"/>
      <c r="T57" s="588"/>
      <c r="U57" s="510"/>
      <c r="V57" s="587"/>
      <c r="W57" s="510"/>
      <c r="X57" s="510"/>
      <c r="Y57" s="510"/>
      <c r="Z57" s="588"/>
      <c r="AA57" s="588"/>
      <c r="AB57" s="510"/>
      <c r="AC57" s="587"/>
      <c r="AD57" s="510"/>
      <c r="AE57" s="510"/>
      <c r="AF57" s="510"/>
      <c r="AG57" s="588"/>
      <c r="AH57" s="588"/>
      <c r="AI57" s="510"/>
      <c r="AJ57" s="587"/>
      <c r="AK57" s="510"/>
      <c r="AL57" s="510"/>
      <c r="AM57" s="510"/>
      <c r="AN57" s="588"/>
      <c r="AO57" s="588"/>
      <c r="AP57" s="510"/>
      <c r="AQ57" s="587"/>
      <c r="AR57" s="510"/>
      <c r="AS57" s="510"/>
      <c r="AT57" s="510"/>
      <c r="AU57" s="588"/>
      <c r="AV57" s="588"/>
      <c r="AW57" s="510"/>
      <c r="AX57" s="587"/>
      <c r="AY57" s="510"/>
      <c r="AZ57" s="510"/>
      <c r="BA57" s="510"/>
      <c r="BB57" s="588"/>
      <c r="BC57" s="588"/>
      <c r="BD57" s="510"/>
      <c r="BE57" s="587"/>
      <c r="BF57" s="510"/>
      <c r="BG57" s="510"/>
      <c r="BH57" s="510"/>
      <c r="BI57" s="588"/>
      <c r="BJ57" s="588"/>
      <c r="BK57" s="510"/>
      <c r="BL57" s="587"/>
      <c r="BM57" s="510"/>
      <c r="BN57" s="510"/>
      <c r="BO57" s="510"/>
      <c r="BP57" s="588"/>
      <c r="BQ57" s="588"/>
      <c r="BR57" s="510"/>
      <c r="BS57" s="587"/>
      <c r="BT57" s="510"/>
      <c r="BU57" s="510"/>
      <c r="BV57" s="510"/>
      <c r="BW57" s="588"/>
      <c r="BX57" s="588"/>
      <c r="BY57" s="510"/>
      <c r="BZ57" s="587"/>
      <c r="CA57" s="510"/>
      <c r="CB57" s="510"/>
      <c r="CC57" s="510"/>
      <c r="CD57" s="588"/>
      <c r="CE57" s="588"/>
      <c r="CF57" s="510"/>
      <c r="CG57" s="587"/>
      <c r="CH57" s="510"/>
      <c r="CI57" s="510"/>
      <c r="CJ57" s="510"/>
      <c r="CK57" s="588"/>
      <c r="CL57" s="588"/>
      <c r="CM57" s="510"/>
      <c r="CN57" s="587"/>
      <c r="CO57" s="510"/>
      <c r="CP57" s="510"/>
      <c r="CQ57" s="510"/>
      <c r="CR57" s="588"/>
      <c r="CS57" s="588"/>
      <c r="CT57" s="510"/>
      <c r="CU57" s="587"/>
      <c r="CV57" s="510"/>
      <c r="CW57" s="510"/>
      <c r="CX57" s="510"/>
      <c r="CY57" s="588"/>
      <c r="CZ57" s="588"/>
      <c r="DA57" s="510"/>
      <c r="DB57" s="587"/>
      <c r="DC57" s="510"/>
      <c r="DD57" s="510"/>
      <c r="DE57" s="510"/>
      <c r="DF57" s="588"/>
      <c r="DG57" s="588"/>
      <c r="DH57" s="510"/>
      <c r="DI57" s="587"/>
      <c r="DJ57" s="510"/>
      <c r="DK57" s="510"/>
      <c r="DL57" s="510"/>
      <c r="DM57" s="588"/>
      <c r="DN57" s="588"/>
      <c r="DO57" s="510"/>
      <c r="DP57" s="587"/>
      <c r="DQ57" s="510"/>
      <c r="DR57" s="510"/>
      <c r="DS57" s="510"/>
      <c r="DT57" s="588"/>
      <c r="DU57" s="588"/>
      <c r="DV57" s="510"/>
      <c r="DW57" s="587"/>
      <c r="DX57" s="510"/>
      <c r="DY57" s="510"/>
      <c r="DZ57" s="510"/>
      <c r="EA57" s="588"/>
      <c r="EB57" s="588"/>
      <c r="EC57" s="510"/>
      <c r="ED57" s="587"/>
      <c r="EE57" s="510"/>
      <c r="EF57" s="510"/>
      <c r="EG57" s="510"/>
      <c r="EH57" s="588"/>
      <c r="EI57" s="588"/>
      <c r="EJ57" s="510"/>
      <c r="EK57" s="587"/>
      <c r="EL57" s="510"/>
      <c r="EM57" s="510"/>
      <c r="EN57" s="510"/>
      <c r="EO57" s="588"/>
      <c r="EP57" s="588"/>
      <c r="EQ57" s="510"/>
      <c r="ER57" s="587"/>
      <c r="ES57" s="510"/>
      <c r="ET57" s="510"/>
      <c r="EU57" s="510"/>
      <c r="EV57" s="588"/>
      <c r="EW57" s="588"/>
      <c r="EX57" s="510"/>
      <c r="EY57" s="587"/>
      <c r="EZ57" s="510"/>
      <c r="FA57" s="510"/>
      <c r="FB57" s="510"/>
      <c r="FC57" s="588"/>
      <c r="FD57" s="588"/>
      <c r="FE57" s="510"/>
      <c r="FF57" s="587"/>
      <c r="FG57" s="510"/>
      <c r="FH57" s="510"/>
      <c r="FI57" s="510"/>
      <c r="FJ57" s="588"/>
      <c r="FK57" s="588"/>
      <c r="FL57" s="510"/>
      <c r="FM57" s="587"/>
      <c r="FN57" s="510"/>
      <c r="FO57" s="510"/>
      <c r="FP57" s="510"/>
      <c r="FQ57" s="588"/>
      <c r="FR57" s="588"/>
      <c r="FS57" s="510"/>
      <c r="FT57" s="587"/>
      <c r="FU57" s="510"/>
      <c r="FV57" s="510"/>
      <c r="FW57" s="510"/>
      <c r="FX57" s="588"/>
      <c r="FY57" s="588"/>
      <c r="FZ57" s="510"/>
      <c r="GA57" s="587"/>
      <c r="GB57" s="510"/>
      <c r="GC57" s="510"/>
      <c r="GD57" s="510"/>
      <c r="GE57" s="588"/>
      <c r="GF57" s="588"/>
      <c r="GG57" s="510"/>
      <c r="GH57" s="587"/>
      <c r="GI57" s="510"/>
      <c r="GJ57" s="510"/>
      <c r="GK57" s="510"/>
      <c r="GL57" s="588"/>
      <c r="GM57" s="588"/>
      <c r="GN57" s="510"/>
      <c r="GO57" s="587"/>
      <c r="GP57" s="510"/>
      <c r="GQ57" s="510"/>
      <c r="GR57" s="510"/>
      <c r="GS57" s="588"/>
      <c r="GT57" s="588"/>
      <c r="GU57" s="510"/>
      <c r="GV57" s="587"/>
      <c r="GW57" s="510"/>
      <c r="GX57" s="510"/>
      <c r="GY57" s="510"/>
      <c r="GZ57" s="588"/>
      <c r="HA57" s="588"/>
      <c r="HB57" s="510"/>
      <c r="HC57" s="587"/>
      <c r="HD57" s="510"/>
      <c r="HE57" s="510"/>
      <c r="HF57" s="510"/>
      <c r="HG57" s="588"/>
      <c r="HH57" s="588"/>
      <c r="HI57" s="510"/>
      <c r="HJ57" s="587"/>
      <c r="HK57" s="510"/>
      <c r="HL57" s="510"/>
      <c r="HM57" s="510"/>
      <c r="HN57" s="588"/>
      <c r="HO57" s="588"/>
      <c r="HP57" s="510"/>
      <c r="HQ57" s="587"/>
      <c r="HR57" s="510"/>
      <c r="HS57" s="510"/>
      <c r="HT57" s="510"/>
      <c r="HU57" s="588"/>
      <c r="HV57" s="588"/>
      <c r="HW57" s="510"/>
      <c r="HX57" s="587"/>
      <c r="HY57" s="510"/>
      <c r="HZ57" s="510"/>
      <c r="IA57" s="510"/>
      <c r="IB57" s="588"/>
      <c r="IC57" s="588"/>
      <c r="ID57" s="510"/>
      <c r="IE57" s="587"/>
      <c r="IF57" s="510"/>
      <c r="IG57" s="510"/>
      <c r="IH57" s="510"/>
      <c r="II57" s="588"/>
      <c r="IJ57" s="588"/>
      <c r="IK57" s="510"/>
      <c r="IL57" s="587"/>
      <c r="IM57" s="510"/>
      <c r="IN57" s="510"/>
      <c r="IO57" s="510"/>
      <c r="IP57" s="588"/>
      <c r="IQ57" s="588"/>
      <c r="IR57" s="510"/>
      <c r="IS57" s="587"/>
      <c r="IT57" s="510"/>
      <c r="IU57" s="510"/>
      <c r="IV57" s="510"/>
    </row>
    <row r="58" spans="1:256" ht="12.75">
      <c r="A58" s="473" t="s">
        <v>270</v>
      </c>
      <c r="B58" s="507">
        <v>222</v>
      </c>
      <c r="C58" s="507">
        <v>49</v>
      </c>
      <c r="D58" s="507">
        <v>15</v>
      </c>
      <c r="E58" s="40">
        <v>6.756756756756757</v>
      </c>
      <c r="F58" s="40">
        <v>30.612244897959183</v>
      </c>
      <c r="G58" s="507">
        <v>15</v>
      </c>
      <c r="H58" s="587"/>
      <c r="I58" s="510"/>
      <c r="J58" s="510"/>
      <c r="K58" s="510"/>
      <c r="L58" s="588"/>
      <c r="M58" s="588"/>
      <c r="N58" s="510"/>
      <c r="O58" s="587"/>
      <c r="P58" s="510"/>
      <c r="Q58" s="510"/>
      <c r="R58" s="510"/>
      <c r="S58" s="588"/>
      <c r="T58" s="588"/>
      <c r="U58" s="510"/>
      <c r="V58" s="587"/>
      <c r="W58" s="510"/>
      <c r="X58" s="510"/>
      <c r="Y58" s="510"/>
      <c r="Z58" s="588"/>
      <c r="AA58" s="588"/>
      <c r="AB58" s="510"/>
      <c r="AC58" s="587"/>
      <c r="AD58" s="510"/>
      <c r="AE58" s="510"/>
      <c r="AF58" s="510"/>
      <c r="AG58" s="588"/>
      <c r="AH58" s="588"/>
      <c r="AI58" s="510"/>
      <c r="AJ58" s="587"/>
      <c r="AK58" s="510"/>
      <c r="AL58" s="510"/>
      <c r="AM58" s="510"/>
      <c r="AN58" s="588"/>
      <c r="AO58" s="588"/>
      <c r="AP58" s="510"/>
      <c r="AQ58" s="587"/>
      <c r="AR58" s="510"/>
      <c r="AS58" s="510"/>
      <c r="AT58" s="510"/>
      <c r="AU58" s="588"/>
      <c r="AV58" s="588"/>
      <c r="AW58" s="510"/>
      <c r="AX58" s="587"/>
      <c r="AY58" s="510"/>
      <c r="AZ58" s="510"/>
      <c r="BA58" s="510"/>
      <c r="BB58" s="588"/>
      <c r="BC58" s="588"/>
      <c r="BD58" s="510"/>
      <c r="BE58" s="587"/>
      <c r="BF58" s="510"/>
      <c r="BG58" s="510"/>
      <c r="BH58" s="510"/>
      <c r="BI58" s="588"/>
      <c r="BJ58" s="588"/>
      <c r="BK58" s="510"/>
      <c r="BL58" s="587"/>
      <c r="BM58" s="510"/>
      <c r="BN58" s="510"/>
      <c r="BO58" s="510"/>
      <c r="BP58" s="588"/>
      <c r="BQ58" s="588"/>
      <c r="BR58" s="510"/>
      <c r="BS58" s="587"/>
      <c r="BT58" s="510"/>
      <c r="BU58" s="510"/>
      <c r="BV58" s="510"/>
      <c r="BW58" s="588"/>
      <c r="BX58" s="588"/>
      <c r="BY58" s="510"/>
      <c r="BZ58" s="587"/>
      <c r="CA58" s="510"/>
      <c r="CB58" s="510"/>
      <c r="CC58" s="510"/>
      <c r="CD58" s="588"/>
      <c r="CE58" s="588"/>
      <c r="CF58" s="510"/>
      <c r="CG58" s="587"/>
      <c r="CH58" s="510"/>
      <c r="CI58" s="510"/>
      <c r="CJ58" s="510"/>
      <c r="CK58" s="588"/>
      <c r="CL58" s="588"/>
      <c r="CM58" s="510"/>
      <c r="CN58" s="587"/>
      <c r="CO58" s="510"/>
      <c r="CP58" s="510"/>
      <c r="CQ58" s="510"/>
      <c r="CR58" s="588"/>
      <c r="CS58" s="588"/>
      <c r="CT58" s="510"/>
      <c r="CU58" s="587"/>
      <c r="CV58" s="510"/>
      <c r="CW58" s="510"/>
      <c r="CX58" s="510"/>
      <c r="CY58" s="588"/>
      <c r="CZ58" s="588"/>
      <c r="DA58" s="510"/>
      <c r="DB58" s="587"/>
      <c r="DC58" s="510"/>
      <c r="DD58" s="510"/>
      <c r="DE58" s="510"/>
      <c r="DF58" s="588"/>
      <c r="DG58" s="588"/>
      <c r="DH58" s="510"/>
      <c r="DI58" s="587"/>
      <c r="DJ58" s="510"/>
      <c r="DK58" s="510"/>
      <c r="DL58" s="510"/>
      <c r="DM58" s="588"/>
      <c r="DN58" s="588"/>
      <c r="DO58" s="510"/>
      <c r="DP58" s="587"/>
      <c r="DQ58" s="510"/>
      <c r="DR58" s="510"/>
      <c r="DS58" s="510"/>
      <c r="DT58" s="588"/>
      <c r="DU58" s="588"/>
      <c r="DV58" s="510"/>
      <c r="DW58" s="587"/>
      <c r="DX58" s="510"/>
      <c r="DY58" s="510"/>
      <c r="DZ58" s="510"/>
      <c r="EA58" s="588"/>
      <c r="EB58" s="588"/>
      <c r="EC58" s="510"/>
      <c r="ED58" s="587"/>
      <c r="EE58" s="510"/>
      <c r="EF58" s="510"/>
      <c r="EG58" s="510"/>
      <c r="EH58" s="588"/>
      <c r="EI58" s="588"/>
      <c r="EJ58" s="510"/>
      <c r="EK58" s="587"/>
      <c r="EL58" s="510"/>
      <c r="EM58" s="510"/>
      <c r="EN58" s="510"/>
      <c r="EO58" s="588"/>
      <c r="EP58" s="588"/>
      <c r="EQ58" s="510"/>
      <c r="ER58" s="587"/>
      <c r="ES58" s="510"/>
      <c r="ET58" s="510"/>
      <c r="EU58" s="510"/>
      <c r="EV58" s="588"/>
      <c r="EW58" s="588"/>
      <c r="EX58" s="510"/>
      <c r="EY58" s="587"/>
      <c r="EZ58" s="510"/>
      <c r="FA58" s="510"/>
      <c r="FB58" s="510"/>
      <c r="FC58" s="588"/>
      <c r="FD58" s="588"/>
      <c r="FE58" s="510"/>
      <c r="FF58" s="587"/>
      <c r="FG58" s="510"/>
      <c r="FH58" s="510"/>
      <c r="FI58" s="510"/>
      <c r="FJ58" s="588"/>
      <c r="FK58" s="588"/>
      <c r="FL58" s="510"/>
      <c r="FM58" s="587"/>
      <c r="FN58" s="510"/>
      <c r="FO58" s="510"/>
      <c r="FP58" s="510"/>
      <c r="FQ58" s="588"/>
      <c r="FR58" s="588"/>
      <c r="FS58" s="510"/>
      <c r="FT58" s="587"/>
      <c r="FU58" s="510"/>
      <c r="FV58" s="510"/>
      <c r="FW58" s="510"/>
      <c r="FX58" s="588"/>
      <c r="FY58" s="588"/>
      <c r="FZ58" s="510"/>
      <c r="GA58" s="587"/>
      <c r="GB58" s="510"/>
      <c r="GC58" s="510"/>
      <c r="GD58" s="510"/>
      <c r="GE58" s="588"/>
      <c r="GF58" s="588"/>
      <c r="GG58" s="510"/>
      <c r="GH58" s="587"/>
      <c r="GI58" s="510"/>
      <c r="GJ58" s="510"/>
      <c r="GK58" s="510"/>
      <c r="GL58" s="588"/>
      <c r="GM58" s="588"/>
      <c r="GN58" s="510"/>
      <c r="GO58" s="587"/>
      <c r="GP58" s="510"/>
      <c r="GQ58" s="510"/>
      <c r="GR58" s="510"/>
      <c r="GS58" s="588"/>
      <c r="GT58" s="588"/>
      <c r="GU58" s="510"/>
      <c r="GV58" s="587"/>
      <c r="GW58" s="510"/>
      <c r="GX58" s="510"/>
      <c r="GY58" s="510"/>
      <c r="GZ58" s="588"/>
      <c r="HA58" s="588"/>
      <c r="HB58" s="510"/>
      <c r="HC58" s="587"/>
      <c r="HD58" s="510"/>
      <c r="HE58" s="510"/>
      <c r="HF58" s="510"/>
      <c r="HG58" s="588"/>
      <c r="HH58" s="588"/>
      <c r="HI58" s="510"/>
      <c r="HJ58" s="587"/>
      <c r="HK58" s="510"/>
      <c r="HL58" s="510"/>
      <c r="HM58" s="510"/>
      <c r="HN58" s="588"/>
      <c r="HO58" s="588"/>
      <c r="HP58" s="510"/>
      <c r="HQ58" s="587"/>
      <c r="HR58" s="510"/>
      <c r="HS58" s="510"/>
      <c r="HT58" s="510"/>
      <c r="HU58" s="588"/>
      <c r="HV58" s="588"/>
      <c r="HW58" s="510"/>
      <c r="HX58" s="587"/>
      <c r="HY58" s="510"/>
      <c r="HZ58" s="510"/>
      <c r="IA58" s="510"/>
      <c r="IB58" s="588"/>
      <c r="IC58" s="588"/>
      <c r="ID58" s="510"/>
      <c r="IE58" s="587"/>
      <c r="IF58" s="510"/>
      <c r="IG58" s="510"/>
      <c r="IH58" s="510"/>
      <c r="II58" s="588"/>
      <c r="IJ58" s="588"/>
      <c r="IK58" s="510"/>
      <c r="IL58" s="587"/>
      <c r="IM58" s="510"/>
      <c r="IN58" s="510"/>
      <c r="IO58" s="510"/>
      <c r="IP58" s="588"/>
      <c r="IQ58" s="588"/>
      <c r="IR58" s="510"/>
      <c r="IS58" s="587"/>
      <c r="IT58" s="510"/>
      <c r="IU58" s="510"/>
      <c r="IV58" s="510"/>
    </row>
    <row r="59" spans="1:256" ht="12.75">
      <c r="A59" s="32" t="s">
        <v>328</v>
      </c>
      <c r="B59" s="248">
        <v>10430</v>
      </c>
      <c r="C59" s="248">
        <v>66</v>
      </c>
      <c r="D59" s="248">
        <v>63</v>
      </c>
      <c r="E59" s="16">
        <v>0.6040268456375839</v>
      </c>
      <c r="F59" s="16">
        <v>95.45454545454545</v>
      </c>
      <c r="G59" s="248">
        <v>63</v>
      </c>
      <c r="H59" s="583"/>
      <c r="I59" s="580"/>
      <c r="J59" s="580"/>
      <c r="K59" s="580"/>
      <c r="L59" s="581"/>
      <c r="M59" s="581"/>
      <c r="N59" s="580"/>
      <c r="O59" s="583"/>
      <c r="P59" s="580"/>
      <c r="Q59" s="580"/>
      <c r="R59" s="580"/>
      <c r="S59" s="581"/>
      <c r="T59" s="581"/>
      <c r="U59" s="580"/>
      <c r="V59" s="583"/>
      <c r="W59" s="580"/>
      <c r="X59" s="580"/>
      <c r="Y59" s="580"/>
      <c r="Z59" s="581"/>
      <c r="AA59" s="581"/>
      <c r="AB59" s="580"/>
      <c r="AC59" s="583"/>
      <c r="AD59" s="580"/>
      <c r="AE59" s="580"/>
      <c r="AF59" s="580"/>
      <c r="AG59" s="581"/>
      <c r="AH59" s="581"/>
      <c r="AI59" s="580"/>
      <c r="AJ59" s="583"/>
      <c r="AK59" s="580"/>
      <c r="AL59" s="580"/>
      <c r="AM59" s="580"/>
      <c r="AN59" s="581"/>
      <c r="AO59" s="581"/>
      <c r="AP59" s="580"/>
      <c r="AQ59" s="583"/>
      <c r="AR59" s="580"/>
      <c r="AS59" s="580"/>
      <c r="AT59" s="580"/>
      <c r="AU59" s="581"/>
      <c r="AV59" s="581"/>
      <c r="AW59" s="580"/>
      <c r="AX59" s="583"/>
      <c r="AY59" s="580"/>
      <c r="AZ59" s="580"/>
      <c r="BA59" s="580"/>
      <c r="BB59" s="581"/>
      <c r="BC59" s="581"/>
      <c r="BD59" s="580"/>
      <c r="BE59" s="583"/>
      <c r="BF59" s="580"/>
      <c r="BG59" s="580"/>
      <c r="BH59" s="580"/>
      <c r="BI59" s="581"/>
      <c r="BJ59" s="581"/>
      <c r="BK59" s="580"/>
      <c r="BL59" s="583"/>
      <c r="BM59" s="580"/>
      <c r="BN59" s="580"/>
      <c r="BO59" s="580"/>
      <c r="BP59" s="581"/>
      <c r="BQ59" s="581"/>
      <c r="BR59" s="580"/>
      <c r="BS59" s="583"/>
      <c r="BT59" s="580"/>
      <c r="BU59" s="580"/>
      <c r="BV59" s="580"/>
      <c r="BW59" s="581"/>
      <c r="BX59" s="581"/>
      <c r="BY59" s="580"/>
      <c r="BZ59" s="583"/>
      <c r="CA59" s="580"/>
      <c r="CB59" s="580"/>
      <c r="CC59" s="580"/>
      <c r="CD59" s="581"/>
      <c r="CE59" s="581"/>
      <c r="CF59" s="580"/>
      <c r="CG59" s="583"/>
      <c r="CH59" s="580"/>
      <c r="CI59" s="580"/>
      <c r="CJ59" s="580"/>
      <c r="CK59" s="581"/>
      <c r="CL59" s="581"/>
      <c r="CM59" s="580"/>
      <c r="CN59" s="583"/>
      <c r="CO59" s="580"/>
      <c r="CP59" s="580"/>
      <c r="CQ59" s="580"/>
      <c r="CR59" s="581"/>
      <c r="CS59" s="581"/>
      <c r="CT59" s="580"/>
      <c r="CU59" s="583"/>
      <c r="CV59" s="580"/>
      <c r="CW59" s="580"/>
      <c r="CX59" s="580"/>
      <c r="CY59" s="581"/>
      <c r="CZ59" s="581"/>
      <c r="DA59" s="580"/>
      <c r="DB59" s="583"/>
      <c r="DC59" s="580"/>
      <c r="DD59" s="580"/>
      <c r="DE59" s="580"/>
      <c r="DF59" s="581"/>
      <c r="DG59" s="581"/>
      <c r="DH59" s="580"/>
      <c r="DI59" s="583"/>
      <c r="DJ59" s="580"/>
      <c r="DK59" s="580"/>
      <c r="DL59" s="580"/>
      <c r="DM59" s="581"/>
      <c r="DN59" s="581"/>
      <c r="DO59" s="580"/>
      <c r="DP59" s="583"/>
      <c r="DQ59" s="580"/>
      <c r="DR59" s="580"/>
      <c r="DS59" s="580"/>
      <c r="DT59" s="581"/>
      <c r="DU59" s="581"/>
      <c r="DV59" s="580"/>
      <c r="DW59" s="583"/>
      <c r="DX59" s="580"/>
      <c r="DY59" s="580"/>
      <c r="DZ59" s="580"/>
      <c r="EA59" s="581"/>
      <c r="EB59" s="581"/>
      <c r="EC59" s="580"/>
      <c r="ED59" s="583"/>
      <c r="EE59" s="580"/>
      <c r="EF59" s="580"/>
      <c r="EG59" s="580"/>
      <c r="EH59" s="581"/>
      <c r="EI59" s="581"/>
      <c r="EJ59" s="580"/>
      <c r="EK59" s="583"/>
      <c r="EL59" s="580"/>
      <c r="EM59" s="580"/>
      <c r="EN59" s="580"/>
      <c r="EO59" s="581"/>
      <c r="EP59" s="581"/>
      <c r="EQ59" s="580"/>
      <c r="ER59" s="583"/>
      <c r="ES59" s="580"/>
      <c r="ET59" s="580"/>
      <c r="EU59" s="580"/>
      <c r="EV59" s="581"/>
      <c r="EW59" s="581"/>
      <c r="EX59" s="580"/>
      <c r="EY59" s="583"/>
      <c r="EZ59" s="580"/>
      <c r="FA59" s="580"/>
      <c r="FB59" s="580"/>
      <c r="FC59" s="581"/>
      <c r="FD59" s="581"/>
      <c r="FE59" s="580"/>
      <c r="FF59" s="583"/>
      <c r="FG59" s="580"/>
      <c r="FH59" s="580"/>
      <c r="FI59" s="580"/>
      <c r="FJ59" s="581"/>
      <c r="FK59" s="581"/>
      <c r="FL59" s="580"/>
      <c r="FM59" s="583"/>
      <c r="FN59" s="580"/>
      <c r="FO59" s="580"/>
      <c r="FP59" s="580"/>
      <c r="FQ59" s="581"/>
      <c r="FR59" s="581"/>
      <c r="FS59" s="580"/>
      <c r="FT59" s="583"/>
      <c r="FU59" s="580"/>
      <c r="FV59" s="580"/>
      <c r="FW59" s="580"/>
      <c r="FX59" s="581"/>
      <c r="FY59" s="581"/>
      <c r="FZ59" s="580"/>
      <c r="GA59" s="583"/>
      <c r="GB59" s="580"/>
      <c r="GC59" s="580"/>
      <c r="GD59" s="580"/>
      <c r="GE59" s="581"/>
      <c r="GF59" s="581"/>
      <c r="GG59" s="580"/>
      <c r="GH59" s="583"/>
      <c r="GI59" s="580"/>
      <c r="GJ59" s="580"/>
      <c r="GK59" s="580"/>
      <c r="GL59" s="581"/>
      <c r="GM59" s="581"/>
      <c r="GN59" s="580"/>
      <c r="GO59" s="583"/>
      <c r="GP59" s="580"/>
      <c r="GQ59" s="580"/>
      <c r="GR59" s="580"/>
      <c r="GS59" s="581"/>
      <c r="GT59" s="581"/>
      <c r="GU59" s="580"/>
      <c r="GV59" s="583"/>
      <c r="GW59" s="580"/>
      <c r="GX59" s="580"/>
      <c r="GY59" s="580"/>
      <c r="GZ59" s="581"/>
      <c r="HA59" s="581"/>
      <c r="HB59" s="580"/>
      <c r="HC59" s="583"/>
      <c r="HD59" s="580"/>
      <c r="HE59" s="580"/>
      <c r="HF59" s="580"/>
      <c r="HG59" s="581"/>
      <c r="HH59" s="581"/>
      <c r="HI59" s="580"/>
      <c r="HJ59" s="583"/>
      <c r="HK59" s="580"/>
      <c r="HL59" s="580"/>
      <c r="HM59" s="580"/>
      <c r="HN59" s="581"/>
      <c r="HO59" s="581"/>
      <c r="HP59" s="580"/>
      <c r="HQ59" s="583"/>
      <c r="HR59" s="580"/>
      <c r="HS59" s="580"/>
      <c r="HT59" s="580"/>
      <c r="HU59" s="581"/>
      <c r="HV59" s="581"/>
      <c r="HW59" s="580"/>
      <c r="HX59" s="583"/>
      <c r="HY59" s="580"/>
      <c r="HZ59" s="580"/>
      <c r="IA59" s="580"/>
      <c r="IB59" s="581"/>
      <c r="IC59" s="581"/>
      <c r="ID59" s="580"/>
      <c r="IE59" s="583"/>
      <c r="IF59" s="580"/>
      <c r="IG59" s="580"/>
      <c r="IH59" s="580"/>
      <c r="II59" s="581"/>
      <c r="IJ59" s="581"/>
      <c r="IK59" s="580"/>
      <c r="IL59" s="583"/>
      <c r="IM59" s="580"/>
      <c r="IN59" s="580"/>
      <c r="IO59" s="580"/>
      <c r="IP59" s="581"/>
      <c r="IQ59" s="581"/>
      <c r="IR59" s="580"/>
      <c r="IS59" s="583"/>
      <c r="IT59" s="580"/>
      <c r="IU59" s="580"/>
      <c r="IV59" s="580"/>
    </row>
    <row r="60" spans="1:256" ht="12.75">
      <c r="A60" s="505" t="s">
        <v>272</v>
      </c>
      <c r="B60" s="475">
        <v>7715</v>
      </c>
      <c r="C60" s="475">
        <v>66</v>
      </c>
      <c r="D60" s="475">
        <v>63</v>
      </c>
      <c r="E60" s="506">
        <v>0.8165910563836682</v>
      </c>
      <c r="F60" s="506">
        <v>95.45454545454545</v>
      </c>
      <c r="G60" s="475">
        <v>63</v>
      </c>
      <c r="H60" s="584"/>
      <c r="I60" s="585"/>
      <c r="J60" s="585"/>
      <c r="K60" s="585"/>
      <c r="L60" s="586"/>
      <c r="M60" s="586"/>
      <c r="N60" s="585"/>
      <c r="O60" s="584"/>
      <c r="P60" s="585"/>
      <c r="Q60" s="585"/>
      <c r="R60" s="585"/>
      <c r="S60" s="586"/>
      <c r="T60" s="586"/>
      <c r="U60" s="585"/>
      <c r="V60" s="584"/>
      <c r="W60" s="585"/>
      <c r="X60" s="585"/>
      <c r="Y60" s="585"/>
      <c r="Z60" s="586"/>
      <c r="AA60" s="586"/>
      <c r="AB60" s="585"/>
      <c r="AC60" s="584"/>
      <c r="AD60" s="585"/>
      <c r="AE60" s="585"/>
      <c r="AF60" s="585"/>
      <c r="AG60" s="586"/>
      <c r="AH60" s="586"/>
      <c r="AI60" s="585"/>
      <c r="AJ60" s="584"/>
      <c r="AK60" s="585"/>
      <c r="AL60" s="585"/>
      <c r="AM60" s="585"/>
      <c r="AN60" s="586"/>
      <c r="AO60" s="586"/>
      <c r="AP60" s="585"/>
      <c r="AQ60" s="584"/>
      <c r="AR60" s="585"/>
      <c r="AS60" s="585"/>
      <c r="AT60" s="585"/>
      <c r="AU60" s="586"/>
      <c r="AV60" s="586"/>
      <c r="AW60" s="585"/>
      <c r="AX60" s="584"/>
      <c r="AY60" s="585"/>
      <c r="AZ60" s="585"/>
      <c r="BA60" s="585"/>
      <c r="BB60" s="586"/>
      <c r="BC60" s="586"/>
      <c r="BD60" s="585"/>
      <c r="BE60" s="584"/>
      <c r="BF60" s="585"/>
      <c r="BG60" s="585"/>
      <c r="BH60" s="585"/>
      <c r="BI60" s="586"/>
      <c r="BJ60" s="586"/>
      <c r="BK60" s="585"/>
      <c r="BL60" s="584"/>
      <c r="BM60" s="585"/>
      <c r="BN60" s="585"/>
      <c r="BO60" s="585"/>
      <c r="BP60" s="586"/>
      <c r="BQ60" s="586"/>
      <c r="BR60" s="585"/>
      <c r="BS60" s="584"/>
      <c r="BT60" s="585"/>
      <c r="BU60" s="585"/>
      <c r="BV60" s="585"/>
      <c r="BW60" s="586"/>
      <c r="BX60" s="586"/>
      <c r="BY60" s="585"/>
      <c r="BZ60" s="584"/>
      <c r="CA60" s="585"/>
      <c r="CB60" s="585"/>
      <c r="CC60" s="585"/>
      <c r="CD60" s="586"/>
      <c r="CE60" s="586"/>
      <c r="CF60" s="585"/>
      <c r="CG60" s="584"/>
      <c r="CH60" s="585"/>
      <c r="CI60" s="585"/>
      <c r="CJ60" s="585"/>
      <c r="CK60" s="586"/>
      <c r="CL60" s="586"/>
      <c r="CM60" s="585"/>
      <c r="CN60" s="584"/>
      <c r="CO60" s="585"/>
      <c r="CP60" s="585"/>
      <c r="CQ60" s="585"/>
      <c r="CR60" s="586"/>
      <c r="CS60" s="586"/>
      <c r="CT60" s="585"/>
      <c r="CU60" s="584"/>
      <c r="CV60" s="585"/>
      <c r="CW60" s="585"/>
      <c r="CX60" s="585"/>
      <c r="CY60" s="586"/>
      <c r="CZ60" s="586"/>
      <c r="DA60" s="585"/>
      <c r="DB60" s="584"/>
      <c r="DC60" s="585"/>
      <c r="DD60" s="585"/>
      <c r="DE60" s="585"/>
      <c r="DF60" s="586"/>
      <c r="DG60" s="586"/>
      <c r="DH60" s="585"/>
      <c r="DI60" s="584"/>
      <c r="DJ60" s="585"/>
      <c r="DK60" s="585"/>
      <c r="DL60" s="585"/>
      <c r="DM60" s="586"/>
      <c r="DN60" s="586"/>
      <c r="DO60" s="585"/>
      <c r="DP60" s="584"/>
      <c r="DQ60" s="585"/>
      <c r="DR60" s="585"/>
      <c r="DS60" s="585"/>
      <c r="DT60" s="586"/>
      <c r="DU60" s="586"/>
      <c r="DV60" s="585"/>
      <c r="DW60" s="584"/>
      <c r="DX60" s="585"/>
      <c r="DY60" s="585"/>
      <c r="DZ60" s="585"/>
      <c r="EA60" s="586"/>
      <c r="EB60" s="586"/>
      <c r="EC60" s="585"/>
      <c r="ED60" s="584"/>
      <c r="EE60" s="585"/>
      <c r="EF60" s="585"/>
      <c r="EG60" s="585"/>
      <c r="EH60" s="586"/>
      <c r="EI60" s="586"/>
      <c r="EJ60" s="585"/>
      <c r="EK60" s="584"/>
      <c r="EL60" s="585"/>
      <c r="EM60" s="585"/>
      <c r="EN60" s="585"/>
      <c r="EO60" s="586"/>
      <c r="EP60" s="586"/>
      <c r="EQ60" s="585"/>
      <c r="ER60" s="584"/>
      <c r="ES60" s="585"/>
      <c r="ET60" s="585"/>
      <c r="EU60" s="585"/>
      <c r="EV60" s="586"/>
      <c r="EW60" s="586"/>
      <c r="EX60" s="585"/>
      <c r="EY60" s="584"/>
      <c r="EZ60" s="585"/>
      <c r="FA60" s="585"/>
      <c r="FB60" s="585"/>
      <c r="FC60" s="586"/>
      <c r="FD60" s="586"/>
      <c r="FE60" s="585"/>
      <c r="FF60" s="584"/>
      <c r="FG60" s="585"/>
      <c r="FH60" s="585"/>
      <c r="FI60" s="585"/>
      <c r="FJ60" s="586"/>
      <c r="FK60" s="586"/>
      <c r="FL60" s="585"/>
      <c r="FM60" s="584"/>
      <c r="FN60" s="585"/>
      <c r="FO60" s="585"/>
      <c r="FP60" s="585"/>
      <c r="FQ60" s="586"/>
      <c r="FR60" s="586"/>
      <c r="FS60" s="585"/>
      <c r="FT60" s="584"/>
      <c r="FU60" s="585"/>
      <c r="FV60" s="585"/>
      <c r="FW60" s="585"/>
      <c r="FX60" s="586"/>
      <c r="FY60" s="586"/>
      <c r="FZ60" s="585"/>
      <c r="GA60" s="584"/>
      <c r="GB60" s="585"/>
      <c r="GC60" s="585"/>
      <c r="GD60" s="585"/>
      <c r="GE60" s="586"/>
      <c r="GF60" s="586"/>
      <c r="GG60" s="585"/>
      <c r="GH60" s="584"/>
      <c r="GI60" s="585"/>
      <c r="GJ60" s="585"/>
      <c r="GK60" s="585"/>
      <c r="GL60" s="586"/>
      <c r="GM60" s="586"/>
      <c r="GN60" s="585"/>
      <c r="GO60" s="584"/>
      <c r="GP60" s="585"/>
      <c r="GQ60" s="585"/>
      <c r="GR60" s="585"/>
      <c r="GS60" s="586"/>
      <c r="GT60" s="586"/>
      <c r="GU60" s="585"/>
      <c r="GV60" s="584"/>
      <c r="GW60" s="585"/>
      <c r="GX60" s="585"/>
      <c r="GY60" s="585"/>
      <c r="GZ60" s="586"/>
      <c r="HA60" s="586"/>
      <c r="HB60" s="585"/>
      <c r="HC60" s="584"/>
      <c r="HD60" s="585"/>
      <c r="HE60" s="585"/>
      <c r="HF60" s="585"/>
      <c r="HG60" s="586"/>
      <c r="HH60" s="586"/>
      <c r="HI60" s="585"/>
      <c r="HJ60" s="584"/>
      <c r="HK60" s="585"/>
      <c r="HL60" s="585"/>
      <c r="HM60" s="585"/>
      <c r="HN60" s="586"/>
      <c r="HO60" s="586"/>
      <c r="HP60" s="585"/>
      <c r="HQ60" s="584"/>
      <c r="HR60" s="585"/>
      <c r="HS60" s="585"/>
      <c r="HT60" s="585"/>
      <c r="HU60" s="586"/>
      <c r="HV60" s="586"/>
      <c r="HW60" s="585"/>
      <c r="HX60" s="584"/>
      <c r="HY60" s="585"/>
      <c r="HZ60" s="585"/>
      <c r="IA60" s="585"/>
      <c r="IB60" s="586"/>
      <c r="IC60" s="586"/>
      <c r="ID60" s="585"/>
      <c r="IE60" s="584"/>
      <c r="IF60" s="585"/>
      <c r="IG60" s="585"/>
      <c r="IH60" s="585"/>
      <c r="II60" s="586"/>
      <c r="IJ60" s="586"/>
      <c r="IK60" s="585"/>
      <c r="IL60" s="584"/>
      <c r="IM60" s="585"/>
      <c r="IN60" s="585"/>
      <c r="IO60" s="585"/>
      <c r="IP60" s="586"/>
      <c r="IQ60" s="586"/>
      <c r="IR60" s="585"/>
      <c r="IS60" s="584"/>
      <c r="IT60" s="585"/>
      <c r="IU60" s="585"/>
      <c r="IV60" s="585"/>
    </row>
    <row r="61" spans="1:256" ht="12.75">
      <c r="A61" s="473" t="s">
        <v>269</v>
      </c>
      <c r="B61" s="507">
        <v>385</v>
      </c>
      <c r="C61" s="507">
        <v>66</v>
      </c>
      <c r="D61" s="507">
        <v>63</v>
      </c>
      <c r="E61" s="506">
        <v>16.363636363636363</v>
      </c>
      <c r="F61" s="506">
        <v>95.45454545454545</v>
      </c>
      <c r="G61" s="507">
        <v>63</v>
      </c>
      <c r="H61" s="587"/>
      <c r="I61" s="510"/>
      <c r="J61" s="510"/>
      <c r="K61" s="510"/>
      <c r="L61" s="586"/>
      <c r="M61" s="586"/>
      <c r="N61" s="510"/>
      <c r="O61" s="587"/>
      <c r="P61" s="510"/>
      <c r="Q61" s="510"/>
      <c r="R61" s="510"/>
      <c r="S61" s="586"/>
      <c r="T61" s="586"/>
      <c r="U61" s="510"/>
      <c r="V61" s="587"/>
      <c r="W61" s="510"/>
      <c r="X61" s="510"/>
      <c r="Y61" s="510"/>
      <c r="Z61" s="586"/>
      <c r="AA61" s="586"/>
      <c r="AB61" s="510"/>
      <c r="AC61" s="587"/>
      <c r="AD61" s="510"/>
      <c r="AE61" s="510"/>
      <c r="AF61" s="510"/>
      <c r="AG61" s="586"/>
      <c r="AH61" s="586"/>
      <c r="AI61" s="510"/>
      <c r="AJ61" s="587"/>
      <c r="AK61" s="510"/>
      <c r="AL61" s="510"/>
      <c r="AM61" s="510"/>
      <c r="AN61" s="586"/>
      <c r="AO61" s="586"/>
      <c r="AP61" s="510"/>
      <c r="AQ61" s="587"/>
      <c r="AR61" s="510"/>
      <c r="AS61" s="510"/>
      <c r="AT61" s="510"/>
      <c r="AU61" s="586"/>
      <c r="AV61" s="586"/>
      <c r="AW61" s="510"/>
      <c r="AX61" s="587"/>
      <c r="AY61" s="510"/>
      <c r="AZ61" s="510"/>
      <c r="BA61" s="510"/>
      <c r="BB61" s="586"/>
      <c r="BC61" s="586"/>
      <c r="BD61" s="510"/>
      <c r="BE61" s="587"/>
      <c r="BF61" s="510"/>
      <c r="BG61" s="510"/>
      <c r="BH61" s="510"/>
      <c r="BI61" s="586"/>
      <c r="BJ61" s="586"/>
      <c r="BK61" s="510"/>
      <c r="BL61" s="587"/>
      <c r="BM61" s="510"/>
      <c r="BN61" s="510"/>
      <c r="BO61" s="510"/>
      <c r="BP61" s="586"/>
      <c r="BQ61" s="586"/>
      <c r="BR61" s="510"/>
      <c r="BS61" s="587"/>
      <c r="BT61" s="510"/>
      <c r="BU61" s="510"/>
      <c r="BV61" s="510"/>
      <c r="BW61" s="586"/>
      <c r="BX61" s="586"/>
      <c r="BY61" s="510"/>
      <c r="BZ61" s="587"/>
      <c r="CA61" s="510"/>
      <c r="CB61" s="510"/>
      <c r="CC61" s="510"/>
      <c r="CD61" s="586"/>
      <c r="CE61" s="586"/>
      <c r="CF61" s="510"/>
      <c r="CG61" s="587"/>
      <c r="CH61" s="510"/>
      <c r="CI61" s="510"/>
      <c r="CJ61" s="510"/>
      <c r="CK61" s="586"/>
      <c r="CL61" s="586"/>
      <c r="CM61" s="510"/>
      <c r="CN61" s="587"/>
      <c r="CO61" s="510"/>
      <c r="CP61" s="510"/>
      <c r="CQ61" s="510"/>
      <c r="CR61" s="586"/>
      <c r="CS61" s="586"/>
      <c r="CT61" s="510"/>
      <c r="CU61" s="587"/>
      <c r="CV61" s="510"/>
      <c r="CW61" s="510"/>
      <c r="CX61" s="510"/>
      <c r="CY61" s="586"/>
      <c r="CZ61" s="586"/>
      <c r="DA61" s="510"/>
      <c r="DB61" s="587"/>
      <c r="DC61" s="510"/>
      <c r="DD61" s="510"/>
      <c r="DE61" s="510"/>
      <c r="DF61" s="586"/>
      <c r="DG61" s="586"/>
      <c r="DH61" s="510"/>
      <c r="DI61" s="587"/>
      <c r="DJ61" s="510"/>
      <c r="DK61" s="510"/>
      <c r="DL61" s="510"/>
      <c r="DM61" s="586"/>
      <c r="DN61" s="586"/>
      <c r="DO61" s="510"/>
      <c r="DP61" s="587"/>
      <c r="DQ61" s="510"/>
      <c r="DR61" s="510"/>
      <c r="DS61" s="510"/>
      <c r="DT61" s="586"/>
      <c r="DU61" s="586"/>
      <c r="DV61" s="510"/>
      <c r="DW61" s="587"/>
      <c r="DX61" s="510"/>
      <c r="DY61" s="510"/>
      <c r="DZ61" s="510"/>
      <c r="EA61" s="586"/>
      <c r="EB61" s="586"/>
      <c r="EC61" s="510"/>
      <c r="ED61" s="587"/>
      <c r="EE61" s="510"/>
      <c r="EF61" s="510"/>
      <c r="EG61" s="510"/>
      <c r="EH61" s="586"/>
      <c r="EI61" s="586"/>
      <c r="EJ61" s="510"/>
      <c r="EK61" s="587"/>
      <c r="EL61" s="510"/>
      <c r="EM61" s="510"/>
      <c r="EN61" s="510"/>
      <c r="EO61" s="586"/>
      <c r="EP61" s="586"/>
      <c r="EQ61" s="510"/>
      <c r="ER61" s="587"/>
      <c r="ES61" s="510"/>
      <c r="ET61" s="510"/>
      <c r="EU61" s="510"/>
      <c r="EV61" s="586"/>
      <c r="EW61" s="586"/>
      <c r="EX61" s="510"/>
      <c r="EY61" s="587"/>
      <c r="EZ61" s="510"/>
      <c r="FA61" s="510"/>
      <c r="FB61" s="510"/>
      <c r="FC61" s="586"/>
      <c r="FD61" s="586"/>
      <c r="FE61" s="510"/>
      <c r="FF61" s="587"/>
      <c r="FG61" s="510"/>
      <c r="FH61" s="510"/>
      <c r="FI61" s="510"/>
      <c r="FJ61" s="586"/>
      <c r="FK61" s="586"/>
      <c r="FL61" s="510"/>
      <c r="FM61" s="587"/>
      <c r="FN61" s="510"/>
      <c r="FO61" s="510"/>
      <c r="FP61" s="510"/>
      <c r="FQ61" s="586"/>
      <c r="FR61" s="586"/>
      <c r="FS61" s="510"/>
      <c r="FT61" s="587"/>
      <c r="FU61" s="510"/>
      <c r="FV61" s="510"/>
      <c r="FW61" s="510"/>
      <c r="FX61" s="586"/>
      <c r="FY61" s="586"/>
      <c r="FZ61" s="510"/>
      <c r="GA61" s="587"/>
      <c r="GB61" s="510"/>
      <c r="GC61" s="510"/>
      <c r="GD61" s="510"/>
      <c r="GE61" s="586"/>
      <c r="GF61" s="586"/>
      <c r="GG61" s="510"/>
      <c r="GH61" s="587"/>
      <c r="GI61" s="510"/>
      <c r="GJ61" s="510"/>
      <c r="GK61" s="510"/>
      <c r="GL61" s="586"/>
      <c r="GM61" s="586"/>
      <c r="GN61" s="510"/>
      <c r="GO61" s="587"/>
      <c r="GP61" s="510"/>
      <c r="GQ61" s="510"/>
      <c r="GR61" s="510"/>
      <c r="GS61" s="586"/>
      <c r="GT61" s="586"/>
      <c r="GU61" s="510"/>
      <c r="GV61" s="587"/>
      <c r="GW61" s="510"/>
      <c r="GX61" s="510"/>
      <c r="GY61" s="510"/>
      <c r="GZ61" s="586"/>
      <c r="HA61" s="586"/>
      <c r="HB61" s="510"/>
      <c r="HC61" s="587"/>
      <c r="HD61" s="510"/>
      <c r="HE61" s="510"/>
      <c r="HF61" s="510"/>
      <c r="HG61" s="586"/>
      <c r="HH61" s="586"/>
      <c r="HI61" s="510"/>
      <c r="HJ61" s="587"/>
      <c r="HK61" s="510"/>
      <c r="HL61" s="510"/>
      <c r="HM61" s="510"/>
      <c r="HN61" s="586"/>
      <c r="HO61" s="586"/>
      <c r="HP61" s="510"/>
      <c r="HQ61" s="587"/>
      <c r="HR61" s="510"/>
      <c r="HS61" s="510"/>
      <c r="HT61" s="510"/>
      <c r="HU61" s="586"/>
      <c r="HV61" s="586"/>
      <c r="HW61" s="510"/>
      <c r="HX61" s="587"/>
      <c r="HY61" s="510"/>
      <c r="HZ61" s="510"/>
      <c r="IA61" s="510"/>
      <c r="IB61" s="586"/>
      <c r="IC61" s="586"/>
      <c r="ID61" s="510"/>
      <c r="IE61" s="587"/>
      <c r="IF61" s="510"/>
      <c r="IG61" s="510"/>
      <c r="IH61" s="510"/>
      <c r="II61" s="586"/>
      <c r="IJ61" s="586"/>
      <c r="IK61" s="510"/>
      <c r="IL61" s="587"/>
      <c r="IM61" s="510"/>
      <c r="IN61" s="510"/>
      <c r="IO61" s="510"/>
      <c r="IP61" s="586"/>
      <c r="IQ61" s="586"/>
      <c r="IR61" s="510"/>
      <c r="IS61" s="587"/>
      <c r="IT61" s="510"/>
      <c r="IU61" s="510"/>
      <c r="IV61" s="510"/>
    </row>
    <row r="62" spans="1:256" ht="12.75">
      <c r="A62" s="473" t="s">
        <v>270</v>
      </c>
      <c r="B62" s="507">
        <v>7330</v>
      </c>
      <c r="C62" s="507"/>
      <c r="D62" s="507"/>
      <c r="E62" s="40"/>
      <c r="F62" s="40"/>
      <c r="G62" s="507"/>
      <c r="H62" s="587"/>
      <c r="I62" s="510"/>
      <c r="J62" s="510"/>
      <c r="K62" s="510"/>
      <c r="L62" s="588"/>
      <c r="M62" s="588"/>
      <c r="N62" s="510"/>
      <c r="O62" s="587"/>
      <c r="P62" s="510"/>
      <c r="Q62" s="510"/>
      <c r="R62" s="510"/>
      <c r="S62" s="588"/>
      <c r="T62" s="588"/>
      <c r="U62" s="510"/>
      <c r="V62" s="587"/>
      <c r="W62" s="510"/>
      <c r="X62" s="510"/>
      <c r="Y62" s="510"/>
      <c r="Z62" s="588"/>
      <c r="AA62" s="588"/>
      <c r="AB62" s="510"/>
      <c r="AC62" s="587"/>
      <c r="AD62" s="510"/>
      <c r="AE62" s="510"/>
      <c r="AF62" s="510"/>
      <c r="AG62" s="588"/>
      <c r="AH62" s="588"/>
      <c r="AI62" s="510"/>
      <c r="AJ62" s="587"/>
      <c r="AK62" s="510"/>
      <c r="AL62" s="510"/>
      <c r="AM62" s="510"/>
      <c r="AN62" s="588"/>
      <c r="AO62" s="588"/>
      <c r="AP62" s="510"/>
      <c r="AQ62" s="587"/>
      <c r="AR62" s="510"/>
      <c r="AS62" s="510"/>
      <c r="AT62" s="510"/>
      <c r="AU62" s="588"/>
      <c r="AV62" s="588"/>
      <c r="AW62" s="510"/>
      <c r="AX62" s="587"/>
      <c r="AY62" s="510"/>
      <c r="AZ62" s="510"/>
      <c r="BA62" s="510"/>
      <c r="BB62" s="588"/>
      <c r="BC62" s="588"/>
      <c r="BD62" s="510"/>
      <c r="BE62" s="587"/>
      <c r="BF62" s="510"/>
      <c r="BG62" s="510"/>
      <c r="BH62" s="510"/>
      <c r="BI62" s="588"/>
      <c r="BJ62" s="588"/>
      <c r="BK62" s="510"/>
      <c r="BL62" s="587"/>
      <c r="BM62" s="510"/>
      <c r="BN62" s="510"/>
      <c r="BO62" s="510"/>
      <c r="BP62" s="588"/>
      <c r="BQ62" s="588"/>
      <c r="BR62" s="510"/>
      <c r="BS62" s="587"/>
      <c r="BT62" s="510"/>
      <c r="BU62" s="510"/>
      <c r="BV62" s="510"/>
      <c r="BW62" s="588"/>
      <c r="BX62" s="588"/>
      <c r="BY62" s="510"/>
      <c r="BZ62" s="587"/>
      <c r="CA62" s="510"/>
      <c r="CB62" s="510"/>
      <c r="CC62" s="510"/>
      <c r="CD62" s="588"/>
      <c r="CE62" s="588"/>
      <c r="CF62" s="510"/>
      <c r="CG62" s="587"/>
      <c r="CH62" s="510"/>
      <c r="CI62" s="510"/>
      <c r="CJ62" s="510"/>
      <c r="CK62" s="588"/>
      <c r="CL62" s="588"/>
      <c r="CM62" s="510"/>
      <c r="CN62" s="587"/>
      <c r="CO62" s="510"/>
      <c r="CP62" s="510"/>
      <c r="CQ62" s="510"/>
      <c r="CR62" s="588"/>
      <c r="CS62" s="588"/>
      <c r="CT62" s="510"/>
      <c r="CU62" s="587"/>
      <c r="CV62" s="510"/>
      <c r="CW62" s="510"/>
      <c r="CX62" s="510"/>
      <c r="CY62" s="588"/>
      <c r="CZ62" s="588"/>
      <c r="DA62" s="510"/>
      <c r="DB62" s="587"/>
      <c r="DC62" s="510"/>
      <c r="DD62" s="510"/>
      <c r="DE62" s="510"/>
      <c r="DF62" s="588"/>
      <c r="DG62" s="588"/>
      <c r="DH62" s="510"/>
      <c r="DI62" s="587"/>
      <c r="DJ62" s="510"/>
      <c r="DK62" s="510"/>
      <c r="DL62" s="510"/>
      <c r="DM62" s="588"/>
      <c r="DN62" s="588"/>
      <c r="DO62" s="510"/>
      <c r="DP62" s="587"/>
      <c r="DQ62" s="510"/>
      <c r="DR62" s="510"/>
      <c r="DS62" s="510"/>
      <c r="DT62" s="588"/>
      <c r="DU62" s="588"/>
      <c r="DV62" s="510"/>
      <c r="DW62" s="587"/>
      <c r="DX62" s="510"/>
      <c r="DY62" s="510"/>
      <c r="DZ62" s="510"/>
      <c r="EA62" s="588"/>
      <c r="EB62" s="588"/>
      <c r="EC62" s="510"/>
      <c r="ED62" s="587"/>
      <c r="EE62" s="510"/>
      <c r="EF62" s="510"/>
      <c r="EG62" s="510"/>
      <c r="EH62" s="588"/>
      <c r="EI62" s="588"/>
      <c r="EJ62" s="510"/>
      <c r="EK62" s="587"/>
      <c r="EL62" s="510"/>
      <c r="EM62" s="510"/>
      <c r="EN62" s="510"/>
      <c r="EO62" s="588"/>
      <c r="EP62" s="588"/>
      <c r="EQ62" s="510"/>
      <c r="ER62" s="587"/>
      <c r="ES62" s="510"/>
      <c r="ET62" s="510"/>
      <c r="EU62" s="510"/>
      <c r="EV62" s="588"/>
      <c r="EW62" s="588"/>
      <c r="EX62" s="510"/>
      <c r="EY62" s="587"/>
      <c r="EZ62" s="510"/>
      <c r="FA62" s="510"/>
      <c r="FB62" s="510"/>
      <c r="FC62" s="588"/>
      <c r="FD62" s="588"/>
      <c r="FE62" s="510"/>
      <c r="FF62" s="587"/>
      <c r="FG62" s="510"/>
      <c r="FH62" s="510"/>
      <c r="FI62" s="510"/>
      <c r="FJ62" s="588"/>
      <c r="FK62" s="588"/>
      <c r="FL62" s="510"/>
      <c r="FM62" s="587"/>
      <c r="FN62" s="510"/>
      <c r="FO62" s="510"/>
      <c r="FP62" s="510"/>
      <c r="FQ62" s="588"/>
      <c r="FR62" s="588"/>
      <c r="FS62" s="510"/>
      <c r="FT62" s="587"/>
      <c r="FU62" s="510"/>
      <c r="FV62" s="510"/>
      <c r="FW62" s="510"/>
      <c r="FX62" s="588"/>
      <c r="FY62" s="588"/>
      <c r="FZ62" s="510"/>
      <c r="GA62" s="587"/>
      <c r="GB62" s="510"/>
      <c r="GC62" s="510"/>
      <c r="GD62" s="510"/>
      <c r="GE62" s="588"/>
      <c r="GF62" s="588"/>
      <c r="GG62" s="510"/>
      <c r="GH62" s="587"/>
      <c r="GI62" s="510"/>
      <c r="GJ62" s="510"/>
      <c r="GK62" s="510"/>
      <c r="GL62" s="588"/>
      <c r="GM62" s="588"/>
      <c r="GN62" s="510"/>
      <c r="GO62" s="587"/>
      <c r="GP62" s="510"/>
      <c r="GQ62" s="510"/>
      <c r="GR62" s="510"/>
      <c r="GS62" s="588"/>
      <c r="GT62" s="588"/>
      <c r="GU62" s="510"/>
      <c r="GV62" s="587"/>
      <c r="GW62" s="510"/>
      <c r="GX62" s="510"/>
      <c r="GY62" s="510"/>
      <c r="GZ62" s="588"/>
      <c r="HA62" s="588"/>
      <c r="HB62" s="510"/>
      <c r="HC62" s="587"/>
      <c r="HD62" s="510"/>
      <c r="HE62" s="510"/>
      <c r="HF62" s="510"/>
      <c r="HG62" s="588"/>
      <c r="HH62" s="588"/>
      <c r="HI62" s="510"/>
      <c r="HJ62" s="587"/>
      <c r="HK62" s="510"/>
      <c r="HL62" s="510"/>
      <c r="HM62" s="510"/>
      <c r="HN62" s="588"/>
      <c r="HO62" s="588"/>
      <c r="HP62" s="510"/>
      <c r="HQ62" s="587"/>
      <c r="HR62" s="510"/>
      <c r="HS62" s="510"/>
      <c r="HT62" s="510"/>
      <c r="HU62" s="588"/>
      <c r="HV62" s="588"/>
      <c r="HW62" s="510"/>
      <c r="HX62" s="587"/>
      <c r="HY62" s="510"/>
      <c r="HZ62" s="510"/>
      <c r="IA62" s="510"/>
      <c r="IB62" s="588"/>
      <c r="IC62" s="588"/>
      <c r="ID62" s="510"/>
      <c r="IE62" s="587"/>
      <c r="IF62" s="510"/>
      <c r="IG62" s="510"/>
      <c r="IH62" s="510"/>
      <c r="II62" s="588"/>
      <c r="IJ62" s="588"/>
      <c r="IK62" s="510"/>
      <c r="IL62" s="587"/>
      <c r="IM62" s="510"/>
      <c r="IN62" s="510"/>
      <c r="IO62" s="510"/>
      <c r="IP62" s="588"/>
      <c r="IQ62" s="588"/>
      <c r="IR62" s="510"/>
      <c r="IS62" s="587"/>
      <c r="IT62" s="510"/>
      <c r="IU62" s="510"/>
      <c r="IV62" s="510"/>
    </row>
    <row r="63" spans="1:256" ht="12.75">
      <c r="A63" s="505" t="s">
        <v>273</v>
      </c>
      <c r="B63" s="475">
        <v>2715</v>
      </c>
      <c r="C63" s="475"/>
      <c r="D63" s="475"/>
      <c r="E63" s="506"/>
      <c r="F63" s="506"/>
      <c r="G63" s="475"/>
      <c r="H63" s="584"/>
      <c r="I63" s="585"/>
      <c r="J63" s="585"/>
      <c r="K63" s="585"/>
      <c r="L63" s="586"/>
      <c r="M63" s="586"/>
      <c r="N63" s="585"/>
      <c r="O63" s="584"/>
      <c r="P63" s="585"/>
      <c r="Q63" s="585"/>
      <c r="R63" s="585"/>
      <c r="S63" s="586"/>
      <c r="T63" s="586"/>
      <c r="U63" s="585"/>
      <c r="V63" s="584"/>
      <c r="W63" s="585"/>
      <c r="X63" s="585"/>
      <c r="Y63" s="585"/>
      <c r="Z63" s="586"/>
      <c r="AA63" s="586"/>
      <c r="AB63" s="585"/>
      <c r="AC63" s="584"/>
      <c r="AD63" s="585"/>
      <c r="AE63" s="585"/>
      <c r="AF63" s="585"/>
      <c r="AG63" s="586"/>
      <c r="AH63" s="586"/>
      <c r="AI63" s="585"/>
      <c r="AJ63" s="584"/>
      <c r="AK63" s="585"/>
      <c r="AL63" s="585"/>
      <c r="AM63" s="585"/>
      <c r="AN63" s="586"/>
      <c r="AO63" s="586"/>
      <c r="AP63" s="585"/>
      <c r="AQ63" s="584"/>
      <c r="AR63" s="585"/>
      <c r="AS63" s="585"/>
      <c r="AT63" s="585"/>
      <c r="AU63" s="586"/>
      <c r="AV63" s="586"/>
      <c r="AW63" s="585"/>
      <c r="AX63" s="584"/>
      <c r="AY63" s="585"/>
      <c r="AZ63" s="585"/>
      <c r="BA63" s="585"/>
      <c r="BB63" s="586"/>
      <c r="BC63" s="586"/>
      <c r="BD63" s="585"/>
      <c r="BE63" s="584"/>
      <c r="BF63" s="585"/>
      <c r="BG63" s="585"/>
      <c r="BH63" s="585"/>
      <c r="BI63" s="586"/>
      <c r="BJ63" s="586"/>
      <c r="BK63" s="585"/>
      <c r="BL63" s="584"/>
      <c r="BM63" s="585"/>
      <c r="BN63" s="585"/>
      <c r="BO63" s="585"/>
      <c r="BP63" s="586"/>
      <c r="BQ63" s="586"/>
      <c r="BR63" s="585"/>
      <c r="BS63" s="584"/>
      <c r="BT63" s="585"/>
      <c r="BU63" s="585"/>
      <c r="BV63" s="585"/>
      <c r="BW63" s="586"/>
      <c r="BX63" s="586"/>
      <c r="BY63" s="585"/>
      <c r="BZ63" s="584"/>
      <c r="CA63" s="585"/>
      <c r="CB63" s="585"/>
      <c r="CC63" s="585"/>
      <c r="CD63" s="586"/>
      <c r="CE63" s="586"/>
      <c r="CF63" s="585"/>
      <c r="CG63" s="584"/>
      <c r="CH63" s="585"/>
      <c r="CI63" s="585"/>
      <c r="CJ63" s="585"/>
      <c r="CK63" s="586"/>
      <c r="CL63" s="586"/>
      <c r="CM63" s="585"/>
      <c r="CN63" s="584"/>
      <c r="CO63" s="585"/>
      <c r="CP63" s="585"/>
      <c r="CQ63" s="585"/>
      <c r="CR63" s="586"/>
      <c r="CS63" s="586"/>
      <c r="CT63" s="585"/>
      <c r="CU63" s="584"/>
      <c r="CV63" s="585"/>
      <c r="CW63" s="585"/>
      <c r="CX63" s="585"/>
      <c r="CY63" s="586"/>
      <c r="CZ63" s="586"/>
      <c r="DA63" s="585"/>
      <c r="DB63" s="584"/>
      <c r="DC63" s="585"/>
      <c r="DD63" s="585"/>
      <c r="DE63" s="585"/>
      <c r="DF63" s="586"/>
      <c r="DG63" s="586"/>
      <c r="DH63" s="585"/>
      <c r="DI63" s="584"/>
      <c r="DJ63" s="585"/>
      <c r="DK63" s="585"/>
      <c r="DL63" s="585"/>
      <c r="DM63" s="586"/>
      <c r="DN63" s="586"/>
      <c r="DO63" s="585"/>
      <c r="DP63" s="584"/>
      <c r="DQ63" s="585"/>
      <c r="DR63" s="585"/>
      <c r="DS63" s="585"/>
      <c r="DT63" s="586"/>
      <c r="DU63" s="586"/>
      <c r="DV63" s="585"/>
      <c r="DW63" s="584"/>
      <c r="DX63" s="585"/>
      <c r="DY63" s="585"/>
      <c r="DZ63" s="585"/>
      <c r="EA63" s="586"/>
      <c r="EB63" s="586"/>
      <c r="EC63" s="585"/>
      <c r="ED63" s="584"/>
      <c r="EE63" s="585"/>
      <c r="EF63" s="585"/>
      <c r="EG63" s="585"/>
      <c r="EH63" s="586"/>
      <c r="EI63" s="586"/>
      <c r="EJ63" s="585"/>
      <c r="EK63" s="584"/>
      <c r="EL63" s="585"/>
      <c r="EM63" s="585"/>
      <c r="EN63" s="585"/>
      <c r="EO63" s="586"/>
      <c r="EP63" s="586"/>
      <c r="EQ63" s="585"/>
      <c r="ER63" s="584"/>
      <c r="ES63" s="585"/>
      <c r="ET63" s="585"/>
      <c r="EU63" s="585"/>
      <c r="EV63" s="586"/>
      <c r="EW63" s="586"/>
      <c r="EX63" s="585"/>
      <c r="EY63" s="584"/>
      <c r="EZ63" s="585"/>
      <c r="FA63" s="585"/>
      <c r="FB63" s="585"/>
      <c r="FC63" s="586"/>
      <c r="FD63" s="586"/>
      <c r="FE63" s="585"/>
      <c r="FF63" s="584"/>
      <c r="FG63" s="585"/>
      <c r="FH63" s="585"/>
      <c r="FI63" s="585"/>
      <c r="FJ63" s="586"/>
      <c r="FK63" s="586"/>
      <c r="FL63" s="585"/>
      <c r="FM63" s="584"/>
      <c r="FN63" s="585"/>
      <c r="FO63" s="585"/>
      <c r="FP63" s="585"/>
      <c r="FQ63" s="586"/>
      <c r="FR63" s="586"/>
      <c r="FS63" s="585"/>
      <c r="FT63" s="584"/>
      <c r="FU63" s="585"/>
      <c r="FV63" s="585"/>
      <c r="FW63" s="585"/>
      <c r="FX63" s="586"/>
      <c r="FY63" s="586"/>
      <c r="FZ63" s="585"/>
      <c r="GA63" s="584"/>
      <c r="GB63" s="585"/>
      <c r="GC63" s="585"/>
      <c r="GD63" s="585"/>
      <c r="GE63" s="586"/>
      <c r="GF63" s="586"/>
      <c r="GG63" s="585"/>
      <c r="GH63" s="584"/>
      <c r="GI63" s="585"/>
      <c r="GJ63" s="585"/>
      <c r="GK63" s="585"/>
      <c r="GL63" s="586"/>
      <c r="GM63" s="586"/>
      <c r="GN63" s="585"/>
      <c r="GO63" s="584"/>
      <c r="GP63" s="585"/>
      <c r="GQ63" s="585"/>
      <c r="GR63" s="585"/>
      <c r="GS63" s="586"/>
      <c r="GT63" s="586"/>
      <c r="GU63" s="585"/>
      <c r="GV63" s="584"/>
      <c r="GW63" s="585"/>
      <c r="GX63" s="585"/>
      <c r="GY63" s="585"/>
      <c r="GZ63" s="586"/>
      <c r="HA63" s="586"/>
      <c r="HB63" s="585"/>
      <c r="HC63" s="584"/>
      <c r="HD63" s="585"/>
      <c r="HE63" s="585"/>
      <c r="HF63" s="585"/>
      <c r="HG63" s="586"/>
      <c r="HH63" s="586"/>
      <c r="HI63" s="585"/>
      <c r="HJ63" s="584"/>
      <c r="HK63" s="585"/>
      <c r="HL63" s="585"/>
      <c r="HM63" s="585"/>
      <c r="HN63" s="586"/>
      <c r="HO63" s="586"/>
      <c r="HP63" s="585"/>
      <c r="HQ63" s="584"/>
      <c r="HR63" s="585"/>
      <c r="HS63" s="585"/>
      <c r="HT63" s="585"/>
      <c r="HU63" s="586"/>
      <c r="HV63" s="586"/>
      <c r="HW63" s="585"/>
      <c r="HX63" s="584"/>
      <c r="HY63" s="585"/>
      <c r="HZ63" s="585"/>
      <c r="IA63" s="585"/>
      <c r="IB63" s="586"/>
      <c r="IC63" s="586"/>
      <c r="ID63" s="585"/>
      <c r="IE63" s="584"/>
      <c r="IF63" s="585"/>
      <c r="IG63" s="585"/>
      <c r="IH63" s="585"/>
      <c r="II63" s="586"/>
      <c r="IJ63" s="586"/>
      <c r="IK63" s="585"/>
      <c r="IL63" s="584"/>
      <c r="IM63" s="585"/>
      <c r="IN63" s="585"/>
      <c r="IO63" s="585"/>
      <c r="IP63" s="586"/>
      <c r="IQ63" s="586"/>
      <c r="IR63" s="585"/>
      <c r="IS63" s="584"/>
      <c r="IT63" s="585"/>
      <c r="IU63" s="585"/>
      <c r="IV63" s="585"/>
    </row>
    <row r="64" spans="1:256" ht="12.75">
      <c r="A64" s="473" t="s">
        <v>270</v>
      </c>
      <c r="B64" s="507">
        <v>2715</v>
      </c>
      <c r="C64" s="507"/>
      <c r="D64" s="507"/>
      <c r="E64" s="40"/>
      <c r="F64" s="40"/>
      <c r="G64" s="507"/>
      <c r="H64" s="587"/>
      <c r="I64" s="510"/>
      <c r="J64" s="510"/>
      <c r="K64" s="510"/>
      <c r="L64" s="588"/>
      <c r="M64" s="588"/>
      <c r="N64" s="510"/>
      <c r="O64" s="587"/>
      <c r="P64" s="510"/>
      <c r="Q64" s="510"/>
      <c r="R64" s="510"/>
      <c r="S64" s="588"/>
      <c r="T64" s="588"/>
      <c r="U64" s="510"/>
      <c r="V64" s="587"/>
      <c r="W64" s="510"/>
      <c r="X64" s="510"/>
      <c r="Y64" s="510"/>
      <c r="Z64" s="588"/>
      <c r="AA64" s="588"/>
      <c r="AB64" s="510"/>
      <c r="AC64" s="587"/>
      <c r="AD64" s="510"/>
      <c r="AE64" s="510"/>
      <c r="AF64" s="510"/>
      <c r="AG64" s="588"/>
      <c r="AH64" s="588"/>
      <c r="AI64" s="510"/>
      <c r="AJ64" s="587"/>
      <c r="AK64" s="510"/>
      <c r="AL64" s="510"/>
      <c r="AM64" s="510"/>
      <c r="AN64" s="588"/>
      <c r="AO64" s="588"/>
      <c r="AP64" s="510"/>
      <c r="AQ64" s="587"/>
      <c r="AR64" s="510"/>
      <c r="AS64" s="510"/>
      <c r="AT64" s="510"/>
      <c r="AU64" s="588"/>
      <c r="AV64" s="588"/>
      <c r="AW64" s="510"/>
      <c r="AX64" s="587"/>
      <c r="AY64" s="510"/>
      <c r="AZ64" s="510"/>
      <c r="BA64" s="510"/>
      <c r="BB64" s="588"/>
      <c r="BC64" s="588"/>
      <c r="BD64" s="510"/>
      <c r="BE64" s="587"/>
      <c r="BF64" s="510"/>
      <c r="BG64" s="510"/>
      <c r="BH64" s="510"/>
      <c r="BI64" s="588"/>
      <c r="BJ64" s="588"/>
      <c r="BK64" s="510"/>
      <c r="BL64" s="587"/>
      <c r="BM64" s="510"/>
      <c r="BN64" s="510"/>
      <c r="BO64" s="510"/>
      <c r="BP64" s="588"/>
      <c r="BQ64" s="588"/>
      <c r="BR64" s="510"/>
      <c r="BS64" s="587"/>
      <c r="BT64" s="510"/>
      <c r="BU64" s="510"/>
      <c r="BV64" s="510"/>
      <c r="BW64" s="588"/>
      <c r="BX64" s="588"/>
      <c r="BY64" s="510"/>
      <c r="BZ64" s="587"/>
      <c r="CA64" s="510"/>
      <c r="CB64" s="510"/>
      <c r="CC64" s="510"/>
      <c r="CD64" s="588"/>
      <c r="CE64" s="588"/>
      <c r="CF64" s="510"/>
      <c r="CG64" s="587"/>
      <c r="CH64" s="510"/>
      <c r="CI64" s="510"/>
      <c r="CJ64" s="510"/>
      <c r="CK64" s="588"/>
      <c r="CL64" s="588"/>
      <c r="CM64" s="510"/>
      <c r="CN64" s="587"/>
      <c r="CO64" s="510"/>
      <c r="CP64" s="510"/>
      <c r="CQ64" s="510"/>
      <c r="CR64" s="588"/>
      <c r="CS64" s="588"/>
      <c r="CT64" s="510"/>
      <c r="CU64" s="587"/>
      <c r="CV64" s="510"/>
      <c r="CW64" s="510"/>
      <c r="CX64" s="510"/>
      <c r="CY64" s="588"/>
      <c r="CZ64" s="588"/>
      <c r="DA64" s="510"/>
      <c r="DB64" s="587"/>
      <c r="DC64" s="510"/>
      <c r="DD64" s="510"/>
      <c r="DE64" s="510"/>
      <c r="DF64" s="588"/>
      <c r="DG64" s="588"/>
      <c r="DH64" s="510"/>
      <c r="DI64" s="587"/>
      <c r="DJ64" s="510"/>
      <c r="DK64" s="510"/>
      <c r="DL64" s="510"/>
      <c r="DM64" s="588"/>
      <c r="DN64" s="588"/>
      <c r="DO64" s="510"/>
      <c r="DP64" s="587"/>
      <c r="DQ64" s="510"/>
      <c r="DR64" s="510"/>
      <c r="DS64" s="510"/>
      <c r="DT64" s="588"/>
      <c r="DU64" s="588"/>
      <c r="DV64" s="510"/>
      <c r="DW64" s="587"/>
      <c r="DX64" s="510"/>
      <c r="DY64" s="510"/>
      <c r="DZ64" s="510"/>
      <c r="EA64" s="588"/>
      <c r="EB64" s="588"/>
      <c r="EC64" s="510"/>
      <c r="ED64" s="587"/>
      <c r="EE64" s="510"/>
      <c r="EF64" s="510"/>
      <c r="EG64" s="510"/>
      <c r="EH64" s="588"/>
      <c r="EI64" s="588"/>
      <c r="EJ64" s="510"/>
      <c r="EK64" s="587"/>
      <c r="EL64" s="510"/>
      <c r="EM64" s="510"/>
      <c r="EN64" s="510"/>
      <c r="EO64" s="588"/>
      <c r="EP64" s="588"/>
      <c r="EQ64" s="510"/>
      <c r="ER64" s="587"/>
      <c r="ES64" s="510"/>
      <c r="ET64" s="510"/>
      <c r="EU64" s="510"/>
      <c r="EV64" s="588"/>
      <c r="EW64" s="588"/>
      <c r="EX64" s="510"/>
      <c r="EY64" s="587"/>
      <c r="EZ64" s="510"/>
      <c r="FA64" s="510"/>
      <c r="FB64" s="510"/>
      <c r="FC64" s="588"/>
      <c r="FD64" s="588"/>
      <c r="FE64" s="510"/>
      <c r="FF64" s="587"/>
      <c r="FG64" s="510"/>
      <c r="FH64" s="510"/>
      <c r="FI64" s="510"/>
      <c r="FJ64" s="588"/>
      <c r="FK64" s="588"/>
      <c r="FL64" s="510"/>
      <c r="FM64" s="587"/>
      <c r="FN64" s="510"/>
      <c r="FO64" s="510"/>
      <c r="FP64" s="510"/>
      <c r="FQ64" s="588"/>
      <c r="FR64" s="588"/>
      <c r="FS64" s="510"/>
      <c r="FT64" s="587"/>
      <c r="FU64" s="510"/>
      <c r="FV64" s="510"/>
      <c r="FW64" s="510"/>
      <c r="FX64" s="588"/>
      <c r="FY64" s="588"/>
      <c r="FZ64" s="510"/>
      <c r="GA64" s="587"/>
      <c r="GB64" s="510"/>
      <c r="GC64" s="510"/>
      <c r="GD64" s="510"/>
      <c r="GE64" s="588"/>
      <c r="GF64" s="588"/>
      <c r="GG64" s="510"/>
      <c r="GH64" s="587"/>
      <c r="GI64" s="510"/>
      <c r="GJ64" s="510"/>
      <c r="GK64" s="510"/>
      <c r="GL64" s="588"/>
      <c r="GM64" s="588"/>
      <c r="GN64" s="510"/>
      <c r="GO64" s="587"/>
      <c r="GP64" s="510"/>
      <c r="GQ64" s="510"/>
      <c r="GR64" s="510"/>
      <c r="GS64" s="588"/>
      <c r="GT64" s="588"/>
      <c r="GU64" s="510"/>
      <c r="GV64" s="587"/>
      <c r="GW64" s="510"/>
      <c r="GX64" s="510"/>
      <c r="GY64" s="510"/>
      <c r="GZ64" s="588"/>
      <c r="HA64" s="588"/>
      <c r="HB64" s="510"/>
      <c r="HC64" s="587"/>
      <c r="HD64" s="510"/>
      <c r="HE64" s="510"/>
      <c r="HF64" s="510"/>
      <c r="HG64" s="588"/>
      <c r="HH64" s="588"/>
      <c r="HI64" s="510"/>
      <c r="HJ64" s="587"/>
      <c r="HK64" s="510"/>
      <c r="HL64" s="510"/>
      <c r="HM64" s="510"/>
      <c r="HN64" s="588"/>
      <c r="HO64" s="588"/>
      <c r="HP64" s="510"/>
      <c r="HQ64" s="587"/>
      <c r="HR64" s="510"/>
      <c r="HS64" s="510"/>
      <c r="HT64" s="510"/>
      <c r="HU64" s="588"/>
      <c r="HV64" s="588"/>
      <c r="HW64" s="510"/>
      <c r="HX64" s="587"/>
      <c r="HY64" s="510"/>
      <c r="HZ64" s="510"/>
      <c r="IA64" s="510"/>
      <c r="IB64" s="588"/>
      <c r="IC64" s="588"/>
      <c r="ID64" s="510"/>
      <c r="IE64" s="587"/>
      <c r="IF64" s="510"/>
      <c r="IG64" s="510"/>
      <c r="IH64" s="510"/>
      <c r="II64" s="588"/>
      <c r="IJ64" s="588"/>
      <c r="IK64" s="510"/>
      <c r="IL64" s="587"/>
      <c r="IM64" s="510"/>
      <c r="IN64" s="510"/>
      <c r="IO64" s="510"/>
      <c r="IP64" s="588"/>
      <c r="IQ64" s="588"/>
      <c r="IR64" s="510"/>
      <c r="IS64" s="587"/>
      <c r="IT64" s="510"/>
      <c r="IU64" s="510"/>
      <c r="IV64" s="510"/>
    </row>
    <row r="65" spans="1:256" ht="12.75">
      <c r="A65" s="32" t="s">
        <v>329</v>
      </c>
      <c r="B65" s="248">
        <v>3284</v>
      </c>
      <c r="C65" s="248">
        <v>102</v>
      </c>
      <c r="D65" s="248">
        <v>12</v>
      </c>
      <c r="E65" s="16">
        <v>0.3654080389768575</v>
      </c>
      <c r="F65" s="16">
        <v>11.76470588235294</v>
      </c>
      <c r="G65" s="248">
        <v>12</v>
      </c>
      <c r="H65" s="583"/>
      <c r="I65" s="580"/>
      <c r="J65" s="580"/>
      <c r="K65" s="580"/>
      <c r="L65" s="581"/>
      <c r="M65" s="581"/>
      <c r="N65" s="580"/>
      <c r="O65" s="583"/>
      <c r="P65" s="580"/>
      <c r="Q65" s="580"/>
      <c r="R65" s="580"/>
      <c r="S65" s="581"/>
      <c r="T65" s="581"/>
      <c r="U65" s="580"/>
      <c r="V65" s="583"/>
      <c r="W65" s="580"/>
      <c r="X65" s="580"/>
      <c r="Y65" s="580"/>
      <c r="Z65" s="581"/>
      <c r="AA65" s="581"/>
      <c r="AB65" s="580"/>
      <c r="AC65" s="583"/>
      <c r="AD65" s="580"/>
      <c r="AE65" s="580"/>
      <c r="AF65" s="580"/>
      <c r="AG65" s="581"/>
      <c r="AH65" s="581"/>
      <c r="AI65" s="580"/>
      <c r="AJ65" s="583"/>
      <c r="AK65" s="580"/>
      <c r="AL65" s="580"/>
      <c r="AM65" s="580"/>
      <c r="AN65" s="581"/>
      <c r="AO65" s="581"/>
      <c r="AP65" s="580"/>
      <c r="AQ65" s="583"/>
      <c r="AR65" s="580"/>
      <c r="AS65" s="580"/>
      <c r="AT65" s="580"/>
      <c r="AU65" s="581"/>
      <c r="AV65" s="581"/>
      <c r="AW65" s="580"/>
      <c r="AX65" s="583"/>
      <c r="AY65" s="580"/>
      <c r="AZ65" s="580"/>
      <c r="BA65" s="580"/>
      <c r="BB65" s="581"/>
      <c r="BC65" s="581"/>
      <c r="BD65" s="580"/>
      <c r="BE65" s="583"/>
      <c r="BF65" s="580"/>
      <c r="BG65" s="580"/>
      <c r="BH65" s="580"/>
      <c r="BI65" s="581"/>
      <c r="BJ65" s="581"/>
      <c r="BK65" s="580"/>
      <c r="BL65" s="583"/>
      <c r="BM65" s="580"/>
      <c r="BN65" s="580"/>
      <c r="BO65" s="580"/>
      <c r="BP65" s="581"/>
      <c r="BQ65" s="581"/>
      <c r="BR65" s="580"/>
      <c r="BS65" s="583"/>
      <c r="BT65" s="580"/>
      <c r="BU65" s="580"/>
      <c r="BV65" s="580"/>
      <c r="BW65" s="581"/>
      <c r="BX65" s="581"/>
      <c r="BY65" s="580"/>
      <c r="BZ65" s="583"/>
      <c r="CA65" s="580"/>
      <c r="CB65" s="580"/>
      <c r="CC65" s="580"/>
      <c r="CD65" s="581"/>
      <c r="CE65" s="581"/>
      <c r="CF65" s="580"/>
      <c r="CG65" s="583"/>
      <c r="CH65" s="580"/>
      <c r="CI65" s="580"/>
      <c r="CJ65" s="580"/>
      <c r="CK65" s="581"/>
      <c r="CL65" s="581"/>
      <c r="CM65" s="580"/>
      <c r="CN65" s="583"/>
      <c r="CO65" s="580"/>
      <c r="CP65" s="580"/>
      <c r="CQ65" s="580"/>
      <c r="CR65" s="581"/>
      <c r="CS65" s="581"/>
      <c r="CT65" s="580"/>
      <c r="CU65" s="583"/>
      <c r="CV65" s="580"/>
      <c r="CW65" s="580"/>
      <c r="CX65" s="580"/>
      <c r="CY65" s="581"/>
      <c r="CZ65" s="581"/>
      <c r="DA65" s="580"/>
      <c r="DB65" s="583"/>
      <c r="DC65" s="580"/>
      <c r="DD65" s="580"/>
      <c r="DE65" s="580"/>
      <c r="DF65" s="581"/>
      <c r="DG65" s="581"/>
      <c r="DH65" s="580"/>
      <c r="DI65" s="583"/>
      <c r="DJ65" s="580"/>
      <c r="DK65" s="580"/>
      <c r="DL65" s="580"/>
      <c r="DM65" s="581"/>
      <c r="DN65" s="581"/>
      <c r="DO65" s="580"/>
      <c r="DP65" s="583"/>
      <c r="DQ65" s="580"/>
      <c r="DR65" s="580"/>
      <c r="DS65" s="580"/>
      <c r="DT65" s="581"/>
      <c r="DU65" s="581"/>
      <c r="DV65" s="580"/>
      <c r="DW65" s="583"/>
      <c r="DX65" s="580"/>
      <c r="DY65" s="580"/>
      <c r="DZ65" s="580"/>
      <c r="EA65" s="581"/>
      <c r="EB65" s="581"/>
      <c r="EC65" s="580"/>
      <c r="ED65" s="583"/>
      <c r="EE65" s="580"/>
      <c r="EF65" s="580"/>
      <c r="EG65" s="580"/>
      <c r="EH65" s="581"/>
      <c r="EI65" s="581"/>
      <c r="EJ65" s="580"/>
      <c r="EK65" s="583"/>
      <c r="EL65" s="580"/>
      <c r="EM65" s="580"/>
      <c r="EN65" s="580"/>
      <c r="EO65" s="581"/>
      <c r="EP65" s="581"/>
      <c r="EQ65" s="580"/>
      <c r="ER65" s="583"/>
      <c r="ES65" s="580"/>
      <c r="ET65" s="580"/>
      <c r="EU65" s="580"/>
      <c r="EV65" s="581"/>
      <c r="EW65" s="581"/>
      <c r="EX65" s="580"/>
      <c r="EY65" s="583"/>
      <c r="EZ65" s="580"/>
      <c r="FA65" s="580"/>
      <c r="FB65" s="580"/>
      <c r="FC65" s="581"/>
      <c r="FD65" s="581"/>
      <c r="FE65" s="580"/>
      <c r="FF65" s="583"/>
      <c r="FG65" s="580"/>
      <c r="FH65" s="580"/>
      <c r="FI65" s="580"/>
      <c r="FJ65" s="581"/>
      <c r="FK65" s="581"/>
      <c r="FL65" s="580"/>
      <c r="FM65" s="583"/>
      <c r="FN65" s="580"/>
      <c r="FO65" s="580"/>
      <c r="FP65" s="580"/>
      <c r="FQ65" s="581"/>
      <c r="FR65" s="581"/>
      <c r="FS65" s="580"/>
      <c r="FT65" s="583"/>
      <c r="FU65" s="580"/>
      <c r="FV65" s="580"/>
      <c r="FW65" s="580"/>
      <c r="FX65" s="581"/>
      <c r="FY65" s="581"/>
      <c r="FZ65" s="580"/>
      <c r="GA65" s="583"/>
      <c r="GB65" s="580"/>
      <c r="GC65" s="580"/>
      <c r="GD65" s="580"/>
      <c r="GE65" s="581"/>
      <c r="GF65" s="581"/>
      <c r="GG65" s="580"/>
      <c r="GH65" s="583"/>
      <c r="GI65" s="580"/>
      <c r="GJ65" s="580"/>
      <c r="GK65" s="580"/>
      <c r="GL65" s="581"/>
      <c r="GM65" s="581"/>
      <c r="GN65" s="580"/>
      <c r="GO65" s="583"/>
      <c r="GP65" s="580"/>
      <c r="GQ65" s="580"/>
      <c r="GR65" s="580"/>
      <c r="GS65" s="581"/>
      <c r="GT65" s="581"/>
      <c r="GU65" s="580"/>
      <c r="GV65" s="583"/>
      <c r="GW65" s="580"/>
      <c r="GX65" s="580"/>
      <c r="GY65" s="580"/>
      <c r="GZ65" s="581"/>
      <c r="HA65" s="581"/>
      <c r="HB65" s="580"/>
      <c r="HC65" s="583"/>
      <c r="HD65" s="580"/>
      <c r="HE65" s="580"/>
      <c r="HF65" s="580"/>
      <c r="HG65" s="581"/>
      <c r="HH65" s="581"/>
      <c r="HI65" s="580"/>
      <c r="HJ65" s="583"/>
      <c r="HK65" s="580"/>
      <c r="HL65" s="580"/>
      <c r="HM65" s="580"/>
      <c r="HN65" s="581"/>
      <c r="HO65" s="581"/>
      <c r="HP65" s="580"/>
      <c r="HQ65" s="583"/>
      <c r="HR65" s="580"/>
      <c r="HS65" s="580"/>
      <c r="HT65" s="580"/>
      <c r="HU65" s="581"/>
      <c r="HV65" s="581"/>
      <c r="HW65" s="580"/>
      <c r="HX65" s="583"/>
      <c r="HY65" s="580"/>
      <c r="HZ65" s="580"/>
      <c r="IA65" s="580"/>
      <c r="IB65" s="581"/>
      <c r="IC65" s="581"/>
      <c r="ID65" s="580"/>
      <c r="IE65" s="583"/>
      <c r="IF65" s="580"/>
      <c r="IG65" s="580"/>
      <c r="IH65" s="580"/>
      <c r="II65" s="581"/>
      <c r="IJ65" s="581"/>
      <c r="IK65" s="580"/>
      <c r="IL65" s="583"/>
      <c r="IM65" s="580"/>
      <c r="IN65" s="580"/>
      <c r="IO65" s="580"/>
      <c r="IP65" s="581"/>
      <c r="IQ65" s="581"/>
      <c r="IR65" s="580"/>
      <c r="IS65" s="583"/>
      <c r="IT65" s="580"/>
      <c r="IU65" s="580"/>
      <c r="IV65" s="580"/>
    </row>
    <row r="66" spans="1:256" ht="12.75">
      <c r="A66" s="505" t="s">
        <v>272</v>
      </c>
      <c r="B66" s="475">
        <v>2932</v>
      </c>
      <c r="C66" s="475">
        <v>82</v>
      </c>
      <c r="D66" s="475"/>
      <c r="E66" s="506"/>
      <c r="F66" s="506"/>
      <c r="G66" s="475"/>
      <c r="H66" s="584"/>
      <c r="I66" s="585"/>
      <c r="J66" s="585"/>
      <c r="K66" s="585"/>
      <c r="L66" s="586"/>
      <c r="M66" s="586"/>
      <c r="N66" s="585"/>
      <c r="O66" s="584"/>
      <c r="P66" s="585"/>
      <c r="Q66" s="585"/>
      <c r="R66" s="585"/>
      <c r="S66" s="586"/>
      <c r="T66" s="586"/>
      <c r="U66" s="585"/>
      <c r="V66" s="584"/>
      <c r="W66" s="585"/>
      <c r="X66" s="585"/>
      <c r="Y66" s="585"/>
      <c r="Z66" s="586"/>
      <c r="AA66" s="586"/>
      <c r="AB66" s="585"/>
      <c r="AC66" s="584"/>
      <c r="AD66" s="585"/>
      <c r="AE66" s="585"/>
      <c r="AF66" s="585"/>
      <c r="AG66" s="586"/>
      <c r="AH66" s="586"/>
      <c r="AI66" s="585"/>
      <c r="AJ66" s="584"/>
      <c r="AK66" s="585"/>
      <c r="AL66" s="585"/>
      <c r="AM66" s="585"/>
      <c r="AN66" s="586"/>
      <c r="AO66" s="586"/>
      <c r="AP66" s="585"/>
      <c r="AQ66" s="584"/>
      <c r="AR66" s="585"/>
      <c r="AS66" s="585"/>
      <c r="AT66" s="585"/>
      <c r="AU66" s="586"/>
      <c r="AV66" s="586"/>
      <c r="AW66" s="585"/>
      <c r="AX66" s="584"/>
      <c r="AY66" s="585"/>
      <c r="AZ66" s="585"/>
      <c r="BA66" s="585"/>
      <c r="BB66" s="586"/>
      <c r="BC66" s="586"/>
      <c r="BD66" s="585"/>
      <c r="BE66" s="584"/>
      <c r="BF66" s="585"/>
      <c r="BG66" s="585"/>
      <c r="BH66" s="585"/>
      <c r="BI66" s="586"/>
      <c r="BJ66" s="586"/>
      <c r="BK66" s="585"/>
      <c r="BL66" s="584"/>
      <c r="BM66" s="585"/>
      <c r="BN66" s="585"/>
      <c r="BO66" s="585"/>
      <c r="BP66" s="586"/>
      <c r="BQ66" s="586"/>
      <c r="BR66" s="585"/>
      <c r="BS66" s="584"/>
      <c r="BT66" s="585"/>
      <c r="BU66" s="585"/>
      <c r="BV66" s="585"/>
      <c r="BW66" s="586"/>
      <c r="BX66" s="586"/>
      <c r="BY66" s="585"/>
      <c r="BZ66" s="584"/>
      <c r="CA66" s="585"/>
      <c r="CB66" s="585"/>
      <c r="CC66" s="585"/>
      <c r="CD66" s="586"/>
      <c r="CE66" s="586"/>
      <c r="CF66" s="585"/>
      <c r="CG66" s="584"/>
      <c r="CH66" s="585"/>
      <c r="CI66" s="585"/>
      <c r="CJ66" s="585"/>
      <c r="CK66" s="586"/>
      <c r="CL66" s="586"/>
      <c r="CM66" s="585"/>
      <c r="CN66" s="584"/>
      <c r="CO66" s="585"/>
      <c r="CP66" s="585"/>
      <c r="CQ66" s="585"/>
      <c r="CR66" s="586"/>
      <c r="CS66" s="586"/>
      <c r="CT66" s="585"/>
      <c r="CU66" s="584"/>
      <c r="CV66" s="585"/>
      <c r="CW66" s="585"/>
      <c r="CX66" s="585"/>
      <c r="CY66" s="586"/>
      <c r="CZ66" s="586"/>
      <c r="DA66" s="585"/>
      <c r="DB66" s="584"/>
      <c r="DC66" s="585"/>
      <c r="DD66" s="585"/>
      <c r="DE66" s="585"/>
      <c r="DF66" s="586"/>
      <c r="DG66" s="586"/>
      <c r="DH66" s="585"/>
      <c r="DI66" s="584"/>
      <c r="DJ66" s="585"/>
      <c r="DK66" s="585"/>
      <c r="DL66" s="585"/>
      <c r="DM66" s="586"/>
      <c r="DN66" s="586"/>
      <c r="DO66" s="585"/>
      <c r="DP66" s="584"/>
      <c r="DQ66" s="585"/>
      <c r="DR66" s="585"/>
      <c r="DS66" s="585"/>
      <c r="DT66" s="586"/>
      <c r="DU66" s="586"/>
      <c r="DV66" s="585"/>
      <c r="DW66" s="584"/>
      <c r="DX66" s="585"/>
      <c r="DY66" s="585"/>
      <c r="DZ66" s="585"/>
      <c r="EA66" s="586"/>
      <c r="EB66" s="586"/>
      <c r="EC66" s="585"/>
      <c r="ED66" s="584"/>
      <c r="EE66" s="585"/>
      <c r="EF66" s="585"/>
      <c r="EG66" s="585"/>
      <c r="EH66" s="586"/>
      <c r="EI66" s="586"/>
      <c r="EJ66" s="585"/>
      <c r="EK66" s="584"/>
      <c r="EL66" s="585"/>
      <c r="EM66" s="585"/>
      <c r="EN66" s="585"/>
      <c r="EO66" s="586"/>
      <c r="EP66" s="586"/>
      <c r="EQ66" s="585"/>
      <c r="ER66" s="584"/>
      <c r="ES66" s="585"/>
      <c r="ET66" s="585"/>
      <c r="EU66" s="585"/>
      <c r="EV66" s="586"/>
      <c r="EW66" s="586"/>
      <c r="EX66" s="585"/>
      <c r="EY66" s="584"/>
      <c r="EZ66" s="585"/>
      <c r="FA66" s="585"/>
      <c r="FB66" s="585"/>
      <c r="FC66" s="586"/>
      <c r="FD66" s="586"/>
      <c r="FE66" s="585"/>
      <c r="FF66" s="584"/>
      <c r="FG66" s="585"/>
      <c r="FH66" s="585"/>
      <c r="FI66" s="585"/>
      <c r="FJ66" s="586"/>
      <c r="FK66" s="586"/>
      <c r="FL66" s="585"/>
      <c r="FM66" s="584"/>
      <c r="FN66" s="585"/>
      <c r="FO66" s="585"/>
      <c r="FP66" s="585"/>
      <c r="FQ66" s="586"/>
      <c r="FR66" s="586"/>
      <c r="FS66" s="585"/>
      <c r="FT66" s="584"/>
      <c r="FU66" s="585"/>
      <c r="FV66" s="585"/>
      <c r="FW66" s="585"/>
      <c r="FX66" s="586"/>
      <c r="FY66" s="586"/>
      <c r="FZ66" s="585"/>
      <c r="GA66" s="584"/>
      <c r="GB66" s="585"/>
      <c r="GC66" s="585"/>
      <c r="GD66" s="585"/>
      <c r="GE66" s="586"/>
      <c r="GF66" s="586"/>
      <c r="GG66" s="585"/>
      <c r="GH66" s="584"/>
      <c r="GI66" s="585"/>
      <c r="GJ66" s="585"/>
      <c r="GK66" s="585"/>
      <c r="GL66" s="586"/>
      <c r="GM66" s="586"/>
      <c r="GN66" s="585"/>
      <c r="GO66" s="584"/>
      <c r="GP66" s="585"/>
      <c r="GQ66" s="585"/>
      <c r="GR66" s="585"/>
      <c r="GS66" s="586"/>
      <c r="GT66" s="586"/>
      <c r="GU66" s="585"/>
      <c r="GV66" s="584"/>
      <c r="GW66" s="585"/>
      <c r="GX66" s="585"/>
      <c r="GY66" s="585"/>
      <c r="GZ66" s="586"/>
      <c r="HA66" s="586"/>
      <c r="HB66" s="585"/>
      <c r="HC66" s="584"/>
      <c r="HD66" s="585"/>
      <c r="HE66" s="585"/>
      <c r="HF66" s="585"/>
      <c r="HG66" s="586"/>
      <c r="HH66" s="586"/>
      <c r="HI66" s="585"/>
      <c r="HJ66" s="584"/>
      <c r="HK66" s="585"/>
      <c r="HL66" s="585"/>
      <c r="HM66" s="585"/>
      <c r="HN66" s="586"/>
      <c r="HO66" s="586"/>
      <c r="HP66" s="585"/>
      <c r="HQ66" s="584"/>
      <c r="HR66" s="585"/>
      <c r="HS66" s="585"/>
      <c r="HT66" s="585"/>
      <c r="HU66" s="586"/>
      <c r="HV66" s="586"/>
      <c r="HW66" s="585"/>
      <c r="HX66" s="584"/>
      <c r="HY66" s="585"/>
      <c r="HZ66" s="585"/>
      <c r="IA66" s="585"/>
      <c r="IB66" s="586"/>
      <c r="IC66" s="586"/>
      <c r="ID66" s="585"/>
      <c r="IE66" s="584"/>
      <c r="IF66" s="585"/>
      <c r="IG66" s="585"/>
      <c r="IH66" s="585"/>
      <c r="II66" s="586"/>
      <c r="IJ66" s="586"/>
      <c r="IK66" s="585"/>
      <c r="IL66" s="584"/>
      <c r="IM66" s="585"/>
      <c r="IN66" s="585"/>
      <c r="IO66" s="585"/>
      <c r="IP66" s="586"/>
      <c r="IQ66" s="586"/>
      <c r="IR66" s="585"/>
      <c r="IS66" s="584"/>
      <c r="IT66" s="585"/>
      <c r="IU66" s="585"/>
      <c r="IV66" s="585"/>
    </row>
    <row r="67" spans="1:256" ht="12.75">
      <c r="A67" s="473" t="s">
        <v>269</v>
      </c>
      <c r="B67" s="507">
        <v>2250</v>
      </c>
      <c r="C67" s="507">
        <v>82</v>
      </c>
      <c r="D67" s="507"/>
      <c r="E67" s="40"/>
      <c r="F67" s="40"/>
      <c r="G67" s="507"/>
      <c r="H67" s="587"/>
      <c r="I67" s="510"/>
      <c r="J67" s="510"/>
      <c r="K67" s="510"/>
      <c r="L67" s="588"/>
      <c r="M67" s="588"/>
      <c r="N67" s="510"/>
      <c r="O67" s="587"/>
      <c r="P67" s="510"/>
      <c r="Q67" s="510"/>
      <c r="R67" s="510"/>
      <c r="S67" s="588"/>
      <c r="T67" s="588"/>
      <c r="U67" s="510"/>
      <c r="V67" s="587"/>
      <c r="W67" s="510"/>
      <c r="X67" s="510"/>
      <c r="Y67" s="510"/>
      <c r="Z67" s="588"/>
      <c r="AA67" s="588"/>
      <c r="AB67" s="510"/>
      <c r="AC67" s="587"/>
      <c r="AD67" s="510"/>
      <c r="AE67" s="510"/>
      <c r="AF67" s="510"/>
      <c r="AG67" s="588"/>
      <c r="AH67" s="588"/>
      <c r="AI67" s="510"/>
      <c r="AJ67" s="587"/>
      <c r="AK67" s="510"/>
      <c r="AL67" s="510"/>
      <c r="AM67" s="510"/>
      <c r="AN67" s="588"/>
      <c r="AO67" s="588"/>
      <c r="AP67" s="510"/>
      <c r="AQ67" s="587"/>
      <c r="AR67" s="510"/>
      <c r="AS67" s="510"/>
      <c r="AT67" s="510"/>
      <c r="AU67" s="588"/>
      <c r="AV67" s="588"/>
      <c r="AW67" s="510"/>
      <c r="AX67" s="587"/>
      <c r="AY67" s="510"/>
      <c r="AZ67" s="510"/>
      <c r="BA67" s="510"/>
      <c r="BB67" s="588"/>
      <c r="BC67" s="588"/>
      <c r="BD67" s="510"/>
      <c r="BE67" s="587"/>
      <c r="BF67" s="510"/>
      <c r="BG67" s="510"/>
      <c r="BH67" s="510"/>
      <c r="BI67" s="588"/>
      <c r="BJ67" s="588"/>
      <c r="BK67" s="510"/>
      <c r="BL67" s="587"/>
      <c r="BM67" s="510"/>
      <c r="BN67" s="510"/>
      <c r="BO67" s="510"/>
      <c r="BP67" s="588"/>
      <c r="BQ67" s="588"/>
      <c r="BR67" s="510"/>
      <c r="BS67" s="587"/>
      <c r="BT67" s="510"/>
      <c r="BU67" s="510"/>
      <c r="BV67" s="510"/>
      <c r="BW67" s="588"/>
      <c r="BX67" s="588"/>
      <c r="BY67" s="510"/>
      <c r="BZ67" s="587"/>
      <c r="CA67" s="510"/>
      <c r="CB67" s="510"/>
      <c r="CC67" s="510"/>
      <c r="CD67" s="588"/>
      <c r="CE67" s="588"/>
      <c r="CF67" s="510"/>
      <c r="CG67" s="587"/>
      <c r="CH67" s="510"/>
      <c r="CI67" s="510"/>
      <c r="CJ67" s="510"/>
      <c r="CK67" s="588"/>
      <c r="CL67" s="588"/>
      <c r="CM67" s="510"/>
      <c r="CN67" s="587"/>
      <c r="CO67" s="510"/>
      <c r="CP67" s="510"/>
      <c r="CQ67" s="510"/>
      <c r="CR67" s="588"/>
      <c r="CS67" s="588"/>
      <c r="CT67" s="510"/>
      <c r="CU67" s="587"/>
      <c r="CV67" s="510"/>
      <c r="CW67" s="510"/>
      <c r="CX67" s="510"/>
      <c r="CY67" s="588"/>
      <c r="CZ67" s="588"/>
      <c r="DA67" s="510"/>
      <c r="DB67" s="587"/>
      <c r="DC67" s="510"/>
      <c r="DD67" s="510"/>
      <c r="DE67" s="510"/>
      <c r="DF67" s="588"/>
      <c r="DG67" s="588"/>
      <c r="DH67" s="510"/>
      <c r="DI67" s="587"/>
      <c r="DJ67" s="510"/>
      <c r="DK67" s="510"/>
      <c r="DL67" s="510"/>
      <c r="DM67" s="588"/>
      <c r="DN67" s="588"/>
      <c r="DO67" s="510"/>
      <c r="DP67" s="587"/>
      <c r="DQ67" s="510"/>
      <c r="DR67" s="510"/>
      <c r="DS67" s="510"/>
      <c r="DT67" s="588"/>
      <c r="DU67" s="588"/>
      <c r="DV67" s="510"/>
      <c r="DW67" s="587"/>
      <c r="DX67" s="510"/>
      <c r="DY67" s="510"/>
      <c r="DZ67" s="510"/>
      <c r="EA67" s="588"/>
      <c r="EB67" s="588"/>
      <c r="EC67" s="510"/>
      <c r="ED67" s="587"/>
      <c r="EE67" s="510"/>
      <c r="EF67" s="510"/>
      <c r="EG67" s="510"/>
      <c r="EH67" s="588"/>
      <c r="EI67" s="588"/>
      <c r="EJ67" s="510"/>
      <c r="EK67" s="587"/>
      <c r="EL67" s="510"/>
      <c r="EM67" s="510"/>
      <c r="EN67" s="510"/>
      <c r="EO67" s="588"/>
      <c r="EP67" s="588"/>
      <c r="EQ67" s="510"/>
      <c r="ER67" s="587"/>
      <c r="ES67" s="510"/>
      <c r="ET67" s="510"/>
      <c r="EU67" s="510"/>
      <c r="EV67" s="588"/>
      <c r="EW67" s="588"/>
      <c r="EX67" s="510"/>
      <c r="EY67" s="587"/>
      <c r="EZ67" s="510"/>
      <c r="FA67" s="510"/>
      <c r="FB67" s="510"/>
      <c r="FC67" s="588"/>
      <c r="FD67" s="588"/>
      <c r="FE67" s="510"/>
      <c r="FF67" s="587"/>
      <c r="FG67" s="510"/>
      <c r="FH67" s="510"/>
      <c r="FI67" s="510"/>
      <c r="FJ67" s="588"/>
      <c r="FK67" s="588"/>
      <c r="FL67" s="510"/>
      <c r="FM67" s="587"/>
      <c r="FN67" s="510"/>
      <c r="FO67" s="510"/>
      <c r="FP67" s="510"/>
      <c r="FQ67" s="588"/>
      <c r="FR67" s="588"/>
      <c r="FS67" s="510"/>
      <c r="FT67" s="587"/>
      <c r="FU67" s="510"/>
      <c r="FV67" s="510"/>
      <c r="FW67" s="510"/>
      <c r="FX67" s="588"/>
      <c r="FY67" s="588"/>
      <c r="FZ67" s="510"/>
      <c r="GA67" s="587"/>
      <c r="GB67" s="510"/>
      <c r="GC67" s="510"/>
      <c r="GD67" s="510"/>
      <c r="GE67" s="588"/>
      <c r="GF67" s="588"/>
      <c r="GG67" s="510"/>
      <c r="GH67" s="587"/>
      <c r="GI67" s="510"/>
      <c r="GJ67" s="510"/>
      <c r="GK67" s="510"/>
      <c r="GL67" s="588"/>
      <c r="GM67" s="588"/>
      <c r="GN67" s="510"/>
      <c r="GO67" s="587"/>
      <c r="GP67" s="510"/>
      <c r="GQ67" s="510"/>
      <c r="GR67" s="510"/>
      <c r="GS67" s="588"/>
      <c r="GT67" s="588"/>
      <c r="GU67" s="510"/>
      <c r="GV67" s="587"/>
      <c r="GW67" s="510"/>
      <c r="GX67" s="510"/>
      <c r="GY67" s="510"/>
      <c r="GZ67" s="588"/>
      <c r="HA67" s="588"/>
      <c r="HB67" s="510"/>
      <c r="HC67" s="587"/>
      <c r="HD67" s="510"/>
      <c r="HE67" s="510"/>
      <c r="HF67" s="510"/>
      <c r="HG67" s="588"/>
      <c r="HH67" s="588"/>
      <c r="HI67" s="510"/>
      <c r="HJ67" s="587"/>
      <c r="HK67" s="510"/>
      <c r="HL67" s="510"/>
      <c r="HM67" s="510"/>
      <c r="HN67" s="588"/>
      <c r="HO67" s="588"/>
      <c r="HP67" s="510"/>
      <c r="HQ67" s="587"/>
      <c r="HR67" s="510"/>
      <c r="HS67" s="510"/>
      <c r="HT67" s="510"/>
      <c r="HU67" s="588"/>
      <c r="HV67" s="588"/>
      <c r="HW67" s="510"/>
      <c r="HX67" s="587"/>
      <c r="HY67" s="510"/>
      <c r="HZ67" s="510"/>
      <c r="IA67" s="510"/>
      <c r="IB67" s="588"/>
      <c r="IC67" s="588"/>
      <c r="ID67" s="510"/>
      <c r="IE67" s="587"/>
      <c r="IF67" s="510"/>
      <c r="IG67" s="510"/>
      <c r="IH67" s="510"/>
      <c r="II67" s="588"/>
      <c r="IJ67" s="588"/>
      <c r="IK67" s="510"/>
      <c r="IL67" s="587"/>
      <c r="IM67" s="510"/>
      <c r="IN67" s="510"/>
      <c r="IO67" s="510"/>
      <c r="IP67" s="588"/>
      <c r="IQ67" s="588"/>
      <c r="IR67" s="510"/>
      <c r="IS67" s="587"/>
      <c r="IT67" s="510"/>
      <c r="IU67" s="510"/>
      <c r="IV67" s="510"/>
    </row>
    <row r="68" spans="1:256" ht="12.75">
      <c r="A68" s="473" t="s">
        <v>270</v>
      </c>
      <c r="B68" s="507">
        <v>682</v>
      </c>
      <c r="C68" s="507"/>
      <c r="D68" s="507"/>
      <c r="E68" s="40"/>
      <c r="F68" s="40"/>
      <c r="G68" s="507"/>
      <c r="H68" s="587"/>
      <c r="I68" s="510"/>
      <c r="J68" s="510"/>
      <c r="K68" s="510"/>
      <c r="L68" s="588"/>
      <c r="M68" s="588"/>
      <c r="N68" s="510"/>
      <c r="O68" s="587"/>
      <c r="P68" s="510"/>
      <c r="Q68" s="510"/>
      <c r="R68" s="510"/>
      <c r="S68" s="588"/>
      <c r="T68" s="588"/>
      <c r="U68" s="510"/>
      <c r="V68" s="587"/>
      <c r="W68" s="510"/>
      <c r="X68" s="510"/>
      <c r="Y68" s="510"/>
      <c r="Z68" s="588"/>
      <c r="AA68" s="588"/>
      <c r="AB68" s="510"/>
      <c r="AC68" s="587"/>
      <c r="AD68" s="510"/>
      <c r="AE68" s="510"/>
      <c r="AF68" s="510"/>
      <c r="AG68" s="588"/>
      <c r="AH68" s="588"/>
      <c r="AI68" s="510"/>
      <c r="AJ68" s="587"/>
      <c r="AK68" s="510"/>
      <c r="AL68" s="510"/>
      <c r="AM68" s="510"/>
      <c r="AN68" s="588"/>
      <c r="AO68" s="588"/>
      <c r="AP68" s="510"/>
      <c r="AQ68" s="587"/>
      <c r="AR68" s="510"/>
      <c r="AS68" s="510"/>
      <c r="AT68" s="510"/>
      <c r="AU68" s="588"/>
      <c r="AV68" s="588"/>
      <c r="AW68" s="510"/>
      <c r="AX68" s="587"/>
      <c r="AY68" s="510"/>
      <c r="AZ68" s="510"/>
      <c r="BA68" s="510"/>
      <c r="BB68" s="588"/>
      <c r="BC68" s="588"/>
      <c r="BD68" s="510"/>
      <c r="BE68" s="587"/>
      <c r="BF68" s="510"/>
      <c r="BG68" s="510"/>
      <c r="BH68" s="510"/>
      <c r="BI68" s="588"/>
      <c r="BJ68" s="588"/>
      <c r="BK68" s="510"/>
      <c r="BL68" s="587"/>
      <c r="BM68" s="510"/>
      <c r="BN68" s="510"/>
      <c r="BO68" s="510"/>
      <c r="BP68" s="588"/>
      <c r="BQ68" s="588"/>
      <c r="BR68" s="510"/>
      <c r="BS68" s="587"/>
      <c r="BT68" s="510"/>
      <c r="BU68" s="510"/>
      <c r="BV68" s="510"/>
      <c r="BW68" s="588"/>
      <c r="BX68" s="588"/>
      <c r="BY68" s="510"/>
      <c r="BZ68" s="587"/>
      <c r="CA68" s="510"/>
      <c r="CB68" s="510"/>
      <c r="CC68" s="510"/>
      <c r="CD68" s="588"/>
      <c r="CE68" s="588"/>
      <c r="CF68" s="510"/>
      <c r="CG68" s="587"/>
      <c r="CH68" s="510"/>
      <c r="CI68" s="510"/>
      <c r="CJ68" s="510"/>
      <c r="CK68" s="588"/>
      <c r="CL68" s="588"/>
      <c r="CM68" s="510"/>
      <c r="CN68" s="587"/>
      <c r="CO68" s="510"/>
      <c r="CP68" s="510"/>
      <c r="CQ68" s="510"/>
      <c r="CR68" s="588"/>
      <c r="CS68" s="588"/>
      <c r="CT68" s="510"/>
      <c r="CU68" s="587"/>
      <c r="CV68" s="510"/>
      <c r="CW68" s="510"/>
      <c r="CX68" s="510"/>
      <c r="CY68" s="588"/>
      <c r="CZ68" s="588"/>
      <c r="DA68" s="510"/>
      <c r="DB68" s="587"/>
      <c r="DC68" s="510"/>
      <c r="DD68" s="510"/>
      <c r="DE68" s="510"/>
      <c r="DF68" s="588"/>
      <c r="DG68" s="588"/>
      <c r="DH68" s="510"/>
      <c r="DI68" s="587"/>
      <c r="DJ68" s="510"/>
      <c r="DK68" s="510"/>
      <c r="DL68" s="510"/>
      <c r="DM68" s="588"/>
      <c r="DN68" s="588"/>
      <c r="DO68" s="510"/>
      <c r="DP68" s="587"/>
      <c r="DQ68" s="510"/>
      <c r="DR68" s="510"/>
      <c r="DS68" s="510"/>
      <c r="DT68" s="588"/>
      <c r="DU68" s="588"/>
      <c r="DV68" s="510"/>
      <c r="DW68" s="587"/>
      <c r="DX68" s="510"/>
      <c r="DY68" s="510"/>
      <c r="DZ68" s="510"/>
      <c r="EA68" s="588"/>
      <c r="EB68" s="588"/>
      <c r="EC68" s="510"/>
      <c r="ED68" s="587"/>
      <c r="EE68" s="510"/>
      <c r="EF68" s="510"/>
      <c r="EG68" s="510"/>
      <c r="EH68" s="588"/>
      <c r="EI68" s="588"/>
      <c r="EJ68" s="510"/>
      <c r="EK68" s="587"/>
      <c r="EL68" s="510"/>
      <c r="EM68" s="510"/>
      <c r="EN68" s="510"/>
      <c r="EO68" s="588"/>
      <c r="EP68" s="588"/>
      <c r="EQ68" s="510"/>
      <c r="ER68" s="587"/>
      <c r="ES68" s="510"/>
      <c r="ET68" s="510"/>
      <c r="EU68" s="510"/>
      <c r="EV68" s="588"/>
      <c r="EW68" s="588"/>
      <c r="EX68" s="510"/>
      <c r="EY68" s="587"/>
      <c r="EZ68" s="510"/>
      <c r="FA68" s="510"/>
      <c r="FB68" s="510"/>
      <c r="FC68" s="588"/>
      <c r="FD68" s="588"/>
      <c r="FE68" s="510"/>
      <c r="FF68" s="587"/>
      <c r="FG68" s="510"/>
      <c r="FH68" s="510"/>
      <c r="FI68" s="510"/>
      <c r="FJ68" s="588"/>
      <c r="FK68" s="588"/>
      <c r="FL68" s="510"/>
      <c r="FM68" s="587"/>
      <c r="FN68" s="510"/>
      <c r="FO68" s="510"/>
      <c r="FP68" s="510"/>
      <c r="FQ68" s="588"/>
      <c r="FR68" s="588"/>
      <c r="FS68" s="510"/>
      <c r="FT68" s="587"/>
      <c r="FU68" s="510"/>
      <c r="FV68" s="510"/>
      <c r="FW68" s="510"/>
      <c r="FX68" s="588"/>
      <c r="FY68" s="588"/>
      <c r="FZ68" s="510"/>
      <c r="GA68" s="587"/>
      <c r="GB68" s="510"/>
      <c r="GC68" s="510"/>
      <c r="GD68" s="510"/>
      <c r="GE68" s="588"/>
      <c r="GF68" s="588"/>
      <c r="GG68" s="510"/>
      <c r="GH68" s="587"/>
      <c r="GI68" s="510"/>
      <c r="GJ68" s="510"/>
      <c r="GK68" s="510"/>
      <c r="GL68" s="588"/>
      <c r="GM68" s="588"/>
      <c r="GN68" s="510"/>
      <c r="GO68" s="587"/>
      <c r="GP68" s="510"/>
      <c r="GQ68" s="510"/>
      <c r="GR68" s="510"/>
      <c r="GS68" s="588"/>
      <c r="GT68" s="588"/>
      <c r="GU68" s="510"/>
      <c r="GV68" s="587"/>
      <c r="GW68" s="510"/>
      <c r="GX68" s="510"/>
      <c r="GY68" s="510"/>
      <c r="GZ68" s="588"/>
      <c r="HA68" s="588"/>
      <c r="HB68" s="510"/>
      <c r="HC68" s="587"/>
      <c r="HD68" s="510"/>
      <c r="HE68" s="510"/>
      <c r="HF68" s="510"/>
      <c r="HG68" s="588"/>
      <c r="HH68" s="588"/>
      <c r="HI68" s="510"/>
      <c r="HJ68" s="587"/>
      <c r="HK68" s="510"/>
      <c r="HL68" s="510"/>
      <c r="HM68" s="510"/>
      <c r="HN68" s="588"/>
      <c r="HO68" s="588"/>
      <c r="HP68" s="510"/>
      <c r="HQ68" s="587"/>
      <c r="HR68" s="510"/>
      <c r="HS68" s="510"/>
      <c r="HT68" s="510"/>
      <c r="HU68" s="588"/>
      <c r="HV68" s="588"/>
      <c r="HW68" s="510"/>
      <c r="HX68" s="587"/>
      <c r="HY68" s="510"/>
      <c r="HZ68" s="510"/>
      <c r="IA68" s="510"/>
      <c r="IB68" s="588"/>
      <c r="IC68" s="588"/>
      <c r="ID68" s="510"/>
      <c r="IE68" s="587"/>
      <c r="IF68" s="510"/>
      <c r="IG68" s="510"/>
      <c r="IH68" s="510"/>
      <c r="II68" s="588"/>
      <c r="IJ68" s="588"/>
      <c r="IK68" s="510"/>
      <c r="IL68" s="587"/>
      <c r="IM68" s="510"/>
      <c r="IN68" s="510"/>
      <c r="IO68" s="510"/>
      <c r="IP68" s="588"/>
      <c r="IQ68" s="588"/>
      <c r="IR68" s="510"/>
      <c r="IS68" s="587"/>
      <c r="IT68" s="510"/>
      <c r="IU68" s="510"/>
      <c r="IV68" s="510"/>
    </row>
    <row r="69" spans="1:256" ht="12.75">
      <c r="A69" s="505" t="s">
        <v>273</v>
      </c>
      <c r="B69" s="475">
        <v>352</v>
      </c>
      <c r="C69" s="475">
        <v>20</v>
      </c>
      <c r="D69" s="475">
        <v>12</v>
      </c>
      <c r="E69" s="506">
        <v>3.4090909090909087</v>
      </c>
      <c r="F69" s="506">
        <v>60</v>
      </c>
      <c r="G69" s="475">
        <v>12</v>
      </c>
      <c r="H69" s="584"/>
      <c r="I69" s="585"/>
      <c r="J69" s="585"/>
      <c r="K69" s="585"/>
      <c r="L69" s="586"/>
      <c r="M69" s="586"/>
      <c r="N69" s="585"/>
      <c r="O69" s="584"/>
      <c r="P69" s="585"/>
      <c r="Q69" s="585"/>
      <c r="R69" s="585"/>
      <c r="S69" s="586"/>
      <c r="T69" s="586"/>
      <c r="U69" s="585"/>
      <c r="V69" s="584"/>
      <c r="W69" s="585"/>
      <c r="X69" s="585"/>
      <c r="Y69" s="585"/>
      <c r="Z69" s="586"/>
      <c r="AA69" s="586"/>
      <c r="AB69" s="585"/>
      <c r="AC69" s="584"/>
      <c r="AD69" s="585"/>
      <c r="AE69" s="585"/>
      <c r="AF69" s="585"/>
      <c r="AG69" s="586"/>
      <c r="AH69" s="586"/>
      <c r="AI69" s="585"/>
      <c r="AJ69" s="584"/>
      <c r="AK69" s="585"/>
      <c r="AL69" s="585"/>
      <c r="AM69" s="585"/>
      <c r="AN69" s="586"/>
      <c r="AO69" s="586"/>
      <c r="AP69" s="585"/>
      <c r="AQ69" s="584"/>
      <c r="AR69" s="585"/>
      <c r="AS69" s="585"/>
      <c r="AT69" s="585"/>
      <c r="AU69" s="586"/>
      <c r="AV69" s="586"/>
      <c r="AW69" s="585"/>
      <c r="AX69" s="584"/>
      <c r="AY69" s="585"/>
      <c r="AZ69" s="585"/>
      <c r="BA69" s="585"/>
      <c r="BB69" s="586"/>
      <c r="BC69" s="586"/>
      <c r="BD69" s="585"/>
      <c r="BE69" s="584"/>
      <c r="BF69" s="585"/>
      <c r="BG69" s="585"/>
      <c r="BH69" s="585"/>
      <c r="BI69" s="586"/>
      <c r="BJ69" s="586"/>
      <c r="BK69" s="585"/>
      <c r="BL69" s="584"/>
      <c r="BM69" s="585"/>
      <c r="BN69" s="585"/>
      <c r="BO69" s="585"/>
      <c r="BP69" s="586"/>
      <c r="BQ69" s="586"/>
      <c r="BR69" s="585"/>
      <c r="BS69" s="584"/>
      <c r="BT69" s="585"/>
      <c r="BU69" s="585"/>
      <c r="BV69" s="585"/>
      <c r="BW69" s="586"/>
      <c r="BX69" s="586"/>
      <c r="BY69" s="585"/>
      <c r="BZ69" s="584"/>
      <c r="CA69" s="585"/>
      <c r="CB69" s="585"/>
      <c r="CC69" s="585"/>
      <c r="CD69" s="586"/>
      <c r="CE69" s="586"/>
      <c r="CF69" s="585"/>
      <c r="CG69" s="584"/>
      <c r="CH69" s="585"/>
      <c r="CI69" s="585"/>
      <c r="CJ69" s="585"/>
      <c r="CK69" s="586"/>
      <c r="CL69" s="586"/>
      <c r="CM69" s="585"/>
      <c r="CN69" s="584"/>
      <c r="CO69" s="585"/>
      <c r="CP69" s="585"/>
      <c r="CQ69" s="585"/>
      <c r="CR69" s="586"/>
      <c r="CS69" s="586"/>
      <c r="CT69" s="585"/>
      <c r="CU69" s="584"/>
      <c r="CV69" s="585"/>
      <c r="CW69" s="585"/>
      <c r="CX69" s="585"/>
      <c r="CY69" s="586"/>
      <c r="CZ69" s="586"/>
      <c r="DA69" s="585"/>
      <c r="DB69" s="584"/>
      <c r="DC69" s="585"/>
      <c r="DD69" s="585"/>
      <c r="DE69" s="585"/>
      <c r="DF69" s="586"/>
      <c r="DG69" s="586"/>
      <c r="DH69" s="585"/>
      <c r="DI69" s="584"/>
      <c r="DJ69" s="585"/>
      <c r="DK69" s="585"/>
      <c r="DL69" s="585"/>
      <c r="DM69" s="586"/>
      <c r="DN69" s="586"/>
      <c r="DO69" s="585"/>
      <c r="DP69" s="584"/>
      <c r="DQ69" s="585"/>
      <c r="DR69" s="585"/>
      <c r="DS69" s="585"/>
      <c r="DT69" s="586"/>
      <c r="DU69" s="586"/>
      <c r="DV69" s="585"/>
      <c r="DW69" s="584"/>
      <c r="DX69" s="585"/>
      <c r="DY69" s="585"/>
      <c r="DZ69" s="585"/>
      <c r="EA69" s="586"/>
      <c r="EB69" s="586"/>
      <c r="EC69" s="585"/>
      <c r="ED69" s="584"/>
      <c r="EE69" s="585"/>
      <c r="EF69" s="585"/>
      <c r="EG69" s="585"/>
      <c r="EH69" s="586"/>
      <c r="EI69" s="586"/>
      <c r="EJ69" s="585"/>
      <c r="EK69" s="584"/>
      <c r="EL69" s="585"/>
      <c r="EM69" s="585"/>
      <c r="EN69" s="585"/>
      <c r="EO69" s="586"/>
      <c r="EP69" s="586"/>
      <c r="EQ69" s="585"/>
      <c r="ER69" s="584"/>
      <c r="ES69" s="585"/>
      <c r="ET69" s="585"/>
      <c r="EU69" s="585"/>
      <c r="EV69" s="586"/>
      <c r="EW69" s="586"/>
      <c r="EX69" s="585"/>
      <c r="EY69" s="584"/>
      <c r="EZ69" s="585"/>
      <c r="FA69" s="585"/>
      <c r="FB69" s="585"/>
      <c r="FC69" s="586"/>
      <c r="FD69" s="586"/>
      <c r="FE69" s="585"/>
      <c r="FF69" s="584"/>
      <c r="FG69" s="585"/>
      <c r="FH69" s="585"/>
      <c r="FI69" s="585"/>
      <c r="FJ69" s="586"/>
      <c r="FK69" s="586"/>
      <c r="FL69" s="585"/>
      <c r="FM69" s="584"/>
      <c r="FN69" s="585"/>
      <c r="FO69" s="585"/>
      <c r="FP69" s="585"/>
      <c r="FQ69" s="586"/>
      <c r="FR69" s="586"/>
      <c r="FS69" s="585"/>
      <c r="FT69" s="584"/>
      <c r="FU69" s="585"/>
      <c r="FV69" s="585"/>
      <c r="FW69" s="585"/>
      <c r="FX69" s="586"/>
      <c r="FY69" s="586"/>
      <c r="FZ69" s="585"/>
      <c r="GA69" s="584"/>
      <c r="GB69" s="585"/>
      <c r="GC69" s="585"/>
      <c r="GD69" s="585"/>
      <c r="GE69" s="586"/>
      <c r="GF69" s="586"/>
      <c r="GG69" s="585"/>
      <c r="GH69" s="584"/>
      <c r="GI69" s="585"/>
      <c r="GJ69" s="585"/>
      <c r="GK69" s="585"/>
      <c r="GL69" s="586"/>
      <c r="GM69" s="586"/>
      <c r="GN69" s="585"/>
      <c r="GO69" s="584"/>
      <c r="GP69" s="585"/>
      <c r="GQ69" s="585"/>
      <c r="GR69" s="585"/>
      <c r="GS69" s="586"/>
      <c r="GT69" s="586"/>
      <c r="GU69" s="585"/>
      <c r="GV69" s="584"/>
      <c r="GW69" s="585"/>
      <c r="GX69" s="585"/>
      <c r="GY69" s="585"/>
      <c r="GZ69" s="586"/>
      <c r="HA69" s="586"/>
      <c r="HB69" s="585"/>
      <c r="HC69" s="584"/>
      <c r="HD69" s="585"/>
      <c r="HE69" s="585"/>
      <c r="HF69" s="585"/>
      <c r="HG69" s="586"/>
      <c r="HH69" s="586"/>
      <c r="HI69" s="585"/>
      <c r="HJ69" s="584"/>
      <c r="HK69" s="585"/>
      <c r="HL69" s="585"/>
      <c r="HM69" s="585"/>
      <c r="HN69" s="586"/>
      <c r="HO69" s="586"/>
      <c r="HP69" s="585"/>
      <c r="HQ69" s="584"/>
      <c r="HR69" s="585"/>
      <c r="HS69" s="585"/>
      <c r="HT69" s="585"/>
      <c r="HU69" s="586"/>
      <c r="HV69" s="586"/>
      <c r="HW69" s="585"/>
      <c r="HX69" s="584"/>
      <c r="HY69" s="585"/>
      <c r="HZ69" s="585"/>
      <c r="IA69" s="585"/>
      <c r="IB69" s="586"/>
      <c r="IC69" s="586"/>
      <c r="ID69" s="585"/>
      <c r="IE69" s="584"/>
      <c r="IF69" s="585"/>
      <c r="IG69" s="585"/>
      <c r="IH69" s="585"/>
      <c r="II69" s="586"/>
      <c r="IJ69" s="586"/>
      <c r="IK69" s="585"/>
      <c r="IL69" s="584"/>
      <c r="IM69" s="585"/>
      <c r="IN69" s="585"/>
      <c r="IO69" s="585"/>
      <c r="IP69" s="586"/>
      <c r="IQ69" s="586"/>
      <c r="IR69" s="585"/>
      <c r="IS69" s="584"/>
      <c r="IT69" s="585"/>
      <c r="IU69" s="585"/>
      <c r="IV69" s="585"/>
    </row>
    <row r="70" spans="1:256" ht="12.75">
      <c r="A70" s="473" t="s">
        <v>269</v>
      </c>
      <c r="B70" s="507">
        <v>257</v>
      </c>
      <c r="C70" s="507">
        <v>18</v>
      </c>
      <c r="D70" s="507">
        <v>12</v>
      </c>
      <c r="E70" s="40">
        <v>4.669260700389105</v>
      </c>
      <c r="F70" s="40">
        <v>66.66666666666666</v>
      </c>
      <c r="G70" s="507">
        <v>12</v>
      </c>
      <c r="H70" s="587"/>
      <c r="I70" s="510"/>
      <c r="J70" s="510"/>
      <c r="K70" s="510"/>
      <c r="L70" s="588"/>
      <c r="M70" s="588"/>
      <c r="N70" s="510"/>
      <c r="O70" s="587"/>
      <c r="P70" s="510"/>
      <c r="Q70" s="510"/>
      <c r="R70" s="510"/>
      <c r="S70" s="588"/>
      <c r="T70" s="588"/>
      <c r="U70" s="510"/>
      <c r="V70" s="587"/>
      <c r="W70" s="510"/>
      <c r="X70" s="510"/>
      <c r="Y70" s="510"/>
      <c r="Z70" s="588"/>
      <c r="AA70" s="588"/>
      <c r="AB70" s="510"/>
      <c r="AC70" s="587"/>
      <c r="AD70" s="510"/>
      <c r="AE70" s="510"/>
      <c r="AF70" s="510"/>
      <c r="AG70" s="588"/>
      <c r="AH70" s="588"/>
      <c r="AI70" s="510"/>
      <c r="AJ70" s="587"/>
      <c r="AK70" s="510"/>
      <c r="AL70" s="510"/>
      <c r="AM70" s="510"/>
      <c r="AN70" s="588"/>
      <c r="AO70" s="588"/>
      <c r="AP70" s="510"/>
      <c r="AQ70" s="587"/>
      <c r="AR70" s="510"/>
      <c r="AS70" s="510"/>
      <c r="AT70" s="510"/>
      <c r="AU70" s="588"/>
      <c r="AV70" s="588"/>
      <c r="AW70" s="510"/>
      <c r="AX70" s="587"/>
      <c r="AY70" s="510"/>
      <c r="AZ70" s="510"/>
      <c r="BA70" s="510"/>
      <c r="BB70" s="588"/>
      <c r="BC70" s="588"/>
      <c r="BD70" s="510"/>
      <c r="BE70" s="587"/>
      <c r="BF70" s="510"/>
      <c r="BG70" s="510"/>
      <c r="BH70" s="510"/>
      <c r="BI70" s="588"/>
      <c r="BJ70" s="588"/>
      <c r="BK70" s="510"/>
      <c r="BL70" s="587"/>
      <c r="BM70" s="510"/>
      <c r="BN70" s="510"/>
      <c r="BO70" s="510"/>
      <c r="BP70" s="588"/>
      <c r="BQ70" s="588"/>
      <c r="BR70" s="510"/>
      <c r="BS70" s="587"/>
      <c r="BT70" s="510"/>
      <c r="BU70" s="510"/>
      <c r="BV70" s="510"/>
      <c r="BW70" s="588"/>
      <c r="BX70" s="588"/>
      <c r="BY70" s="510"/>
      <c r="BZ70" s="587"/>
      <c r="CA70" s="510"/>
      <c r="CB70" s="510"/>
      <c r="CC70" s="510"/>
      <c r="CD70" s="588"/>
      <c r="CE70" s="588"/>
      <c r="CF70" s="510"/>
      <c r="CG70" s="587"/>
      <c r="CH70" s="510"/>
      <c r="CI70" s="510"/>
      <c r="CJ70" s="510"/>
      <c r="CK70" s="588"/>
      <c r="CL70" s="588"/>
      <c r="CM70" s="510"/>
      <c r="CN70" s="587"/>
      <c r="CO70" s="510"/>
      <c r="CP70" s="510"/>
      <c r="CQ70" s="510"/>
      <c r="CR70" s="588"/>
      <c r="CS70" s="588"/>
      <c r="CT70" s="510"/>
      <c r="CU70" s="587"/>
      <c r="CV70" s="510"/>
      <c r="CW70" s="510"/>
      <c r="CX70" s="510"/>
      <c r="CY70" s="588"/>
      <c r="CZ70" s="588"/>
      <c r="DA70" s="510"/>
      <c r="DB70" s="587"/>
      <c r="DC70" s="510"/>
      <c r="DD70" s="510"/>
      <c r="DE70" s="510"/>
      <c r="DF70" s="588"/>
      <c r="DG70" s="588"/>
      <c r="DH70" s="510"/>
      <c r="DI70" s="587"/>
      <c r="DJ70" s="510"/>
      <c r="DK70" s="510"/>
      <c r="DL70" s="510"/>
      <c r="DM70" s="588"/>
      <c r="DN70" s="588"/>
      <c r="DO70" s="510"/>
      <c r="DP70" s="587"/>
      <c r="DQ70" s="510"/>
      <c r="DR70" s="510"/>
      <c r="DS70" s="510"/>
      <c r="DT70" s="588"/>
      <c r="DU70" s="588"/>
      <c r="DV70" s="510"/>
      <c r="DW70" s="587"/>
      <c r="DX70" s="510"/>
      <c r="DY70" s="510"/>
      <c r="DZ70" s="510"/>
      <c r="EA70" s="588"/>
      <c r="EB70" s="588"/>
      <c r="EC70" s="510"/>
      <c r="ED70" s="587"/>
      <c r="EE70" s="510"/>
      <c r="EF70" s="510"/>
      <c r="EG70" s="510"/>
      <c r="EH70" s="588"/>
      <c r="EI70" s="588"/>
      <c r="EJ70" s="510"/>
      <c r="EK70" s="587"/>
      <c r="EL70" s="510"/>
      <c r="EM70" s="510"/>
      <c r="EN70" s="510"/>
      <c r="EO70" s="588"/>
      <c r="EP70" s="588"/>
      <c r="EQ70" s="510"/>
      <c r="ER70" s="587"/>
      <c r="ES70" s="510"/>
      <c r="ET70" s="510"/>
      <c r="EU70" s="510"/>
      <c r="EV70" s="588"/>
      <c r="EW70" s="588"/>
      <c r="EX70" s="510"/>
      <c r="EY70" s="587"/>
      <c r="EZ70" s="510"/>
      <c r="FA70" s="510"/>
      <c r="FB70" s="510"/>
      <c r="FC70" s="588"/>
      <c r="FD70" s="588"/>
      <c r="FE70" s="510"/>
      <c r="FF70" s="587"/>
      <c r="FG70" s="510"/>
      <c r="FH70" s="510"/>
      <c r="FI70" s="510"/>
      <c r="FJ70" s="588"/>
      <c r="FK70" s="588"/>
      <c r="FL70" s="510"/>
      <c r="FM70" s="587"/>
      <c r="FN70" s="510"/>
      <c r="FO70" s="510"/>
      <c r="FP70" s="510"/>
      <c r="FQ70" s="588"/>
      <c r="FR70" s="588"/>
      <c r="FS70" s="510"/>
      <c r="FT70" s="587"/>
      <c r="FU70" s="510"/>
      <c r="FV70" s="510"/>
      <c r="FW70" s="510"/>
      <c r="FX70" s="588"/>
      <c r="FY70" s="588"/>
      <c r="FZ70" s="510"/>
      <c r="GA70" s="587"/>
      <c r="GB70" s="510"/>
      <c r="GC70" s="510"/>
      <c r="GD70" s="510"/>
      <c r="GE70" s="588"/>
      <c r="GF70" s="588"/>
      <c r="GG70" s="510"/>
      <c r="GH70" s="587"/>
      <c r="GI70" s="510"/>
      <c r="GJ70" s="510"/>
      <c r="GK70" s="510"/>
      <c r="GL70" s="588"/>
      <c r="GM70" s="588"/>
      <c r="GN70" s="510"/>
      <c r="GO70" s="587"/>
      <c r="GP70" s="510"/>
      <c r="GQ70" s="510"/>
      <c r="GR70" s="510"/>
      <c r="GS70" s="588"/>
      <c r="GT70" s="588"/>
      <c r="GU70" s="510"/>
      <c r="GV70" s="587"/>
      <c r="GW70" s="510"/>
      <c r="GX70" s="510"/>
      <c r="GY70" s="510"/>
      <c r="GZ70" s="588"/>
      <c r="HA70" s="588"/>
      <c r="HB70" s="510"/>
      <c r="HC70" s="587"/>
      <c r="HD70" s="510"/>
      <c r="HE70" s="510"/>
      <c r="HF70" s="510"/>
      <c r="HG70" s="588"/>
      <c r="HH70" s="588"/>
      <c r="HI70" s="510"/>
      <c r="HJ70" s="587"/>
      <c r="HK70" s="510"/>
      <c r="HL70" s="510"/>
      <c r="HM70" s="510"/>
      <c r="HN70" s="588"/>
      <c r="HO70" s="588"/>
      <c r="HP70" s="510"/>
      <c r="HQ70" s="587"/>
      <c r="HR70" s="510"/>
      <c r="HS70" s="510"/>
      <c r="HT70" s="510"/>
      <c r="HU70" s="588"/>
      <c r="HV70" s="588"/>
      <c r="HW70" s="510"/>
      <c r="HX70" s="587"/>
      <c r="HY70" s="510"/>
      <c r="HZ70" s="510"/>
      <c r="IA70" s="510"/>
      <c r="IB70" s="588"/>
      <c r="IC70" s="588"/>
      <c r="ID70" s="510"/>
      <c r="IE70" s="587"/>
      <c r="IF70" s="510"/>
      <c r="IG70" s="510"/>
      <c r="IH70" s="510"/>
      <c r="II70" s="588"/>
      <c r="IJ70" s="588"/>
      <c r="IK70" s="510"/>
      <c r="IL70" s="587"/>
      <c r="IM70" s="510"/>
      <c r="IN70" s="510"/>
      <c r="IO70" s="510"/>
      <c r="IP70" s="588"/>
      <c r="IQ70" s="588"/>
      <c r="IR70" s="510"/>
      <c r="IS70" s="587"/>
      <c r="IT70" s="510"/>
      <c r="IU70" s="510"/>
      <c r="IV70" s="510"/>
    </row>
    <row r="71" spans="1:256" ht="12.75">
      <c r="A71" s="473" t="s">
        <v>270</v>
      </c>
      <c r="B71" s="507">
        <v>95</v>
      </c>
      <c r="C71" s="507">
        <v>2</v>
      </c>
      <c r="D71" s="507"/>
      <c r="E71" s="40"/>
      <c r="F71" s="40"/>
      <c r="G71" s="507"/>
      <c r="H71" s="587"/>
      <c r="I71" s="510"/>
      <c r="J71" s="510"/>
      <c r="K71" s="510"/>
      <c r="L71" s="588"/>
      <c r="M71" s="588"/>
      <c r="N71" s="510"/>
      <c r="O71" s="587"/>
      <c r="P71" s="510"/>
      <c r="Q71" s="510"/>
      <c r="R71" s="510"/>
      <c r="S71" s="588"/>
      <c r="T71" s="588"/>
      <c r="U71" s="510"/>
      <c r="V71" s="587"/>
      <c r="W71" s="510"/>
      <c r="X71" s="510"/>
      <c r="Y71" s="510"/>
      <c r="Z71" s="588"/>
      <c r="AA71" s="588"/>
      <c r="AB71" s="510"/>
      <c r="AC71" s="587"/>
      <c r="AD71" s="510"/>
      <c r="AE71" s="510"/>
      <c r="AF71" s="510"/>
      <c r="AG71" s="588"/>
      <c r="AH71" s="588"/>
      <c r="AI71" s="510"/>
      <c r="AJ71" s="587"/>
      <c r="AK71" s="510"/>
      <c r="AL71" s="510"/>
      <c r="AM71" s="510"/>
      <c r="AN71" s="588"/>
      <c r="AO71" s="588"/>
      <c r="AP71" s="510"/>
      <c r="AQ71" s="587"/>
      <c r="AR71" s="510"/>
      <c r="AS71" s="510"/>
      <c r="AT71" s="510"/>
      <c r="AU71" s="588"/>
      <c r="AV71" s="588"/>
      <c r="AW71" s="510"/>
      <c r="AX71" s="587"/>
      <c r="AY71" s="510"/>
      <c r="AZ71" s="510"/>
      <c r="BA71" s="510"/>
      <c r="BB71" s="588"/>
      <c r="BC71" s="588"/>
      <c r="BD71" s="510"/>
      <c r="BE71" s="587"/>
      <c r="BF71" s="510"/>
      <c r="BG71" s="510"/>
      <c r="BH71" s="510"/>
      <c r="BI71" s="588"/>
      <c r="BJ71" s="588"/>
      <c r="BK71" s="510"/>
      <c r="BL71" s="587"/>
      <c r="BM71" s="510"/>
      <c r="BN71" s="510"/>
      <c r="BO71" s="510"/>
      <c r="BP71" s="588"/>
      <c r="BQ71" s="588"/>
      <c r="BR71" s="510"/>
      <c r="BS71" s="587"/>
      <c r="BT71" s="510"/>
      <c r="BU71" s="510"/>
      <c r="BV71" s="510"/>
      <c r="BW71" s="588"/>
      <c r="BX71" s="588"/>
      <c r="BY71" s="510"/>
      <c r="BZ71" s="587"/>
      <c r="CA71" s="510"/>
      <c r="CB71" s="510"/>
      <c r="CC71" s="510"/>
      <c r="CD71" s="588"/>
      <c r="CE71" s="588"/>
      <c r="CF71" s="510"/>
      <c r="CG71" s="587"/>
      <c r="CH71" s="510"/>
      <c r="CI71" s="510"/>
      <c r="CJ71" s="510"/>
      <c r="CK71" s="588"/>
      <c r="CL71" s="588"/>
      <c r="CM71" s="510"/>
      <c r="CN71" s="587"/>
      <c r="CO71" s="510"/>
      <c r="CP71" s="510"/>
      <c r="CQ71" s="510"/>
      <c r="CR71" s="588"/>
      <c r="CS71" s="588"/>
      <c r="CT71" s="510"/>
      <c r="CU71" s="587"/>
      <c r="CV71" s="510"/>
      <c r="CW71" s="510"/>
      <c r="CX71" s="510"/>
      <c r="CY71" s="588"/>
      <c r="CZ71" s="588"/>
      <c r="DA71" s="510"/>
      <c r="DB71" s="587"/>
      <c r="DC71" s="510"/>
      <c r="DD71" s="510"/>
      <c r="DE71" s="510"/>
      <c r="DF71" s="588"/>
      <c r="DG71" s="588"/>
      <c r="DH71" s="510"/>
      <c r="DI71" s="587"/>
      <c r="DJ71" s="510"/>
      <c r="DK71" s="510"/>
      <c r="DL71" s="510"/>
      <c r="DM71" s="588"/>
      <c r="DN71" s="588"/>
      <c r="DO71" s="510"/>
      <c r="DP71" s="587"/>
      <c r="DQ71" s="510"/>
      <c r="DR71" s="510"/>
      <c r="DS71" s="510"/>
      <c r="DT71" s="588"/>
      <c r="DU71" s="588"/>
      <c r="DV71" s="510"/>
      <c r="DW71" s="587"/>
      <c r="DX71" s="510"/>
      <c r="DY71" s="510"/>
      <c r="DZ71" s="510"/>
      <c r="EA71" s="588"/>
      <c r="EB71" s="588"/>
      <c r="EC71" s="510"/>
      <c r="ED71" s="587"/>
      <c r="EE71" s="510"/>
      <c r="EF71" s="510"/>
      <c r="EG71" s="510"/>
      <c r="EH71" s="588"/>
      <c r="EI71" s="588"/>
      <c r="EJ71" s="510"/>
      <c r="EK71" s="587"/>
      <c r="EL71" s="510"/>
      <c r="EM71" s="510"/>
      <c r="EN71" s="510"/>
      <c r="EO71" s="588"/>
      <c r="EP71" s="588"/>
      <c r="EQ71" s="510"/>
      <c r="ER71" s="587"/>
      <c r="ES71" s="510"/>
      <c r="ET71" s="510"/>
      <c r="EU71" s="510"/>
      <c r="EV71" s="588"/>
      <c r="EW71" s="588"/>
      <c r="EX71" s="510"/>
      <c r="EY71" s="587"/>
      <c r="EZ71" s="510"/>
      <c r="FA71" s="510"/>
      <c r="FB71" s="510"/>
      <c r="FC71" s="588"/>
      <c r="FD71" s="588"/>
      <c r="FE71" s="510"/>
      <c r="FF71" s="587"/>
      <c r="FG71" s="510"/>
      <c r="FH71" s="510"/>
      <c r="FI71" s="510"/>
      <c r="FJ71" s="588"/>
      <c r="FK71" s="588"/>
      <c r="FL71" s="510"/>
      <c r="FM71" s="587"/>
      <c r="FN71" s="510"/>
      <c r="FO71" s="510"/>
      <c r="FP71" s="510"/>
      <c r="FQ71" s="588"/>
      <c r="FR71" s="588"/>
      <c r="FS71" s="510"/>
      <c r="FT71" s="587"/>
      <c r="FU71" s="510"/>
      <c r="FV71" s="510"/>
      <c r="FW71" s="510"/>
      <c r="FX71" s="588"/>
      <c r="FY71" s="588"/>
      <c r="FZ71" s="510"/>
      <c r="GA71" s="587"/>
      <c r="GB71" s="510"/>
      <c r="GC71" s="510"/>
      <c r="GD71" s="510"/>
      <c r="GE71" s="588"/>
      <c r="GF71" s="588"/>
      <c r="GG71" s="510"/>
      <c r="GH71" s="587"/>
      <c r="GI71" s="510"/>
      <c r="GJ71" s="510"/>
      <c r="GK71" s="510"/>
      <c r="GL71" s="588"/>
      <c r="GM71" s="588"/>
      <c r="GN71" s="510"/>
      <c r="GO71" s="587"/>
      <c r="GP71" s="510"/>
      <c r="GQ71" s="510"/>
      <c r="GR71" s="510"/>
      <c r="GS71" s="588"/>
      <c r="GT71" s="588"/>
      <c r="GU71" s="510"/>
      <c r="GV71" s="587"/>
      <c r="GW71" s="510"/>
      <c r="GX71" s="510"/>
      <c r="GY71" s="510"/>
      <c r="GZ71" s="588"/>
      <c r="HA71" s="588"/>
      <c r="HB71" s="510"/>
      <c r="HC71" s="587"/>
      <c r="HD71" s="510"/>
      <c r="HE71" s="510"/>
      <c r="HF71" s="510"/>
      <c r="HG71" s="588"/>
      <c r="HH71" s="588"/>
      <c r="HI71" s="510"/>
      <c r="HJ71" s="587"/>
      <c r="HK71" s="510"/>
      <c r="HL71" s="510"/>
      <c r="HM71" s="510"/>
      <c r="HN71" s="588"/>
      <c r="HO71" s="588"/>
      <c r="HP71" s="510"/>
      <c r="HQ71" s="587"/>
      <c r="HR71" s="510"/>
      <c r="HS71" s="510"/>
      <c r="HT71" s="510"/>
      <c r="HU71" s="588"/>
      <c r="HV71" s="588"/>
      <c r="HW71" s="510"/>
      <c r="HX71" s="587"/>
      <c r="HY71" s="510"/>
      <c r="HZ71" s="510"/>
      <c r="IA71" s="510"/>
      <c r="IB71" s="588"/>
      <c r="IC71" s="588"/>
      <c r="ID71" s="510"/>
      <c r="IE71" s="587"/>
      <c r="IF71" s="510"/>
      <c r="IG71" s="510"/>
      <c r="IH71" s="510"/>
      <c r="II71" s="588"/>
      <c r="IJ71" s="588"/>
      <c r="IK71" s="510"/>
      <c r="IL71" s="587"/>
      <c r="IM71" s="510"/>
      <c r="IN71" s="510"/>
      <c r="IO71" s="510"/>
      <c r="IP71" s="588"/>
      <c r="IQ71" s="588"/>
      <c r="IR71" s="510"/>
      <c r="IS71" s="587"/>
      <c r="IT71" s="510"/>
      <c r="IU71" s="510"/>
      <c r="IV71" s="510"/>
    </row>
    <row r="72" spans="1:256" ht="12.75">
      <c r="A72" s="32" t="s">
        <v>19</v>
      </c>
      <c r="B72" s="248">
        <v>1682</v>
      </c>
      <c r="C72" s="248">
        <v>31</v>
      </c>
      <c r="D72" s="248">
        <v>207</v>
      </c>
      <c r="E72" s="16">
        <v>12.30677764565993</v>
      </c>
      <c r="F72" s="16">
        <v>667.741935483871</v>
      </c>
      <c r="G72" s="248">
        <v>207</v>
      </c>
      <c r="H72" s="583"/>
      <c r="I72" s="580"/>
      <c r="J72" s="580"/>
      <c r="K72" s="580"/>
      <c r="L72" s="581"/>
      <c r="M72" s="581"/>
      <c r="N72" s="580"/>
      <c r="O72" s="583"/>
      <c r="P72" s="580"/>
      <c r="Q72" s="580"/>
      <c r="R72" s="580"/>
      <c r="S72" s="581"/>
      <c r="T72" s="581"/>
      <c r="U72" s="580"/>
      <c r="V72" s="583"/>
      <c r="W72" s="580"/>
      <c r="X72" s="580"/>
      <c r="Y72" s="580"/>
      <c r="Z72" s="581"/>
      <c r="AA72" s="581"/>
      <c r="AB72" s="580"/>
      <c r="AC72" s="583"/>
      <c r="AD72" s="580"/>
      <c r="AE72" s="580"/>
      <c r="AF72" s="580"/>
      <c r="AG72" s="581"/>
      <c r="AH72" s="581"/>
      <c r="AI72" s="580"/>
      <c r="AJ72" s="583"/>
      <c r="AK72" s="580"/>
      <c r="AL72" s="580"/>
      <c r="AM72" s="580"/>
      <c r="AN72" s="581"/>
      <c r="AO72" s="581"/>
      <c r="AP72" s="580"/>
      <c r="AQ72" s="583"/>
      <c r="AR72" s="580"/>
      <c r="AS72" s="580"/>
      <c r="AT72" s="580"/>
      <c r="AU72" s="581"/>
      <c r="AV72" s="581"/>
      <c r="AW72" s="580"/>
      <c r="AX72" s="583"/>
      <c r="AY72" s="580"/>
      <c r="AZ72" s="580"/>
      <c r="BA72" s="580"/>
      <c r="BB72" s="581"/>
      <c r="BC72" s="581"/>
      <c r="BD72" s="580"/>
      <c r="BE72" s="583"/>
      <c r="BF72" s="580"/>
      <c r="BG72" s="580"/>
      <c r="BH72" s="580"/>
      <c r="BI72" s="581"/>
      <c r="BJ72" s="581"/>
      <c r="BK72" s="580"/>
      <c r="BL72" s="583"/>
      <c r="BM72" s="580"/>
      <c r="BN72" s="580"/>
      <c r="BO72" s="580"/>
      <c r="BP72" s="581"/>
      <c r="BQ72" s="581"/>
      <c r="BR72" s="580"/>
      <c r="BS72" s="583"/>
      <c r="BT72" s="580"/>
      <c r="BU72" s="580"/>
      <c r="BV72" s="580"/>
      <c r="BW72" s="581"/>
      <c r="BX72" s="581"/>
      <c r="BY72" s="580"/>
      <c r="BZ72" s="583"/>
      <c r="CA72" s="580"/>
      <c r="CB72" s="580"/>
      <c r="CC72" s="580"/>
      <c r="CD72" s="581"/>
      <c r="CE72" s="581"/>
      <c r="CF72" s="580"/>
      <c r="CG72" s="583"/>
      <c r="CH72" s="580"/>
      <c r="CI72" s="580"/>
      <c r="CJ72" s="580"/>
      <c r="CK72" s="581"/>
      <c r="CL72" s="581"/>
      <c r="CM72" s="580"/>
      <c r="CN72" s="583"/>
      <c r="CO72" s="580"/>
      <c r="CP72" s="580"/>
      <c r="CQ72" s="580"/>
      <c r="CR72" s="581"/>
      <c r="CS72" s="581"/>
      <c r="CT72" s="580"/>
      <c r="CU72" s="583"/>
      <c r="CV72" s="580"/>
      <c r="CW72" s="580"/>
      <c r="CX72" s="580"/>
      <c r="CY72" s="581"/>
      <c r="CZ72" s="581"/>
      <c r="DA72" s="580"/>
      <c r="DB72" s="583"/>
      <c r="DC72" s="580"/>
      <c r="DD72" s="580"/>
      <c r="DE72" s="580"/>
      <c r="DF72" s="581"/>
      <c r="DG72" s="581"/>
      <c r="DH72" s="580"/>
      <c r="DI72" s="583"/>
      <c r="DJ72" s="580"/>
      <c r="DK72" s="580"/>
      <c r="DL72" s="580"/>
      <c r="DM72" s="581"/>
      <c r="DN72" s="581"/>
      <c r="DO72" s="580"/>
      <c r="DP72" s="583"/>
      <c r="DQ72" s="580"/>
      <c r="DR72" s="580"/>
      <c r="DS72" s="580"/>
      <c r="DT72" s="581"/>
      <c r="DU72" s="581"/>
      <c r="DV72" s="580"/>
      <c r="DW72" s="583"/>
      <c r="DX72" s="580"/>
      <c r="DY72" s="580"/>
      <c r="DZ72" s="580"/>
      <c r="EA72" s="581"/>
      <c r="EB72" s="581"/>
      <c r="EC72" s="580"/>
      <c r="ED72" s="583"/>
      <c r="EE72" s="580"/>
      <c r="EF72" s="580"/>
      <c r="EG72" s="580"/>
      <c r="EH72" s="581"/>
      <c r="EI72" s="581"/>
      <c r="EJ72" s="580"/>
      <c r="EK72" s="583"/>
      <c r="EL72" s="580"/>
      <c r="EM72" s="580"/>
      <c r="EN72" s="580"/>
      <c r="EO72" s="581"/>
      <c r="EP72" s="581"/>
      <c r="EQ72" s="580"/>
      <c r="ER72" s="583"/>
      <c r="ES72" s="580"/>
      <c r="ET72" s="580"/>
      <c r="EU72" s="580"/>
      <c r="EV72" s="581"/>
      <c r="EW72" s="581"/>
      <c r="EX72" s="580"/>
      <c r="EY72" s="583"/>
      <c r="EZ72" s="580"/>
      <c r="FA72" s="580"/>
      <c r="FB72" s="580"/>
      <c r="FC72" s="581"/>
      <c r="FD72" s="581"/>
      <c r="FE72" s="580"/>
      <c r="FF72" s="583"/>
      <c r="FG72" s="580"/>
      <c r="FH72" s="580"/>
      <c r="FI72" s="580"/>
      <c r="FJ72" s="581"/>
      <c r="FK72" s="581"/>
      <c r="FL72" s="580"/>
      <c r="FM72" s="583"/>
      <c r="FN72" s="580"/>
      <c r="FO72" s="580"/>
      <c r="FP72" s="580"/>
      <c r="FQ72" s="581"/>
      <c r="FR72" s="581"/>
      <c r="FS72" s="580"/>
      <c r="FT72" s="583"/>
      <c r="FU72" s="580"/>
      <c r="FV72" s="580"/>
      <c r="FW72" s="580"/>
      <c r="FX72" s="581"/>
      <c r="FY72" s="581"/>
      <c r="FZ72" s="580"/>
      <c r="GA72" s="583"/>
      <c r="GB72" s="580"/>
      <c r="GC72" s="580"/>
      <c r="GD72" s="580"/>
      <c r="GE72" s="581"/>
      <c r="GF72" s="581"/>
      <c r="GG72" s="580"/>
      <c r="GH72" s="583"/>
      <c r="GI72" s="580"/>
      <c r="GJ72" s="580"/>
      <c r="GK72" s="580"/>
      <c r="GL72" s="581"/>
      <c r="GM72" s="581"/>
      <c r="GN72" s="580"/>
      <c r="GO72" s="583"/>
      <c r="GP72" s="580"/>
      <c r="GQ72" s="580"/>
      <c r="GR72" s="580"/>
      <c r="GS72" s="581"/>
      <c r="GT72" s="581"/>
      <c r="GU72" s="580"/>
      <c r="GV72" s="583"/>
      <c r="GW72" s="580"/>
      <c r="GX72" s="580"/>
      <c r="GY72" s="580"/>
      <c r="GZ72" s="581"/>
      <c r="HA72" s="581"/>
      <c r="HB72" s="580"/>
      <c r="HC72" s="583"/>
      <c r="HD72" s="580"/>
      <c r="HE72" s="580"/>
      <c r="HF72" s="580"/>
      <c r="HG72" s="581"/>
      <c r="HH72" s="581"/>
      <c r="HI72" s="580"/>
      <c r="HJ72" s="583"/>
      <c r="HK72" s="580"/>
      <c r="HL72" s="580"/>
      <c r="HM72" s="580"/>
      <c r="HN72" s="581"/>
      <c r="HO72" s="581"/>
      <c r="HP72" s="580"/>
      <c r="HQ72" s="583"/>
      <c r="HR72" s="580"/>
      <c r="HS72" s="580"/>
      <c r="HT72" s="580"/>
      <c r="HU72" s="581"/>
      <c r="HV72" s="581"/>
      <c r="HW72" s="580"/>
      <c r="HX72" s="583"/>
      <c r="HY72" s="580"/>
      <c r="HZ72" s="580"/>
      <c r="IA72" s="580"/>
      <c r="IB72" s="581"/>
      <c r="IC72" s="581"/>
      <c r="ID72" s="580"/>
      <c r="IE72" s="583"/>
      <c r="IF72" s="580"/>
      <c r="IG72" s="580"/>
      <c r="IH72" s="580"/>
      <c r="II72" s="581"/>
      <c r="IJ72" s="581"/>
      <c r="IK72" s="580"/>
      <c r="IL72" s="583"/>
      <c r="IM72" s="580"/>
      <c r="IN72" s="580"/>
      <c r="IO72" s="580"/>
      <c r="IP72" s="581"/>
      <c r="IQ72" s="581"/>
      <c r="IR72" s="580"/>
      <c r="IS72" s="583"/>
      <c r="IT72" s="580"/>
      <c r="IU72" s="580"/>
      <c r="IV72" s="580"/>
    </row>
    <row r="73" spans="1:256" ht="12.75">
      <c r="A73" s="505" t="s">
        <v>272</v>
      </c>
      <c r="B73" s="475">
        <v>1357</v>
      </c>
      <c r="C73" s="475">
        <v>25</v>
      </c>
      <c r="D73" s="475">
        <v>202</v>
      </c>
      <c r="E73" s="506">
        <v>14.885777450257923</v>
      </c>
      <c r="F73" s="506">
        <v>808</v>
      </c>
      <c r="G73" s="475">
        <v>202</v>
      </c>
      <c r="H73" s="584"/>
      <c r="I73" s="585"/>
      <c r="J73" s="585"/>
      <c r="K73" s="585"/>
      <c r="L73" s="586"/>
      <c r="M73" s="586"/>
      <c r="N73" s="585"/>
      <c r="O73" s="584"/>
      <c r="P73" s="585"/>
      <c r="Q73" s="585"/>
      <c r="R73" s="585"/>
      <c r="S73" s="586"/>
      <c r="T73" s="586"/>
      <c r="U73" s="585"/>
      <c r="V73" s="584"/>
      <c r="W73" s="585"/>
      <c r="X73" s="585"/>
      <c r="Y73" s="585"/>
      <c r="Z73" s="586"/>
      <c r="AA73" s="586"/>
      <c r="AB73" s="585"/>
      <c r="AC73" s="584"/>
      <c r="AD73" s="585"/>
      <c r="AE73" s="585"/>
      <c r="AF73" s="585"/>
      <c r="AG73" s="586"/>
      <c r="AH73" s="586"/>
      <c r="AI73" s="585"/>
      <c r="AJ73" s="584"/>
      <c r="AK73" s="585"/>
      <c r="AL73" s="585"/>
      <c r="AM73" s="585"/>
      <c r="AN73" s="586"/>
      <c r="AO73" s="586"/>
      <c r="AP73" s="585"/>
      <c r="AQ73" s="584"/>
      <c r="AR73" s="585"/>
      <c r="AS73" s="585"/>
      <c r="AT73" s="585"/>
      <c r="AU73" s="586"/>
      <c r="AV73" s="586"/>
      <c r="AW73" s="585"/>
      <c r="AX73" s="584"/>
      <c r="AY73" s="585"/>
      <c r="AZ73" s="585"/>
      <c r="BA73" s="585"/>
      <c r="BB73" s="586"/>
      <c r="BC73" s="586"/>
      <c r="BD73" s="585"/>
      <c r="BE73" s="584"/>
      <c r="BF73" s="585"/>
      <c r="BG73" s="585"/>
      <c r="BH73" s="585"/>
      <c r="BI73" s="586"/>
      <c r="BJ73" s="586"/>
      <c r="BK73" s="585"/>
      <c r="BL73" s="584"/>
      <c r="BM73" s="585"/>
      <c r="BN73" s="585"/>
      <c r="BO73" s="585"/>
      <c r="BP73" s="586"/>
      <c r="BQ73" s="586"/>
      <c r="BR73" s="585"/>
      <c r="BS73" s="584"/>
      <c r="BT73" s="585"/>
      <c r="BU73" s="585"/>
      <c r="BV73" s="585"/>
      <c r="BW73" s="586"/>
      <c r="BX73" s="586"/>
      <c r="BY73" s="585"/>
      <c r="BZ73" s="584"/>
      <c r="CA73" s="585"/>
      <c r="CB73" s="585"/>
      <c r="CC73" s="585"/>
      <c r="CD73" s="586"/>
      <c r="CE73" s="586"/>
      <c r="CF73" s="585"/>
      <c r="CG73" s="584"/>
      <c r="CH73" s="585"/>
      <c r="CI73" s="585"/>
      <c r="CJ73" s="585"/>
      <c r="CK73" s="586"/>
      <c r="CL73" s="586"/>
      <c r="CM73" s="585"/>
      <c r="CN73" s="584"/>
      <c r="CO73" s="585"/>
      <c r="CP73" s="585"/>
      <c r="CQ73" s="585"/>
      <c r="CR73" s="586"/>
      <c r="CS73" s="586"/>
      <c r="CT73" s="585"/>
      <c r="CU73" s="584"/>
      <c r="CV73" s="585"/>
      <c r="CW73" s="585"/>
      <c r="CX73" s="585"/>
      <c r="CY73" s="586"/>
      <c r="CZ73" s="586"/>
      <c r="DA73" s="585"/>
      <c r="DB73" s="584"/>
      <c r="DC73" s="585"/>
      <c r="DD73" s="585"/>
      <c r="DE73" s="585"/>
      <c r="DF73" s="586"/>
      <c r="DG73" s="586"/>
      <c r="DH73" s="585"/>
      <c r="DI73" s="584"/>
      <c r="DJ73" s="585"/>
      <c r="DK73" s="585"/>
      <c r="DL73" s="585"/>
      <c r="DM73" s="586"/>
      <c r="DN73" s="586"/>
      <c r="DO73" s="585"/>
      <c r="DP73" s="584"/>
      <c r="DQ73" s="585"/>
      <c r="DR73" s="585"/>
      <c r="DS73" s="585"/>
      <c r="DT73" s="586"/>
      <c r="DU73" s="586"/>
      <c r="DV73" s="585"/>
      <c r="DW73" s="584"/>
      <c r="DX73" s="585"/>
      <c r="DY73" s="585"/>
      <c r="DZ73" s="585"/>
      <c r="EA73" s="586"/>
      <c r="EB73" s="586"/>
      <c r="EC73" s="585"/>
      <c r="ED73" s="584"/>
      <c r="EE73" s="585"/>
      <c r="EF73" s="585"/>
      <c r="EG73" s="585"/>
      <c r="EH73" s="586"/>
      <c r="EI73" s="586"/>
      <c r="EJ73" s="585"/>
      <c r="EK73" s="584"/>
      <c r="EL73" s="585"/>
      <c r="EM73" s="585"/>
      <c r="EN73" s="585"/>
      <c r="EO73" s="586"/>
      <c r="EP73" s="586"/>
      <c r="EQ73" s="585"/>
      <c r="ER73" s="584"/>
      <c r="ES73" s="585"/>
      <c r="ET73" s="585"/>
      <c r="EU73" s="585"/>
      <c r="EV73" s="586"/>
      <c r="EW73" s="586"/>
      <c r="EX73" s="585"/>
      <c r="EY73" s="584"/>
      <c r="EZ73" s="585"/>
      <c r="FA73" s="585"/>
      <c r="FB73" s="585"/>
      <c r="FC73" s="586"/>
      <c r="FD73" s="586"/>
      <c r="FE73" s="585"/>
      <c r="FF73" s="584"/>
      <c r="FG73" s="585"/>
      <c r="FH73" s="585"/>
      <c r="FI73" s="585"/>
      <c r="FJ73" s="586"/>
      <c r="FK73" s="586"/>
      <c r="FL73" s="585"/>
      <c r="FM73" s="584"/>
      <c r="FN73" s="585"/>
      <c r="FO73" s="585"/>
      <c r="FP73" s="585"/>
      <c r="FQ73" s="586"/>
      <c r="FR73" s="586"/>
      <c r="FS73" s="585"/>
      <c r="FT73" s="584"/>
      <c r="FU73" s="585"/>
      <c r="FV73" s="585"/>
      <c r="FW73" s="585"/>
      <c r="FX73" s="586"/>
      <c r="FY73" s="586"/>
      <c r="FZ73" s="585"/>
      <c r="GA73" s="584"/>
      <c r="GB73" s="585"/>
      <c r="GC73" s="585"/>
      <c r="GD73" s="585"/>
      <c r="GE73" s="586"/>
      <c r="GF73" s="586"/>
      <c r="GG73" s="585"/>
      <c r="GH73" s="584"/>
      <c r="GI73" s="585"/>
      <c r="GJ73" s="585"/>
      <c r="GK73" s="585"/>
      <c r="GL73" s="586"/>
      <c r="GM73" s="586"/>
      <c r="GN73" s="585"/>
      <c r="GO73" s="584"/>
      <c r="GP73" s="585"/>
      <c r="GQ73" s="585"/>
      <c r="GR73" s="585"/>
      <c r="GS73" s="586"/>
      <c r="GT73" s="586"/>
      <c r="GU73" s="585"/>
      <c r="GV73" s="584"/>
      <c r="GW73" s="585"/>
      <c r="GX73" s="585"/>
      <c r="GY73" s="585"/>
      <c r="GZ73" s="586"/>
      <c r="HA73" s="586"/>
      <c r="HB73" s="585"/>
      <c r="HC73" s="584"/>
      <c r="HD73" s="585"/>
      <c r="HE73" s="585"/>
      <c r="HF73" s="585"/>
      <c r="HG73" s="586"/>
      <c r="HH73" s="586"/>
      <c r="HI73" s="585"/>
      <c r="HJ73" s="584"/>
      <c r="HK73" s="585"/>
      <c r="HL73" s="585"/>
      <c r="HM73" s="585"/>
      <c r="HN73" s="586"/>
      <c r="HO73" s="586"/>
      <c r="HP73" s="585"/>
      <c r="HQ73" s="584"/>
      <c r="HR73" s="585"/>
      <c r="HS73" s="585"/>
      <c r="HT73" s="585"/>
      <c r="HU73" s="586"/>
      <c r="HV73" s="586"/>
      <c r="HW73" s="585"/>
      <c r="HX73" s="584"/>
      <c r="HY73" s="585"/>
      <c r="HZ73" s="585"/>
      <c r="IA73" s="585"/>
      <c r="IB73" s="586"/>
      <c r="IC73" s="586"/>
      <c r="ID73" s="585"/>
      <c r="IE73" s="584"/>
      <c r="IF73" s="585"/>
      <c r="IG73" s="585"/>
      <c r="IH73" s="585"/>
      <c r="II73" s="586"/>
      <c r="IJ73" s="586"/>
      <c r="IK73" s="585"/>
      <c r="IL73" s="584"/>
      <c r="IM73" s="585"/>
      <c r="IN73" s="585"/>
      <c r="IO73" s="585"/>
      <c r="IP73" s="586"/>
      <c r="IQ73" s="586"/>
      <c r="IR73" s="585"/>
      <c r="IS73" s="584"/>
      <c r="IT73" s="585"/>
      <c r="IU73" s="585"/>
      <c r="IV73" s="585"/>
    </row>
    <row r="74" spans="1:256" ht="12.75">
      <c r="A74" s="473" t="s">
        <v>269</v>
      </c>
      <c r="B74" s="507">
        <v>1230</v>
      </c>
      <c r="C74" s="507">
        <v>25</v>
      </c>
      <c r="D74" s="507">
        <v>202</v>
      </c>
      <c r="E74" s="40">
        <v>16.422764227642276</v>
      </c>
      <c r="F74" s="40">
        <v>808</v>
      </c>
      <c r="G74" s="507">
        <v>202</v>
      </c>
      <c r="H74" s="587"/>
      <c r="I74" s="510"/>
      <c r="J74" s="510"/>
      <c r="K74" s="510"/>
      <c r="L74" s="588"/>
      <c r="M74" s="588"/>
      <c r="N74" s="510"/>
      <c r="O74" s="587"/>
      <c r="P74" s="510"/>
      <c r="Q74" s="510"/>
      <c r="R74" s="510"/>
      <c r="S74" s="588"/>
      <c r="T74" s="588"/>
      <c r="U74" s="510"/>
      <c r="V74" s="587"/>
      <c r="W74" s="510"/>
      <c r="X74" s="510"/>
      <c r="Y74" s="510"/>
      <c r="Z74" s="588"/>
      <c r="AA74" s="588"/>
      <c r="AB74" s="510"/>
      <c r="AC74" s="587"/>
      <c r="AD74" s="510"/>
      <c r="AE74" s="510"/>
      <c r="AF74" s="510"/>
      <c r="AG74" s="588"/>
      <c r="AH74" s="588"/>
      <c r="AI74" s="510"/>
      <c r="AJ74" s="587"/>
      <c r="AK74" s="510"/>
      <c r="AL74" s="510"/>
      <c r="AM74" s="510"/>
      <c r="AN74" s="588"/>
      <c r="AO74" s="588"/>
      <c r="AP74" s="510"/>
      <c r="AQ74" s="587"/>
      <c r="AR74" s="510"/>
      <c r="AS74" s="510"/>
      <c r="AT74" s="510"/>
      <c r="AU74" s="588"/>
      <c r="AV74" s="588"/>
      <c r="AW74" s="510"/>
      <c r="AX74" s="587"/>
      <c r="AY74" s="510"/>
      <c r="AZ74" s="510"/>
      <c r="BA74" s="510"/>
      <c r="BB74" s="588"/>
      <c r="BC74" s="588"/>
      <c r="BD74" s="510"/>
      <c r="BE74" s="587"/>
      <c r="BF74" s="510"/>
      <c r="BG74" s="510"/>
      <c r="BH74" s="510"/>
      <c r="BI74" s="588"/>
      <c r="BJ74" s="588"/>
      <c r="BK74" s="510"/>
      <c r="BL74" s="587"/>
      <c r="BM74" s="510"/>
      <c r="BN74" s="510"/>
      <c r="BO74" s="510"/>
      <c r="BP74" s="588"/>
      <c r="BQ74" s="588"/>
      <c r="BR74" s="510"/>
      <c r="BS74" s="587"/>
      <c r="BT74" s="510"/>
      <c r="BU74" s="510"/>
      <c r="BV74" s="510"/>
      <c r="BW74" s="588"/>
      <c r="BX74" s="588"/>
      <c r="BY74" s="510"/>
      <c r="BZ74" s="587"/>
      <c r="CA74" s="510"/>
      <c r="CB74" s="510"/>
      <c r="CC74" s="510"/>
      <c r="CD74" s="588"/>
      <c r="CE74" s="588"/>
      <c r="CF74" s="510"/>
      <c r="CG74" s="587"/>
      <c r="CH74" s="510"/>
      <c r="CI74" s="510"/>
      <c r="CJ74" s="510"/>
      <c r="CK74" s="588"/>
      <c r="CL74" s="588"/>
      <c r="CM74" s="510"/>
      <c r="CN74" s="587"/>
      <c r="CO74" s="510"/>
      <c r="CP74" s="510"/>
      <c r="CQ74" s="510"/>
      <c r="CR74" s="588"/>
      <c r="CS74" s="588"/>
      <c r="CT74" s="510"/>
      <c r="CU74" s="587"/>
      <c r="CV74" s="510"/>
      <c r="CW74" s="510"/>
      <c r="CX74" s="510"/>
      <c r="CY74" s="588"/>
      <c r="CZ74" s="588"/>
      <c r="DA74" s="510"/>
      <c r="DB74" s="587"/>
      <c r="DC74" s="510"/>
      <c r="DD74" s="510"/>
      <c r="DE74" s="510"/>
      <c r="DF74" s="588"/>
      <c r="DG74" s="588"/>
      <c r="DH74" s="510"/>
      <c r="DI74" s="587"/>
      <c r="DJ74" s="510"/>
      <c r="DK74" s="510"/>
      <c r="DL74" s="510"/>
      <c r="DM74" s="588"/>
      <c r="DN74" s="588"/>
      <c r="DO74" s="510"/>
      <c r="DP74" s="587"/>
      <c r="DQ74" s="510"/>
      <c r="DR74" s="510"/>
      <c r="DS74" s="510"/>
      <c r="DT74" s="588"/>
      <c r="DU74" s="588"/>
      <c r="DV74" s="510"/>
      <c r="DW74" s="587"/>
      <c r="DX74" s="510"/>
      <c r="DY74" s="510"/>
      <c r="DZ74" s="510"/>
      <c r="EA74" s="588"/>
      <c r="EB74" s="588"/>
      <c r="EC74" s="510"/>
      <c r="ED74" s="587"/>
      <c r="EE74" s="510"/>
      <c r="EF74" s="510"/>
      <c r="EG74" s="510"/>
      <c r="EH74" s="588"/>
      <c r="EI74" s="588"/>
      <c r="EJ74" s="510"/>
      <c r="EK74" s="587"/>
      <c r="EL74" s="510"/>
      <c r="EM74" s="510"/>
      <c r="EN74" s="510"/>
      <c r="EO74" s="588"/>
      <c r="EP74" s="588"/>
      <c r="EQ74" s="510"/>
      <c r="ER74" s="587"/>
      <c r="ES74" s="510"/>
      <c r="ET74" s="510"/>
      <c r="EU74" s="510"/>
      <c r="EV74" s="588"/>
      <c r="EW74" s="588"/>
      <c r="EX74" s="510"/>
      <c r="EY74" s="587"/>
      <c r="EZ74" s="510"/>
      <c r="FA74" s="510"/>
      <c r="FB74" s="510"/>
      <c r="FC74" s="588"/>
      <c r="FD74" s="588"/>
      <c r="FE74" s="510"/>
      <c r="FF74" s="587"/>
      <c r="FG74" s="510"/>
      <c r="FH74" s="510"/>
      <c r="FI74" s="510"/>
      <c r="FJ74" s="588"/>
      <c r="FK74" s="588"/>
      <c r="FL74" s="510"/>
      <c r="FM74" s="587"/>
      <c r="FN74" s="510"/>
      <c r="FO74" s="510"/>
      <c r="FP74" s="510"/>
      <c r="FQ74" s="588"/>
      <c r="FR74" s="588"/>
      <c r="FS74" s="510"/>
      <c r="FT74" s="587"/>
      <c r="FU74" s="510"/>
      <c r="FV74" s="510"/>
      <c r="FW74" s="510"/>
      <c r="FX74" s="588"/>
      <c r="FY74" s="588"/>
      <c r="FZ74" s="510"/>
      <c r="GA74" s="587"/>
      <c r="GB74" s="510"/>
      <c r="GC74" s="510"/>
      <c r="GD74" s="510"/>
      <c r="GE74" s="588"/>
      <c r="GF74" s="588"/>
      <c r="GG74" s="510"/>
      <c r="GH74" s="587"/>
      <c r="GI74" s="510"/>
      <c r="GJ74" s="510"/>
      <c r="GK74" s="510"/>
      <c r="GL74" s="588"/>
      <c r="GM74" s="588"/>
      <c r="GN74" s="510"/>
      <c r="GO74" s="587"/>
      <c r="GP74" s="510"/>
      <c r="GQ74" s="510"/>
      <c r="GR74" s="510"/>
      <c r="GS74" s="588"/>
      <c r="GT74" s="588"/>
      <c r="GU74" s="510"/>
      <c r="GV74" s="587"/>
      <c r="GW74" s="510"/>
      <c r="GX74" s="510"/>
      <c r="GY74" s="510"/>
      <c r="GZ74" s="588"/>
      <c r="HA74" s="588"/>
      <c r="HB74" s="510"/>
      <c r="HC74" s="587"/>
      <c r="HD74" s="510"/>
      <c r="HE74" s="510"/>
      <c r="HF74" s="510"/>
      <c r="HG74" s="588"/>
      <c r="HH74" s="588"/>
      <c r="HI74" s="510"/>
      <c r="HJ74" s="587"/>
      <c r="HK74" s="510"/>
      <c r="HL74" s="510"/>
      <c r="HM74" s="510"/>
      <c r="HN74" s="588"/>
      <c r="HO74" s="588"/>
      <c r="HP74" s="510"/>
      <c r="HQ74" s="587"/>
      <c r="HR74" s="510"/>
      <c r="HS74" s="510"/>
      <c r="HT74" s="510"/>
      <c r="HU74" s="588"/>
      <c r="HV74" s="588"/>
      <c r="HW74" s="510"/>
      <c r="HX74" s="587"/>
      <c r="HY74" s="510"/>
      <c r="HZ74" s="510"/>
      <c r="IA74" s="510"/>
      <c r="IB74" s="588"/>
      <c r="IC74" s="588"/>
      <c r="ID74" s="510"/>
      <c r="IE74" s="587"/>
      <c r="IF74" s="510"/>
      <c r="IG74" s="510"/>
      <c r="IH74" s="510"/>
      <c r="II74" s="588"/>
      <c r="IJ74" s="588"/>
      <c r="IK74" s="510"/>
      <c r="IL74" s="587"/>
      <c r="IM74" s="510"/>
      <c r="IN74" s="510"/>
      <c r="IO74" s="510"/>
      <c r="IP74" s="588"/>
      <c r="IQ74" s="588"/>
      <c r="IR74" s="510"/>
      <c r="IS74" s="587"/>
      <c r="IT74" s="510"/>
      <c r="IU74" s="510"/>
      <c r="IV74" s="510"/>
    </row>
    <row r="75" spans="1:256" ht="12.75">
      <c r="A75" s="473" t="s">
        <v>270</v>
      </c>
      <c r="B75" s="507">
        <v>127</v>
      </c>
      <c r="C75" s="507"/>
      <c r="D75" s="507"/>
      <c r="E75" s="40"/>
      <c r="F75" s="40"/>
      <c r="G75" s="507"/>
      <c r="H75" s="587"/>
      <c r="I75" s="510"/>
      <c r="J75" s="510"/>
      <c r="K75" s="510"/>
      <c r="L75" s="588"/>
      <c r="M75" s="588"/>
      <c r="N75" s="510"/>
      <c r="O75" s="587"/>
      <c r="P75" s="510"/>
      <c r="Q75" s="510"/>
      <c r="R75" s="510"/>
      <c r="S75" s="588"/>
      <c r="T75" s="588"/>
      <c r="U75" s="510"/>
      <c r="V75" s="587"/>
      <c r="W75" s="510"/>
      <c r="X75" s="510"/>
      <c r="Y75" s="510"/>
      <c r="Z75" s="588"/>
      <c r="AA75" s="588"/>
      <c r="AB75" s="510"/>
      <c r="AC75" s="587"/>
      <c r="AD75" s="510"/>
      <c r="AE75" s="510"/>
      <c r="AF75" s="510"/>
      <c r="AG75" s="588"/>
      <c r="AH75" s="588"/>
      <c r="AI75" s="510"/>
      <c r="AJ75" s="587"/>
      <c r="AK75" s="510"/>
      <c r="AL75" s="510"/>
      <c r="AM75" s="510"/>
      <c r="AN75" s="588"/>
      <c r="AO75" s="588"/>
      <c r="AP75" s="510"/>
      <c r="AQ75" s="587"/>
      <c r="AR75" s="510"/>
      <c r="AS75" s="510"/>
      <c r="AT75" s="510"/>
      <c r="AU75" s="588"/>
      <c r="AV75" s="588"/>
      <c r="AW75" s="510"/>
      <c r="AX75" s="587"/>
      <c r="AY75" s="510"/>
      <c r="AZ75" s="510"/>
      <c r="BA75" s="510"/>
      <c r="BB75" s="588"/>
      <c r="BC75" s="588"/>
      <c r="BD75" s="510"/>
      <c r="BE75" s="587"/>
      <c r="BF75" s="510"/>
      <c r="BG75" s="510"/>
      <c r="BH75" s="510"/>
      <c r="BI75" s="588"/>
      <c r="BJ75" s="588"/>
      <c r="BK75" s="510"/>
      <c r="BL75" s="587"/>
      <c r="BM75" s="510"/>
      <c r="BN75" s="510"/>
      <c r="BO75" s="510"/>
      <c r="BP75" s="588"/>
      <c r="BQ75" s="588"/>
      <c r="BR75" s="510"/>
      <c r="BS75" s="587"/>
      <c r="BT75" s="510"/>
      <c r="BU75" s="510"/>
      <c r="BV75" s="510"/>
      <c r="BW75" s="588"/>
      <c r="BX75" s="588"/>
      <c r="BY75" s="510"/>
      <c r="BZ75" s="587"/>
      <c r="CA75" s="510"/>
      <c r="CB75" s="510"/>
      <c r="CC75" s="510"/>
      <c r="CD75" s="588"/>
      <c r="CE75" s="588"/>
      <c r="CF75" s="510"/>
      <c r="CG75" s="587"/>
      <c r="CH75" s="510"/>
      <c r="CI75" s="510"/>
      <c r="CJ75" s="510"/>
      <c r="CK75" s="588"/>
      <c r="CL75" s="588"/>
      <c r="CM75" s="510"/>
      <c r="CN75" s="587"/>
      <c r="CO75" s="510"/>
      <c r="CP75" s="510"/>
      <c r="CQ75" s="510"/>
      <c r="CR75" s="588"/>
      <c r="CS75" s="588"/>
      <c r="CT75" s="510"/>
      <c r="CU75" s="587"/>
      <c r="CV75" s="510"/>
      <c r="CW75" s="510"/>
      <c r="CX75" s="510"/>
      <c r="CY75" s="588"/>
      <c r="CZ75" s="588"/>
      <c r="DA75" s="510"/>
      <c r="DB75" s="587"/>
      <c r="DC75" s="510"/>
      <c r="DD75" s="510"/>
      <c r="DE75" s="510"/>
      <c r="DF75" s="588"/>
      <c r="DG75" s="588"/>
      <c r="DH75" s="510"/>
      <c r="DI75" s="587"/>
      <c r="DJ75" s="510"/>
      <c r="DK75" s="510"/>
      <c r="DL75" s="510"/>
      <c r="DM75" s="588"/>
      <c r="DN75" s="588"/>
      <c r="DO75" s="510"/>
      <c r="DP75" s="587"/>
      <c r="DQ75" s="510"/>
      <c r="DR75" s="510"/>
      <c r="DS75" s="510"/>
      <c r="DT75" s="588"/>
      <c r="DU75" s="588"/>
      <c r="DV75" s="510"/>
      <c r="DW75" s="587"/>
      <c r="DX75" s="510"/>
      <c r="DY75" s="510"/>
      <c r="DZ75" s="510"/>
      <c r="EA75" s="588"/>
      <c r="EB75" s="588"/>
      <c r="EC75" s="510"/>
      <c r="ED75" s="587"/>
      <c r="EE75" s="510"/>
      <c r="EF75" s="510"/>
      <c r="EG75" s="510"/>
      <c r="EH75" s="588"/>
      <c r="EI75" s="588"/>
      <c r="EJ75" s="510"/>
      <c r="EK75" s="587"/>
      <c r="EL75" s="510"/>
      <c r="EM75" s="510"/>
      <c r="EN75" s="510"/>
      <c r="EO75" s="588"/>
      <c r="EP75" s="588"/>
      <c r="EQ75" s="510"/>
      <c r="ER75" s="587"/>
      <c r="ES75" s="510"/>
      <c r="ET75" s="510"/>
      <c r="EU75" s="510"/>
      <c r="EV75" s="588"/>
      <c r="EW75" s="588"/>
      <c r="EX75" s="510"/>
      <c r="EY75" s="587"/>
      <c r="EZ75" s="510"/>
      <c r="FA75" s="510"/>
      <c r="FB75" s="510"/>
      <c r="FC75" s="588"/>
      <c r="FD75" s="588"/>
      <c r="FE75" s="510"/>
      <c r="FF75" s="587"/>
      <c r="FG75" s="510"/>
      <c r="FH75" s="510"/>
      <c r="FI75" s="510"/>
      <c r="FJ75" s="588"/>
      <c r="FK75" s="588"/>
      <c r="FL75" s="510"/>
      <c r="FM75" s="587"/>
      <c r="FN75" s="510"/>
      <c r="FO75" s="510"/>
      <c r="FP75" s="510"/>
      <c r="FQ75" s="588"/>
      <c r="FR75" s="588"/>
      <c r="FS75" s="510"/>
      <c r="FT75" s="587"/>
      <c r="FU75" s="510"/>
      <c r="FV75" s="510"/>
      <c r="FW75" s="510"/>
      <c r="FX75" s="588"/>
      <c r="FY75" s="588"/>
      <c r="FZ75" s="510"/>
      <c r="GA75" s="587"/>
      <c r="GB75" s="510"/>
      <c r="GC75" s="510"/>
      <c r="GD75" s="510"/>
      <c r="GE75" s="588"/>
      <c r="GF75" s="588"/>
      <c r="GG75" s="510"/>
      <c r="GH75" s="587"/>
      <c r="GI75" s="510"/>
      <c r="GJ75" s="510"/>
      <c r="GK75" s="510"/>
      <c r="GL75" s="588"/>
      <c r="GM75" s="588"/>
      <c r="GN75" s="510"/>
      <c r="GO75" s="587"/>
      <c r="GP75" s="510"/>
      <c r="GQ75" s="510"/>
      <c r="GR75" s="510"/>
      <c r="GS75" s="588"/>
      <c r="GT75" s="588"/>
      <c r="GU75" s="510"/>
      <c r="GV75" s="587"/>
      <c r="GW75" s="510"/>
      <c r="GX75" s="510"/>
      <c r="GY75" s="510"/>
      <c r="GZ75" s="588"/>
      <c r="HA75" s="588"/>
      <c r="HB75" s="510"/>
      <c r="HC75" s="587"/>
      <c r="HD75" s="510"/>
      <c r="HE75" s="510"/>
      <c r="HF75" s="510"/>
      <c r="HG75" s="588"/>
      <c r="HH75" s="588"/>
      <c r="HI75" s="510"/>
      <c r="HJ75" s="587"/>
      <c r="HK75" s="510"/>
      <c r="HL75" s="510"/>
      <c r="HM75" s="510"/>
      <c r="HN75" s="588"/>
      <c r="HO75" s="588"/>
      <c r="HP75" s="510"/>
      <c r="HQ75" s="587"/>
      <c r="HR75" s="510"/>
      <c r="HS75" s="510"/>
      <c r="HT75" s="510"/>
      <c r="HU75" s="588"/>
      <c r="HV75" s="588"/>
      <c r="HW75" s="510"/>
      <c r="HX75" s="587"/>
      <c r="HY75" s="510"/>
      <c r="HZ75" s="510"/>
      <c r="IA75" s="510"/>
      <c r="IB75" s="588"/>
      <c r="IC75" s="588"/>
      <c r="ID75" s="510"/>
      <c r="IE75" s="587"/>
      <c r="IF75" s="510"/>
      <c r="IG75" s="510"/>
      <c r="IH75" s="510"/>
      <c r="II75" s="588"/>
      <c r="IJ75" s="588"/>
      <c r="IK75" s="510"/>
      <c r="IL75" s="587"/>
      <c r="IM75" s="510"/>
      <c r="IN75" s="510"/>
      <c r="IO75" s="510"/>
      <c r="IP75" s="588"/>
      <c r="IQ75" s="588"/>
      <c r="IR75" s="510"/>
      <c r="IS75" s="587"/>
      <c r="IT75" s="510"/>
      <c r="IU75" s="510"/>
      <c r="IV75" s="510"/>
    </row>
    <row r="76" spans="1:256" ht="12.75">
      <c r="A76" s="505" t="s">
        <v>273</v>
      </c>
      <c r="B76" s="475">
        <v>325</v>
      </c>
      <c r="C76" s="475">
        <v>6</v>
      </c>
      <c r="D76" s="475">
        <v>5</v>
      </c>
      <c r="E76" s="506">
        <v>1.5384615384615385</v>
      </c>
      <c r="F76" s="506">
        <v>83.33333333333334</v>
      </c>
      <c r="G76" s="475">
        <v>5</v>
      </c>
      <c r="H76" s="584"/>
      <c r="I76" s="585"/>
      <c r="J76" s="585"/>
      <c r="K76" s="585"/>
      <c r="L76" s="586"/>
      <c r="M76" s="586"/>
      <c r="N76" s="585"/>
      <c r="O76" s="584"/>
      <c r="P76" s="585"/>
      <c r="Q76" s="585"/>
      <c r="R76" s="585"/>
      <c r="S76" s="586"/>
      <c r="T76" s="586"/>
      <c r="U76" s="585"/>
      <c r="V76" s="584"/>
      <c r="W76" s="585"/>
      <c r="X76" s="585"/>
      <c r="Y76" s="585"/>
      <c r="Z76" s="586"/>
      <c r="AA76" s="586"/>
      <c r="AB76" s="585"/>
      <c r="AC76" s="584"/>
      <c r="AD76" s="585"/>
      <c r="AE76" s="585"/>
      <c r="AF76" s="585"/>
      <c r="AG76" s="586"/>
      <c r="AH76" s="586"/>
      <c r="AI76" s="585"/>
      <c r="AJ76" s="584"/>
      <c r="AK76" s="585"/>
      <c r="AL76" s="585"/>
      <c r="AM76" s="585"/>
      <c r="AN76" s="586"/>
      <c r="AO76" s="586"/>
      <c r="AP76" s="585"/>
      <c r="AQ76" s="584"/>
      <c r="AR76" s="585"/>
      <c r="AS76" s="585"/>
      <c r="AT76" s="585"/>
      <c r="AU76" s="586"/>
      <c r="AV76" s="586"/>
      <c r="AW76" s="585"/>
      <c r="AX76" s="584"/>
      <c r="AY76" s="585"/>
      <c r="AZ76" s="585"/>
      <c r="BA76" s="585"/>
      <c r="BB76" s="586"/>
      <c r="BC76" s="586"/>
      <c r="BD76" s="585"/>
      <c r="BE76" s="584"/>
      <c r="BF76" s="585"/>
      <c r="BG76" s="585"/>
      <c r="BH76" s="585"/>
      <c r="BI76" s="586"/>
      <c r="BJ76" s="586"/>
      <c r="BK76" s="585"/>
      <c r="BL76" s="584"/>
      <c r="BM76" s="585"/>
      <c r="BN76" s="585"/>
      <c r="BO76" s="585"/>
      <c r="BP76" s="586"/>
      <c r="BQ76" s="586"/>
      <c r="BR76" s="585"/>
      <c r="BS76" s="584"/>
      <c r="BT76" s="585"/>
      <c r="BU76" s="585"/>
      <c r="BV76" s="585"/>
      <c r="BW76" s="586"/>
      <c r="BX76" s="586"/>
      <c r="BY76" s="585"/>
      <c r="BZ76" s="584"/>
      <c r="CA76" s="585"/>
      <c r="CB76" s="585"/>
      <c r="CC76" s="585"/>
      <c r="CD76" s="586"/>
      <c r="CE76" s="586"/>
      <c r="CF76" s="585"/>
      <c r="CG76" s="584"/>
      <c r="CH76" s="585"/>
      <c r="CI76" s="585"/>
      <c r="CJ76" s="585"/>
      <c r="CK76" s="586"/>
      <c r="CL76" s="586"/>
      <c r="CM76" s="585"/>
      <c r="CN76" s="584"/>
      <c r="CO76" s="585"/>
      <c r="CP76" s="585"/>
      <c r="CQ76" s="585"/>
      <c r="CR76" s="586"/>
      <c r="CS76" s="586"/>
      <c r="CT76" s="585"/>
      <c r="CU76" s="584"/>
      <c r="CV76" s="585"/>
      <c r="CW76" s="585"/>
      <c r="CX76" s="585"/>
      <c r="CY76" s="586"/>
      <c r="CZ76" s="586"/>
      <c r="DA76" s="585"/>
      <c r="DB76" s="584"/>
      <c r="DC76" s="585"/>
      <c r="DD76" s="585"/>
      <c r="DE76" s="585"/>
      <c r="DF76" s="586"/>
      <c r="DG76" s="586"/>
      <c r="DH76" s="585"/>
      <c r="DI76" s="584"/>
      <c r="DJ76" s="585"/>
      <c r="DK76" s="585"/>
      <c r="DL76" s="585"/>
      <c r="DM76" s="586"/>
      <c r="DN76" s="586"/>
      <c r="DO76" s="585"/>
      <c r="DP76" s="584"/>
      <c r="DQ76" s="585"/>
      <c r="DR76" s="585"/>
      <c r="DS76" s="585"/>
      <c r="DT76" s="586"/>
      <c r="DU76" s="586"/>
      <c r="DV76" s="585"/>
      <c r="DW76" s="584"/>
      <c r="DX76" s="585"/>
      <c r="DY76" s="585"/>
      <c r="DZ76" s="585"/>
      <c r="EA76" s="586"/>
      <c r="EB76" s="586"/>
      <c r="EC76" s="585"/>
      <c r="ED76" s="584"/>
      <c r="EE76" s="585"/>
      <c r="EF76" s="585"/>
      <c r="EG76" s="585"/>
      <c r="EH76" s="586"/>
      <c r="EI76" s="586"/>
      <c r="EJ76" s="585"/>
      <c r="EK76" s="584"/>
      <c r="EL76" s="585"/>
      <c r="EM76" s="585"/>
      <c r="EN76" s="585"/>
      <c r="EO76" s="586"/>
      <c r="EP76" s="586"/>
      <c r="EQ76" s="585"/>
      <c r="ER76" s="584"/>
      <c r="ES76" s="585"/>
      <c r="ET76" s="585"/>
      <c r="EU76" s="585"/>
      <c r="EV76" s="586"/>
      <c r="EW76" s="586"/>
      <c r="EX76" s="585"/>
      <c r="EY76" s="584"/>
      <c r="EZ76" s="585"/>
      <c r="FA76" s="585"/>
      <c r="FB76" s="585"/>
      <c r="FC76" s="586"/>
      <c r="FD76" s="586"/>
      <c r="FE76" s="585"/>
      <c r="FF76" s="584"/>
      <c r="FG76" s="585"/>
      <c r="FH76" s="585"/>
      <c r="FI76" s="585"/>
      <c r="FJ76" s="586"/>
      <c r="FK76" s="586"/>
      <c r="FL76" s="585"/>
      <c r="FM76" s="584"/>
      <c r="FN76" s="585"/>
      <c r="FO76" s="585"/>
      <c r="FP76" s="585"/>
      <c r="FQ76" s="586"/>
      <c r="FR76" s="586"/>
      <c r="FS76" s="585"/>
      <c r="FT76" s="584"/>
      <c r="FU76" s="585"/>
      <c r="FV76" s="585"/>
      <c r="FW76" s="585"/>
      <c r="FX76" s="586"/>
      <c r="FY76" s="586"/>
      <c r="FZ76" s="585"/>
      <c r="GA76" s="584"/>
      <c r="GB76" s="585"/>
      <c r="GC76" s="585"/>
      <c r="GD76" s="585"/>
      <c r="GE76" s="586"/>
      <c r="GF76" s="586"/>
      <c r="GG76" s="585"/>
      <c r="GH76" s="584"/>
      <c r="GI76" s="585"/>
      <c r="GJ76" s="585"/>
      <c r="GK76" s="585"/>
      <c r="GL76" s="586"/>
      <c r="GM76" s="586"/>
      <c r="GN76" s="585"/>
      <c r="GO76" s="584"/>
      <c r="GP76" s="585"/>
      <c r="GQ76" s="585"/>
      <c r="GR76" s="585"/>
      <c r="GS76" s="586"/>
      <c r="GT76" s="586"/>
      <c r="GU76" s="585"/>
      <c r="GV76" s="584"/>
      <c r="GW76" s="585"/>
      <c r="GX76" s="585"/>
      <c r="GY76" s="585"/>
      <c r="GZ76" s="586"/>
      <c r="HA76" s="586"/>
      <c r="HB76" s="585"/>
      <c r="HC76" s="584"/>
      <c r="HD76" s="585"/>
      <c r="HE76" s="585"/>
      <c r="HF76" s="585"/>
      <c r="HG76" s="586"/>
      <c r="HH76" s="586"/>
      <c r="HI76" s="585"/>
      <c r="HJ76" s="584"/>
      <c r="HK76" s="585"/>
      <c r="HL76" s="585"/>
      <c r="HM76" s="585"/>
      <c r="HN76" s="586"/>
      <c r="HO76" s="586"/>
      <c r="HP76" s="585"/>
      <c r="HQ76" s="584"/>
      <c r="HR76" s="585"/>
      <c r="HS76" s="585"/>
      <c r="HT76" s="585"/>
      <c r="HU76" s="586"/>
      <c r="HV76" s="586"/>
      <c r="HW76" s="585"/>
      <c r="HX76" s="584"/>
      <c r="HY76" s="585"/>
      <c r="HZ76" s="585"/>
      <c r="IA76" s="585"/>
      <c r="IB76" s="586"/>
      <c r="IC76" s="586"/>
      <c r="ID76" s="585"/>
      <c r="IE76" s="584"/>
      <c r="IF76" s="585"/>
      <c r="IG76" s="585"/>
      <c r="IH76" s="585"/>
      <c r="II76" s="586"/>
      <c r="IJ76" s="586"/>
      <c r="IK76" s="585"/>
      <c r="IL76" s="584"/>
      <c r="IM76" s="585"/>
      <c r="IN76" s="585"/>
      <c r="IO76" s="585"/>
      <c r="IP76" s="586"/>
      <c r="IQ76" s="586"/>
      <c r="IR76" s="585"/>
      <c r="IS76" s="584"/>
      <c r="IT76" s="585"/>
      <c r="IU76" s="585"/>
      <c r="IV76" s="585"/>
    </row>
    <row r="77" spans="1:256" ht="12.75">
      <c r="A77" s="473" t="s">
        <v>269</v>
      </c>
      <c r="B77" s="507">
        <v>37</v>
      </c>
      <c r="C77" s="507">
        <v>3</v>
      </c>
      <c r="D77" s="507">
        <v>3</v>
      </c>
      <c r="E77" s="40">
        <v>8.108108108108109</v>
      </c>
      <c r="F77" s="40">
        <v>100</v>
      </c>
      <c r="G77" s="507">
        <v>3</v>
      </c>
      <c r="H77" s="587"/>
      <c r="I77" s="510"/>
      <c r="J77" s="510"/>
      <c r="K77" s="510"/>
      <c r="L77" s="588"/>
      <c r="M77" s="588"/>
      <c r="N77" s="510"/>
      <c r="O77" s="587"/>
      <c r="P77" s="510"/>
      <c r="Q77" s="510"/>
      <c r="R77" s="510"/>
      <c r="S77" s="588"/>
      <c r="T77" s="588"/>
      <c r="U77" s="510"/>
      <c r="V77" s="587"/>
      <c r="W77" s="510"/>
      <c r="X77" s="510"/>
      <c r="Y77" s="510"/>
      <c r="Z77" s="588"/>
      <c r="AA77" s="588"/>
      <c r="AB77" s="510"/>
      <c r="AC77" s="587"/>
      <c r="AD77" s="510"/>
      <c r="AE77" s="510"/>
      <c r="AF77" s="510"/>
      <c r="AG77" s="588"/>
      <c r="AH77" s="588"/>
      <c r="AI77" s="510"/>
      <c r="AJ77" s="587"/>
      <c r="AK77" s="510"/>
      <c r="AL77" s="510"/>
      <c r="AM77" s="510"/>
      <c r="AN77" s="588"/>
      <c r="AO77" s="588"/>
      <c r="AP77" s="510"/>
      <c r="AQ77" s="587"/>
      <c r="AR77" s="510"/>
      <c r="AS77" s="510"/>
      <c r="AT77" s="510"/>
      <c r="AU77" s="588"/>
      <c r="AV77" s="588"/>
      <c r="AW77" s="510"/>
      <c r="AX77" s="587"/>
      <c r="AY77" s="510"/>
      <c r="AZ77" s="510"/>
      <c r="BA77" s="510"/>
      <c r="BB77" s="588"/>
      <c r="BC77" s="588"/>
      <c r="BD77" s="510"/>
      <c r="BE77" s="587"/>
      <c r="BF77" s="510"/>
      <c r="BG77" s="510"/>
      <c r="BH77" s="510"/>
      <c r="BI77" s="588"/>
      <c r="BJ77" s="588"/>
      <c r="BK77" s="510"/>
      <c r="BL77" s="587"/>
      <c r="BM77" s="510"/>
      <c r="BN77" s="510"/>
      <c r="BO77" s="510"/>
      <c r="BP77" s="588"/>
      <c r="BQ77" s="588"/>
      <c r="BR77" s="510"/>
      <c r="BS77" s="587"/>
      <c r="BT77" s="510"/>
      <c r="BU77" s="510"/>
      <c r="BV77" s="510"/>
      <c r="BW77" s="588"/>
      <c r="BX77" s="588"/>
      <c r="BY77" s="510"/>
      <c r="BZ77" s="587"/>
      <c r="CA77" s="510"/>
      <c r="CB77" s="510"/>
      <c r="CC77" s="510"/>
      <c r="CD77" s="588"/>
      <c r="CE77" s="588"/>
      <c r="CF77" s="510"/>
      <c r="CG77" s="587"/>
      <c r="CH77" s="510"/>
      <c r="CI77" s="510"/>
      <c r="CJ77" s="510"/>
      <c r="CK77" s="588"/>
      <c r="CL77" s="588"/>
      <c r="CM77" s="510"/>
      <c r="CN77" s="587"/>
      <c r="CO77" s="510"/>
      <c r="CP77" s="510"/>
      <c r="CQ77" s="510"/>
      <c r="CR77" s="588"/>
      <c r="CS77" s="588"/>
      <c r="CT77" s="510"/>
      <c r="CU77" s="587"/>
      <c r="CV77" s="510"/>
      <c r="CW77" s="510"/>
      <c r="CX77" s="510"/>
      <c r="CY77" s="588"/>
      <c r="CZ77" s="588"/>
      <c r="DA77" s="510"/>
      <c r="DB77" s="587"/>
      <c r="DC77" s="510"/>
      <c r="DD77" s="510"/>
      <c r="DE77" s="510"/>
      <c r="DF77" s="588"/>
      <c r="DG77" s="588"/>
      <c r="DH77" s="510"/>
      <c r="DI77" s="587"/>
      <c r="DJ77" s="510"/>
      <c r="DK77" s="510"/>
      <c r="DL77" s="510"/>
      <c r="DM77" s="588"/>
      <c r="DN77" s="588"/>
      <c r="DO77" s="510"/>
      <c r="DP77" s="587"/>
      <c r="DQ77" s="510"/>
      <c r="DR77" s="510"/>
      <c r="DS77" s="510"/>
      <c r="DT77" s="588"/>
      <c r="DU77" s="588"/>
      <c r="DV77" s="510"/>
      <c r="DW77" s="587"/>
      <c r="DX77" s="510"/>
      <c r="DY77" s="510"/>
      <c r="DZ77" s="510"/>
      <c r="EA77" s="588"/>
      <c r="EB77" s="588"/>
      <c r="EC77" s="510"/>
      <c r="ED77" s="587"/>
      <c r="EE77" s="510"/>
      <c r="EF77" s="510"/>
      <c r="EG77" s="510"/>
      <c r="EH77" s="588"/>
      <c r="EI77" s="588"/>
      <c r="EJ77" s="510"/>
      <c r="EK77" s="587"/>
      <c r="EL77" s="510"/>
      <c r="EM77" s="510"/>
      <c r="EN77" s="510"/>
      <c r="EO77" s="588"/>
      <c r="EP77" s="588"/>
      <c r="EQ77" s="510"/>
      <c r="ER77" s="587"/>
      <c r="ES77" s="510"/>
      <c r="ET77" s="510"/>
      <c r="EU77" s="510"/>
      <c r="EV77" s="588"/>
      <c r="EW77" s="588"/>
      <c r="EX77" s="510"/>
      <c r="EY77" s="587"/>
      <c r="EZ77" s="510"/>
      <c r="FA77" s="510"/>
      <c r="FB77" s="510"/>
      <c r="FC77" s="588"/>
      <c r="FD77" s="588"/>
      <c r="FE77" s="510"/>
      <c r="FF77" s="587"/>
      <c r="FG77" s="510"/>
      <c r="FH77" s="510"/>
      <c r="FI77" s="510"/>
      <c r="FJ77" s="588"/>
      <c r="FK77" s="588"/>
      <c r="FL77" s="510"/>
      <c r="FM77" s="587"/>
      <c r="FN77" s="510"/>
      <c r="FO77" s="510"/>
      <c r="FP77" s="510"/>
      <c r="FQ77" s="588"/>
      <c r="FR77" s="588"/>
      <c r="FS77" s="510"/>
      <c r="FT77" s="587"/>
      <c r="FU77" s="510"/>
      <c r="FV77" s="510"/>
      <c r="FW77" s="510"/>
      <c r="FX77" s="588"/>
      <c r="FY77" s="588"/>
      <c r="FZ77" s="510"/>
      <c r="GA77" s="587"/>
      <c r="GB77" s="510"/>
      <c r="GC77" s="510"/>
      <c r="GD77" s="510"/>
      <c r="GE77" s="588"/>
      <c r="GF77" s="588"/>
      <c r="GG77" s="510"/>
      <c r="GH77" s="587"/>
      <c r="GI77" s="510"/>
      <c r="GJ77" s="510"/>
      <c r="GK77" s="510"/>
      <c r="GL77" s="588"/>
      <c r="GM77" s="588"/>
      <c r="GN77" s="510"/>
      <c r="GO77" s="587"/>
      <c r="GP77" s="510"/>
      <c r="GQ77" s="510"/>
      <c r="GR77" s="510"/>
      <c r="GS77" s="588"/>
      <c r="GT77" s="588"/>
      <c r="GU77" s="510"/>
      <c r="GV77" s="587"/>
      <c r="GW77" s="510"/>
      <c r="GX77" s="510"/>
      <c r="GY77" s="510"/>
      <c r="GZ77" s="588"/>
      <c r="HA77" s="588"/>
      <c r="HB77" s="510"/>
      <c r="HC77" s="587"/>
      <c r="HD77" s="510"/>
      <c r="HE77" s="510"/>
      <c r="HF77" s="510"/>
      <c r="HG77" s="588"/>
      <c r="HH77" s="588"/>
      <c r="HI77" s="510"/>
      <c r="HJ77" s="587"/>
      <c r="HK77" s="510"/>
      <c r="HL77" s="510"/>
      <c r="HM77" s="510"/>
      <c r="HN77" s="588"/>
      <c r="HO77" s="588"/>
      <c r="HP77" s="510"/>
      <c r="HQ77" s="587"/>
      <c r="HR77" s="510"/>
      <c r="HS77" s="510"/>
      <c r="HT77" s="510"/>
      <c r="HU77" s="588"/>
      <c r="HV77" s="588"/>
      <c r="HW77" s="510"/>
      <c r="HX77" s="587"/>
      <c r="HY77" s="510"/>
      <c r="HZ77" s="510"/>
      <c r="IA77" s="510"/>
      <c r="IB77" s="588"/>
      <c r="IC77" s="588"/>
      <c r="ID77" s="510"/>
      <c r="IE77" s="587"/>
      <c r="IF77" s="510"/>
      <c r="IG77" s="510"/>
      <c r="IH77" s="510"/>
      <c r="II77" s="588"/>
      <c r="IJ77" s="588"/>
      <c r="IK77" s="510"/>
      <c r="IL77" s="587"/>
      <c r="IM77" s="510"/>
      <c r="IN77" s="510"/>
      <c r="IO77" s="510"/>
      <c r="IP77" s="588"/>
      <c r="IQ77" s="588"/>
      <c r="IR77" s="510"/>
      <c r="IS77" s="587"/>
      <c r="IT77" s="510"/>
      <c r="IU77" s="510"/>
      <c r="IV77" s="510"/>
    </row>
    <row r="78" spans="1:256" ht="12.75">
      <c r="A78" s="473" t="s">
        <v>270</v>
      </c>
      <c r="B78" s="507">
        <v>288</v>
      </c>
      <c r="C78" s="507">
        <v>3</v>
      </c>
      <c r="D78" s="507">
        <v>2</v>
      </c>
      <c r="E78" s="40">
        <v>0.6944444444444444</v>
      </c>
      <c r="F78" s="40">
        <v>66.66666666666666</v>
      </c>
      <c r="G78" s="507">
        <v>2</v>
      </c>
      <c r="H78" s="587"/>
      <c r="I78" s="510"/>
      <c r="J78" s="510"/>
      <c r="K78" s="510"/>
      <c r="L78" s="588"/>
      <c r="M78" s="588"/>
      <c r="N78" s="510"/>
      <c r="O78" s="587"/>
      <c r="P78" s="510"/>
      <c r="Q78" s="510"/>
      <c r="R78" s="510"/>
      <c r="S78" s="588"/>
      <c r="T78" s="588"/>
      <c r="U78" s="510"/>
      <c r="V78" s="587"/>
      <c r="W78" s="510"/>
      <c r="X78" s="510"/>
      <c r="Y78" s="510"/>
      <c r="Z78" s="588"/>
      <c r="AA78" s="588"/>
      <c r="AB78" s="510"/>
      <c r="AC78" s="587"/>
      <c r="AD78" s="510"/>
      <c r="AE78" s="510"/>
      <c r="AF78" s="510"/>
      <c r="AG78" s="588"/>
      <c r="AH78" s="588"/>
      <c r="AI78" s="510"/>
      <c r="AJ78" s="587"/>
      <c r="AK78" s="510"/>
      <c r="AL78" s="510"/>
      <c r="AM78" s="510"/>
      <c r="AN78" s="588"/>
      <c r="AO78" s="588"/>
      <c r="AP78" s="510"/>
      <c r="AQ78" s="587"/>
      <c r="AR78" s="510"/>
      <c r="AS78" s="510"/>
      <c r="AT78" s="510"/>
      <c r="AU78" s="588"/>
      <c r="AV78" s="588"/>
      <c r="AW78" s="510"/>
      <c r="AX78" s="587"/>
      <c r="AY78" s="510"/>
      <c r="AZ78" s="510"/>
      <c r="BA78" s="510"/>
      <c r="BB78" s="588"/>
      <c r="BC78" s="588"/>
      <c r="BD78" s="510"/>
      <c r="BE78" s="587"/>
      <c r="BF78" s="510"/>
      <c r="BG78" s="510"/>
      <c r="BH78" s="510"/>
      <c r="BI78" s="588"/>
      <c r="BJ78" s="588"/>
      <c r="BK78" s="510"/>
      <c r="BL78" s="587"/>
      <c r="BM78" s="510"/>
      <c r="BN78" s="510"/>
      <c r="BO78" s="510"/>
      <c r="BP78" s="588"/>
      <c r="BQ78" s="588"/>
      <c r="BR78" s="510"/>
      <c r="BS78" s="587"/>
      <c r="BT78" s="510"/>
      <c r="BU78" s="510"/>
      <c r="BV78" s="510"/>
      <c r="BW78" s="588"/>
      <c r="BX78" s="588"/>
      <c r="BY78" s="510"/>
      <c r="BZ78" s="587"/>
      <c r="CA78" s="510"/>
      <c r="CB78" s="510"/>
      <c r="CC78" s="510"/>
      <c r="CD78" s="588"/>
      <c r="CE78" s="588"/>
      <c r="CF78" s="510"/>
      <c r="CG78" s="587"/>
      <c r="CH78" s="510"/>
      <c r="CI78" s="510"/>
      <c r="CJ78" s="510"/>
      <c r="CK78" s="588"/>
      <c r="CL78" s="588"/>
      <c r="CM78" s="510"/>
      <c r="CN78" s="587"/>
      <c r="CO78" s="510"/>
      <c r="CP78" s="510"/>
      <c r="CQ78" s="510"/>
      <c r="CR78" s="588"/>
      <c r="CS78" s="588"/>
      <c r="CT78" s="510"/>
      <c r="CU78" s="587"/>
      <c r="CV78" s="510"/>
      <c r="CW78" s="510"/>
      <c r="CX78" s="510"/>
      <c r="CY78" s="588"/>
      <c r="CZ78" s="588"/>
      <c r="DA78" s="510"/>
      <c r="DB78" s="587"/>
      <c r="DC78" s="510"/>
      <c r="DD78" s="510"/>
      <c r="DE78" s="510"/>
      <c r="DF78" s="588"/>
      <c r="DG78" s="588"/>
      <c r="DH78" s="510"/>
      <c r="DI78" s="587"/>
      <c r="DJ78" s="510"/>
      <c r="DK78" s="510"/>
      <c r="DL78" s="510"/>
      <c r="DM78" s="588"/>
      <c r="DN78" s="588"/>
      <c r="DO78" s="510"/>
      <c r="DP78" s="587"/>
      <c r="DQ78" s="510"/>
      <c r="DR78" s="510"/>
      <c r="DS78" s="510"/>
      <c r="DT78" s="588"/>
      <c r="DU78" s="588"/>
      <c r="DV78" s="510"/>
      <c r="DW78" s="587"/>
      <c r="DX78" s="510"/>
      <c r="DY78" s="510"/>
      <c r="DZ78" s="510"/>
      <c r="EA78" s="588"/>
      <c r="EB78" s="588"/>
      <c r="EC78" s="510"/>
      <c r="ED78" s="587"/>
      <c r="EE78" s="510"/>
      <c r="EF78" s="510"/>
      <c r="EG78" s="510"/>
      <c r="EH78" s="588"/>
      <c r="EI78" s="588"/>
      <c r="EJ78" s="510"/>
      <c r="EK78" s="587"/>
      <c r="EL78" s="510"/>
      <c r="EM78" s="510"/>
      <c r="EN78" s="510"/>
      <c r="EO78" s="588"/>
      <c r="EP78" s="588"/>
      <c r="EQ78" s="510"/>
      <c r="ER78" s="587"/>
      <c r="ES78" s="510"/>
      <c r="ET78" s="510"/>
      <c r="EU78" s="510"/>
      <c r="EV78" s="588"/>
      <c r="EW78" s="588"/>
      <c r="EX78" s="510"/>
      <c r="EY78" s="587"/>
      <c r="EZ78" s="510"/>
      <c r="FA78" s="510"/>
      <c r="FB78" s="510"/>
      <c r="FC78" s="588"/>
      <c r="FD78" s="588"/>
      <c r="FE78" s="510"/>
      <c r="FF78" s="587"/>
      <c r="FG78" s="510"/>
      <c r="FH78" s="510"/>
      <c r="FI78" s="510"/>
      <c r="FJ78" s="588"/>
      <c r="FK78" s="588"/>
      <c r="FL78" s="510"/>
      <c r="FM78" s="587"/>
      <c r="FN78" s="510"/>
      <c r="FO78" s="510"/>
      <c r="FP78" s="510"/>
      <c r="FQ78" s="588"/>
      <c r="FR78" s="588"/>
      <c r="FS78" s="510"/>
      <c r="FT78" s="587"/>
      <c r="FU78" s="510"/>
      <c r="FV78" s="510"/>
      <c r="FW78" s="510"/>
      <c r="FX78" s="588"/>
      <c r="FY78" s="588"/>
      <c r="FZ78" s="510"/>
      <c r="GA78" s="587"/>
      <c r="GB78" s="510"/>
      <c r="GC78" s="510"/>
      <c r="GD78" s="510"/>
      <c r="GE78" s="588"/>
      <c r="GF78" s="588"/>
      <c r="GG78" s="510"/>
      <c r="GH78" s="587"/>
      <c r="GI78" s="510"/>
      <c r="GJ78" s="510"/>
      <c r="GK78" s="510"/>
      <c r="GL78" s="588"/>
      <c r="GM78" s="588"/>
      <c r="GN78" s="510"/>
      <c r="GO78" s="587"/>
      <c r="GP78" s="510"/>
      <c r="GQ78" s="510"/>
      <c r="GR78" s="510"/>
      <c r="GS78" s="588"/>
      <c r="GT78" s="588"/>
      <c r="GU78" s="510"/>
      <c r="GV78" s="587"/>
      <c r="GW78" s="510"/>
      <c r="GX78" s="510"/>
      <c r="GY78" s="510"/>
      <c r="GZ78" s="588"/>
      <c r="HA78" s="588"/>
      <c r="HB78" s="510"/>
      <c r="HC78" s="587"/>
      <c r="HD78" s="510"/>
      <c r="HE78" s="510"/>
      <c r="HF78" s="510"/>
      <c r="HG78" s="588"/>
      <c r="HH78" s="588"/>
      <c r="HI78" s="510"/>
      <c r="HJ78" s="587"/>
      <c r="HK78" s="510"/>
      <c r="HL78" s="510"/>
      <c r="HM78" s="510"/>
      <c r="HN78" s="588"/>
      <c r="HO78" s="588"/>
      <c r="HP78" s="510"/>
      <c r="HQ78" s="587"/>
      <c r="HR78" s="510"/>
      <c r="HS78" s="510"/>
      <c r="HT78" s="510"/>
      <c r="HU78" s="588"/>
      <c r="HV78" s="588"/>
      <c r="HW78" s="510"/>
      <c r="HX78" s="587"/>
      <c r="HY78" s="510"/>
      <c r="HZ78" s="510"/>
      <c r="IA78" s="510"/>
      <c r="IB78" s="588"/>
      <c r="IC78" s="588"/>
      <c r="ID78" s="510"/>
      <c r="IE78" s="587"/>
      <c r="IF78" s="510"/>
      <c r="IG78" s="510"/>
      <c r="IH78" s="510"/>
      <c r="II78" s="588"/>
      <c r="IJ78" s="588"/>
      <c r="IK78" s="510"/>
      <c r="IL78" s="587"/>
      <c r="IM78" s="510"/>
      <c r="IN78" s="510"/>
      <c r="IO78" s="510"/>
      <c r="IP78" s="588"/>
      <c r="IQ78" s="588"/>
      <c r="IR78" s="510"/>
      <c r="IS78" s="587"/>
      <c r="IT78" s="510"/>
      <c r="IU78" s="510"/>
      <c r="IV78" s="510"/>
    </row>
    <row r="79" spans="1:256" ht="24">
      <c r="A79" s="17" t="s">
        <v>274</v>
      </c>
      <c r="B79" s="248">
        <v>5219</v>
      </c>
      <c r="C79" s="248">
        <v>633</v>
      </c>
      <c r="D79" s="248">
        <v>445</v>
      </c>
      <c r="E79" s="16">
        <v>8.526537650890976</v>
      </c>
      <c r="F79" s="16">
        <v>70.30015797788309</v>
      </c>
      <c r="G79" s="248">
        <v>445</v>
      </c>
      <c r="H79" s="589"/>
      <c r="I79" s="580"/>
      <c r="J79" s="580"/>
      <c r="K79" s="580"/>
      <c r="L79" s="581"/>
      <c r="M79" s="581"/>
      <c r="N79" s="580"/>
      <c r="O79" s="589"/>
      <c r="P79" s="580"/>
      <c r="Q79" s="580"/>
      <c r="R79" s="580"/>
      <c r="S79" s="581"/>
      <c r="T79" s="581"/>
      <c r="U79" s="580"/>
      <c r="V79" s="589"/>
      <c r="W79" s="580"/>
      <c r="X79" s="580"/>
      <c r="Y79" s="580"/>
      <c r="Z79" s="581"/>
      <c r="AA79" s="581"/>
      <c r="AB79" s="580"/>
      <c r="AC79" s="589"/>
      <c r="AD79" s="580"/>
      <c r="AE79" s="580"/>
      <c r="AF79" s="580"/>
      <c r="AG79" s="581"/>
      <c r="AH79" s="581"/>
      <c r="AI79" s="580"/>
      <c r="AJ79" s="589"/>
      <c r="AK79" s="580"/>
      <c r="AL79" s="580"/>
      <c r="AM79" s="580"/>
      <c r="AN79" s="581"/>
      <c r="AO79" s="581"/>
      <c r="AP79" s="580"/>
      <c r="AQ79" s="589"/>
      <c r="AR79" s="580"/>
      <c r="AS79" s="580"/>
      <c r="AT79" s="580"/>
      <c r="AU79" s="581"/>
      <c r="AV79" s="581"/>
      <c r="AW79" s="580"/>
      <c r="AX79" s="589"/>
      <c r="AY79" s="580"/>
      <c r="AZ79" s="580"/>
      <c r="BA79" s="580"/>
      <c r="BB79" s="581"/>
      <c r="BC79" s="581"/>
      <c r="BD79" s="580"/>
      <c r="BE79" s="589"/>
      <c r="BF79" s="580"/>
      <c r="BG79" s="580"/>
      <c r="BH79" s="580"/>
      <c r="BI79" s="581"/>
      <c r="BJ79" s="581"/>
      <c r="BK79" s="580"/>
      <c r="BL79" s="589"/>
      <c r="BM79" s="580"/>
      <c r="BN79" s="580"/>
      <c r="BO79" s="580"/>
      <c r="BP79" s="581"/>
      <c r="BQ79" s="581"/>
      <c r="BR79" s="580"/>
      <c r="BS79" s="589"/>
      <c r="BT79" s="580"/>
      <c r="BU79" s="580"/>
      <c r="BV79" s="580"/>
      <c r="BW79" s="581"/>
      <c r="BX79" s="581"/>
      <c r="BY79" s="580"/>
      <c r="BZ79" s="589"/>
      <c r="CA79" s="580"/>
      <c r="CB79" s="580"/>
      <c r="CC79" s="580"/>
      <c r="CD79" s="581"/>
      <c r="CE79" s="581"/>
      <c r="CF79" s="580"/>
      <c r="CG79" s="589"/>
      <c r="CH79" s="580"/>
      <c r="CI79" s="580"/>
      <c r="CJ79" s="580"/>
      <c r="CK79" s="581"/>
      <c r="CL79" s="581"/>
      <c r="CM79" s="580"/>
      <c r="CN79" s="589"/>
      <c r="CO79" s="580"/>
      <c r="CP79" s="580"/>
      <c r="CQ79" s="580"/>
      <c r="CR79" s="581"/>
      <c r="CS79" s="581"/>
      <c r="CT79" s="580"/>
      <c r="CU79" s="589"/>
      <c r="CV79" s="580"/>
      <c r="CW79" s="580"/>
      <c r="CX79" s="580"/>
      <c r="CY79" s="581"/>
      <c r="CZ79" s="581"/>
      <c r="DA79" s="580"/>
      <c r="DB79" s="589"/>
      <c r="DC79" s="580"/>
      <c r="DD79" s="580"/>
      <c r="DE79" s="580"/>
      <c r="DF79" s="581"/>
      <c r="DG79" s="581"/>
      <c r="DH79" s="580"/>
      <c r="DI79" s="589"/>
      <c r="DJ79" s="580"/>
      <c r="DK79" s="580"/>
      <c r="DL79" s="580"/>
      <c r="DM79" s="581"/>
      <c r="DN79" s="581"/>
      <c r="DO79" s="580"/>
      <c r="DP79" s="589"/>
      <c r="DQ79" s="580"/>
      <c r="DR79" s="580"/>
      <c r="DS79" s="580"/>
      <c r="DT79" s="581"/>
      <c r="DU79" s="581"/>
      <c r="DV79" s="580"/>
      <c r="DW79" s="589"/>
      <c r="DX79" s="580"/>
      <c r="DY79" s="580"/>
      <c r="DZ79" s="580"/>
      <c r="EA79" s="581"/>
      <c r="EB79" s="581"/>
      <c r="EC79" s="580"/>
      <c r="ED79" s="589"/>
      <c r="EE79" s="580"/>
      <c r="EF79" s="580"/>
      <c r="EG79" s="580"/>
      <c r="EH79" s="581"/>
      <c r="EI79" s="581"/>
      <c r="EJ79" s="580"/>
      <c r="EK79" s="589"/>
      <c r="EL79" s="580"/>
      <c r="EM79" s="580"/>
      <c r="EN79" s="580"/>
      <c r="EO79" s="581"/>
      <c r="EP79" s="581"/>
      <c r="EQ79" s="580"/>
      <c r="ER79" s="589"/>
      <c r="ES79" s="580"/>
      <c r="ET79" s="580"/>
      <c r="EU79" s="580"/>
      <c r="EV79" s="581"/>
      <c r="EW79" s="581"/>
      <c r="EX79" s="580"/>
      <c r="EY79" s="589"/>
      <c r="EZ79" s="580"/>
      <c r="FA79" s="580"/>
      <c r="FB79" s="580"/>
      <c r="FC79" s="581"/>
      <c r="FD79" s="581"/>
      <c r="FE79" s="580"/>
      <c r="FF79" s="589"/>
      <c r="FG79" s="580"/>
      <c r="FH79" s="580"/>
      <c r="FI79" s="580"/>
      <c r="FJ79" s="581"/>
      <c r="FK79" s="581"/>
      <c r="FL79" s="580"/>
      <c r="FM79" s="589"/>
      <c r="FN79" s="580"/>
      <c r="FO79" s="580"/>
      <c r="FP79" s="580"/>
      <c r="FQ79" s="581"/>
      <c r="FR79" s="581"/>
      <c r="FS79" s="580"/>
      <c r="FT79" s="589"/>
      <c r="FU79" s="580"/>
      <c r="FV79" s="580"/>
      <c r="FW79" s="580"/>
      <c r="FX79" s="581"/>
      <c r="FY79" s="581"/>
      <c r="FZ79" s="580"/>
      <c r="GA79" s="589"/>
      <c r="GB79" s="580"/>
      <c r="GC79" s="580"/>
      <c r="GD79" s="580"/>
      <c r="GE79" s="581"/>
      <c r="GF79" s="581"/>
      <c r="GG79" s="580"/>
      <c r="GH79" s="589"/>
      <c r="GI79" s="580"/>
      <c r="GJ79" s="580"/>
      <c r="GK79" s="580"/>
      <c r="GL79" s="581"/>
      <c r="GM79" s="581"/>
      <c r="GN79" s="580"/>
      <c r="GO79" s="589"/>
      <c r="GP79" s="580"/>
      <c r="GQ79" s="580"/>
      <c r="GR79" s="580"/>
      <c r="GS79" s="581"/>
      <c r="GT79" s="581"/>
      <c r="GU79" s="580"/>
      <c r="GV79" s="589"/>
      <c r="GW79" s="580"/>
      <c r="GX79" s="580"/>
      <c r="GY79" s="580"/>
      <c r="GZ79" s="581"/>
      <c r="HA79" s="581"/>
      <c r="HB79" s="580"/>
      <c r="HC79" s="589"/>
      <c r="HD79" s="580"/>
      <c r="HE79" s="580"/>
      <c r="HF79" s="580"/>
      <c r="HG79" s="581"/>
      <c r="HH79" s="581"/>
      <c r="HI79" s="580"/>
      <c r="HJ79" s="589"/>
      <c r="HK79" s="580"/>
      <c r="HL79" s="580"/>
      <c r="HM79" s="580"/>
      <c r="HN79" s="581"/>
      <c r="HO79" s="581"/>
      <c r="HP79" s="580"/>
      <c r="HQ79" s="589"/>
      <c r="HR79" s="580"/>
      <c r="HS79" s="580"/>
      <c r="HT79" s="580"/>
      <c r="HU79" s="581"/>
      <c r="HV79" s="581"/>
      <c r="HW79" s="580"/>
      <c r="HX79" s="589"/>
      <c r="HY79" s="580"/>
      <c r="HZ79" s="580"/>
      <c r="IA79" s="580"/>
      <c r="IB79" s="581"/>
      <c r="IC79" s="581"/>
      <c r="ID79" s="580"/>
      <c r="IE79" s="589"/>
      <c r="IF79" s="580"/>
      <c r="IG79" s="580"/>
      <c r="IH79" s="580"/>
      <c r="II79" s="581"/>
      <c r="IJ79" s="581"/>
      <c r="IK79" s="580"/>
      <c r="IL79" s="589"/>
      <c r="IM79" s="580"/>
      <c r="IN79" s="580"/>
      <c r="IO79" s="580"/>
      <c r="IP79" s="581"/>
      <c r="IQ79" s="581"/>
      <c r="IR79" s="580"/>
      <c r="IS79" s="589"/>
      <c r="IT79" s="580"/>
      <c r="IU79" s="580"/>
      <c r="IV79" s="580"/>
    </row>
    <row r="80" spans="1:256" ht="12.75">
      <c r="A80" s="505" t="s">
        <v>272</v>
      </c>
      <c r="B80" s="475">
        <v>4969</v>
      </c>
      <c r="C80" s="475">
        <v>633</v>
      </c>
      <c r="D80" s="475">
        <v>445</v>
      </c>
      <c r="E80" s="506">
        <v>8.955524250352182</v>
      </c>
      <c r="F80" s="506">
        <v>70.30015797788309</v>
      </c>
      <c r="G80" s="475">
        <v>445</v>
      </c>
      <c r="H80" s="584"/>
      <c r="I80" s="585"/>
      <c r="J80" s="585"/>
      <c r="K80" s="585"/>
      <c r="L80" s="586"/>
      <c r="M80" s="586"/>
      <c r="N80" s="585"/>
      <c r="O80" s="584"/>
      <c r="P80" s="585"/>
      <c r="Q80" s="585"/>
      <c r="R80" s="585"/>
      <c r="S80" s="586"/>
      <c r="T80" s="586"/>
      <c r="U80" s="585"/>
      <c r="V80" s="584"/>
      <c r="W80" s="585"/>
      <c r="X80" s="585"/>
      <c r="Y80" s="585"/>
      <c r="Z80" s="586"/>
      <c r="AA80" s="586"/>
      <c r="AB80" s="585"/>
      <c r="AC80" s="584"/>
      <c r="AD80" s="585"/>
      <c r="AE80" s="585"/>
      <c r="AF80" s="585"/>
      <c r="AG80" s="586"/>
      <c r="AH80" s="586"/>
      <c r="AI80" s="585"/>
      <c r="AJ80" s="584"/>
      <c r="AK80" s="585"/>
      <c r="AL80" s="585"/>
      <c r="AM80" s="585"/>
      <c r="AN80" s="586"/>
      <c r="AO80" s="586"/>
      <c r="AP80" s="585"/>
      <c r="AQ80" s="584"/>
      <c r="AR80" s="585"/>
      <c r="AS80" s="585"/>
      <c r="AT80" s="585"/>
      <c r="AU80" s="586"/>
      <c r="AV80" s="586"/>
      <c r="AW80" s="585"/>
      <c r="AX80" s="584"/>
      <c r="AY80" s="585"/>
      <c r="AZ80" s="585"/>
      <c r="BA80" s="585"/>
      <c r="BB80" s="586"/>
      <c r="BC80" s="586"/>
      <c r="BD80" s="585"/>
      <c r="BE80" s="584"/>
      <c r="BF80" s="585"/>
      <c r="BG80" s="585"/>
      <c r="BH80" s="585"/>
      <c r="BI80" s="586"/>
      <c r="BJ80" s="586"/>
      <c r="BK80" s="585"/>
      <c r="BL80" s="584"/>
      <c r="BM80" s="585"/>
      <c r="BN80" s="585"/>
      <c r="BO80" s="585"/>
      <c r="BP80" s="586"/>
      <c r="BQ80" s="586"/>
      <c r="BR80" s="585"/>
      <c r="BS80" s="584"/>
      <c r="BT80" s="585"/>
      <c r="BU80" s="585"/>
      <c r="BV80" s="585"/>
      <c r="BW80" s="586"/>
      <c r="BX80" s="586"/>
      <c r="BY80" s="585"/>
      <c r="BZ80" s="584"/>
      <c r="CA80" s="585"/>
      <c r="CB80" s="585"/>
      <c r="CC80" s="585"/>
      <c r="CD80" s="586"/>
      <c r="CE80" s="586"/>
      <c r="CF80" s="585"/>
      <c r="CG80" s="584"/>
      <c r="CH80" s="585"/>
      <c r="CI80" s="585"/>
      <c r="CJ80" s="585"/>
      <c r="CK80" s="586"/>
      <c r="CL80" s="586"/>
      <c r="CM80" s="585"/>
      <c r="CN80" s="584"/>
      <c r="CO80" s="585"/>
      <c r="CP80" s="585"/>
      <c r="CQ80" s="585"/>
      <c r="CR80" s="586"/>
      <c r="CS80" s="586"/>
      <c r="CT80" s="585"/>
      <c r="CU80" s="584"/>
      <c r="CV80" s="585"/>
      <c r="CW80" s="585"/>
      <c r="CX80" s="585"/>
      <c r="CY80" s="586"/>
      <c r="CZ80" s="586"/>
      <c r="DA80" s="585"/>
      <c r="DB80" s="584"/>
      <c r="DC80" s="585"/>
      <c r="DD80" s="585"/>
      <c r="DE80" s="585"/>
      <c r="DF80" s="586"/>
      <c r="DG80" s="586"/>
      <c r="DH80" s="585"/>
      <c r="DI80" s="584"/>
      <c r="DJ80" s="585"/>
      <c r="DK80" s="585"/>
      <c r="DL80" s="585"/>
      <c r="DM80" s="586"/>
      <c r="DN80" s="586"/>
      <c r="DO80" s="585"/>
      <c r="DP80" s="584"/>
      <c r="DQ80" s="585"/>
      <c r="DR80" s="585"/>
      <c r="DS80" s="585"/>
      <c r="DT80" s="586"/>
      <c r="DU80" s="586"/>
      <c r="DV80" s="585"/>
      <c r="DW80" s="584"/>
      <c r="DX80" s="585"/>
      <c r="DY80" s="585"/>
      <c r="DZ80" s="585"/>
      <c r="EA80" s="586"/>
      <c r="EB80" s="586"/>
      <c r="EC80" s="585"/>
      <c r="ED80" s="584"/>
      <c r="EE80" s="585"/>
      <c r="EF80" s="585"/>
      <c r="EG80" s="585"/>
      <c r="EH80" s="586"/>
      <c r="EI80" s="586"/>
      <c r="EJ80" s="585"/>
      <c r="EK80" s="584"/>
      <c r="EL80" s="585"/>
      <c r="EM80" s="585"/>
      <c r="EN80" s="585"/>
      <c r="EO80" s="586"/>
      <c r="EP80" s="586"/>
      <c r="EQ80" s="585"/>
      <c r="ER80" s="584"/>
      <c r="ES80" s="585"/>
      <c r="ET80" s="585"/>
      <c r="EU80" s="585"/>
      <c r="EV80" s="586"/>
      <c r="EW80" s="586"/>
      <c r="EX80" s="585"/>
      <c r="EY80" s="584"/>
      <c r="EZ80" s="585"/>
      <c r="FA80" s="585"/>
      <c r="FB80" s="585"/>
      <c r="FC80" s="586"/>
      <c r="FD80" s="586"/>
      <c r="FE80" s="585"/>
      <c r="FF80" s="584"/>
      <c r="FG80" s="585"/>
      <c r="FH80" s="585"/>
      <c r="FI80" s="585"/>
      <c r="FJ80" s="586"/>
      <c r="FK80" s="586"/>
      <c r="FL80" s="585"/>
      <c r="FM80" s="584"/>
      <c r="FN80" s="585"/>
      <c r="FO80" s="585"/>
      <c r="FP80" s="585"/>
      <c r="FQ80" s="586"/>
      <c r="FR80" s="586"/>
      <c r="FS80" s="585"/>
      <c r="FT80" s="584"/>
      <c r="FU80" s="585"/>
      <c r="FV80" s="585"/>
      <c r="FW80" s="585"/>
      <c r="FX80" s="586"/>
      <c r="FY80" s="586"/>
      <c r="FZ80" s="585"/>
      <c r="GA80" s="584"/>
      <c r="GB80" s="585"/>
      <c r="GC80" s="585"/>
      <c r="GD80" s="585"/>
      <c r="GE80" s="586"/>
      <c r="GF80" s="586"/>
      <c r="GG80" s="585"/>
      <c r="GH80" s="584"/>
      <c r="GI80" s="585"/>
      <c r="GJ80" s="585"/>
      <c r="GK80" s="585"/>
      <c r="GL80" s="586"/>
      <c r="GM80" s="586"/>
      <c r="GN80" s="585"/>
      <c r="GO80" s="584"/>
      <c r="GP80" s="585"/>
      <c r="GQ80" s="585"/>
      <c r="GR80" s="585"/>
      <c r="GS80" s="586"/>
      <c r="GT80" s="586"/>
      <c r="GU80" s="585"/>
      <c r="GV80" s="584"/>
      <c r="GW80" s="585"/>
      <c r="GX80" s="585"/>
      <c r="GY80" s="585"/>
      <c r="GZ80" s="586"/>
      <c r="HA80" s="586"/>
      <c r="HB80" s="585"/>
      <c r="HC80" s="584"/>
      <c r="HD80" s="585"/>
      <c r="HE80" s="585"/>
      <c r="HF80" s="585"/>
      <c r="HG80" s="586"/>
      <c r="HH80" s="586"/>
      <c r="HI80" s="585"/>
      <c r="HJ80" s="584"/>
      <c r="HK80" s="585"/>
      <c r="HL80" s="585"/>
      <c r="HM80" s="585"/>
      <c r="HN80" s="586"/>
      <c r="HO80" s="586"/>
      <c r="HP80" s="585"/>
      <c r="HQ80" s="584"/>
      <c r="HR80" s="585"/>
      <c r="HS80" s="585"/>
      <c r="HT80" s="585"/>
      <c r="HU80" s="586"/>
      <c r="HV80" s="586"/>
      <c r="HW80" s="585"/>
      <c r="HX80" s="584"/>
      <c r="HY80" s="585"/>
      <c r="HZ80" s="585"/>
      <c r="IA80" s="585"/>
      <c r="IB80" s="586"/>
      <c r="IC80" s="586"/>
      <c r="ID80" s="585"/>
      <c r="IE80" s="584"/>
      <c r="IF80" s="585"/>
      <c r="IG80" s="585"/>
      <c r="IH80" s="585"/>
      <c r="II80" s="586"/>
      <c r="IJ80" s="586"/>
      <c r="IK80" s="585"/>
      <c r="IL80" s="584"/>
      <c r="IM80" s="585"/>
      <c r="IN80" s="585"/>
      <c r="IO80" s="585"/>
      <c r="IP80" s="586"/>
      <c r="IQ80" s="586"/>
      <c r="IR80" s="585"/>
      <c r="IS80" s="584"/>
      <c r="IT80" s="585"/>
      <c r="IU80" s="585"/>
      <c r="IV80" s="585"/>
    </row>
    <row r="81" spans="1:256" ht="12.75">
      <c r="A81" s="473" t="s">
        <v>269</v>
      </c>
      <c r="B81" s="507"/>
      <c r="C81" s="507"/>
      <c r="D81" s="507"/>
      <c r="E81" s="40"/>
      <c r="F81" s="40"/>
      <c r="G81" s="507"/>
      <c r="H81" s="587"/>
      <c r="I81" s="510"/>
      <c r="J81" s="510"/>
      <c r="K81" s="510"/>
      <c r="L81" s="588"/>
      <c r="M81" s="588"/>
      <c r="N81" s="510"/>
      <c r="O81" s="587"/>
      <c r="P81" s="510"/>
      <c r="Q81" s="510"/>
      <c r="R81" s="510"/>
      <c r="S81" s="588"/>
      <c r="T81" s="588"/>
      <c r="U81" s="510"/>
      <c r="V81" s="587"/>
      <c r="W81" s="510"/>
      <c r="X81" s="510"/>
      <c r="Y81" s="510"/>
      <c r="Z81" s="588"/>
      <c r="AA81" s="588"/>
      <c r="AB81" s="510"/>
      <c r="AC81" s="587"/>
      <c r="AD81" s="510"/>
      <c r="AE81" s="510"/>
      <c r="AF81" s="510"/>
      <c r="AG81" s="588"/>
      <c r="AH81" s="588"/>
      <c r="AI81" s="510"/>
      <c r="AJ81" s="587"/>
      <c r="AK81" s="510"/>
      <c r="AL81" s="510"/>
      <c r="AM81" s="510"/>
      <c r="AN81" s="588"/>
      <c r="AO81" s="588"/>
      <c r="AP81" s="510"/>
      <c r="AQ81" s="587"/>
      <c r="AR81" s="510"/>
      <c r="AS81" s="510"/>
      <c r="AT81" s="510"/>
      <c r="AU81" s="588"/>
      <c r="AV81" s="588"/>
      <c r="AW81" s="510"/>
      <c r="AX81" s="587"/>
      <c r="AY81" s="510"/>
      <c r="AZ81" s="510"/>
      <c r="BA81" s="510"/>
      <c r="BB81" s="588"/>
      <c r="BC81" s="588"/>
      <c r="BD81" s="510"/>
      <c r="BE81" s="587"/>
      <c r="BF81" s="510"/>
      <c r="BG81" s="510"/>
      <c r="BH81" s="510"/>
      <c r="BI81" s="588"/>
      <c r="BJ81" s="588"/>
      <c r="BK81" s="510"/>
      <c r="BL81" s="587"/>
      <c r="BM81" s="510"/>
      <c r="BN81" s="510"/>
      <c r="BO81" s="510"/>
      <c r="BP81" s="588"/>
      <c r="BQ81" s="588"/>
      <c r="BR81" s="510"/>
      <c r="BS81" s="587"/>
      <c r="BT81" s="510"/>
      <c r="BU81" s="510"/>
      <c r="BV81" s="510"/>
      <c r="BW81" s="588"/>
      <c r="BX81" s="588"/>
      <c r="BY81" s="510"/>
      <c r="BZ81" s="587"/>
      <c r="CA81" s="510"/>
      <c r="CB81" s="510"/>
      <c r="CC81" s="510"/>
      <c r="CD81" s="588"/>
      <c r="CE81" s="588"/>
      <c r="CF81" s="510"/>
      <c r="CG81" s="587"/>
      <c r="CH81" s="510"/>
      <c r="CI81" s="510"/>
      <c r="CJ81" s="510"/>
      <c r="CK81" s="588"/>
      <c r="CL81" s="588"/>
      <c r="CM81" s="510"/>
      <c r="CN81" s="587"/>
      <c r="CO81" s="510"/>
      <c r="CP81" s="510"/>
      <c r="CQ81" s="510"/>
      <c r="CR81" s="588"/>
      <c r="CS81" s="588"/>
      <c r="CT81" s="510"/>
      <c r="CU81" s="587"/>
      <c r="CV81" s="510"/>
      <c r="CW81" s="510"/>
      <c r="CX81" s="510"/>
      <c r="CY81" s="588"/>
      <c r="CZ81" s="588"/>
      <c r="DA81" s="510"/>
      <c r="DB81" s="587"/>
      <c r="DC81" s="510"/>
      <c r="DD81" s="510"/>
      <c r="DE81" s="510"/>
      <c r="DF81" s="588"/>
      <c r="DG81" s="588"/>
      <c r="DH81" s="510"/>
      <c r="DI81" s="587"/>
      <c r="DJ81" s="510"/>
      <c r="DK81" s="510"/>
      <c r="DL81" s="510"/>
      <c r="DM81" s="588"/>
      <c r="DN81" s="588"/>
      <c r="DO81" s="510"/>
      <c r="DP81" s="587"/>
      <c r="DQ81" s="510"/>
      <c r="DR81" s="510"/>
      <c r="DS81" s="510"/>
      <c r="DT81" s="588"/>
      <c r="DU81" s="588"/>
      <c r="DV81" s="510"/>
      <c r="DW81" s="587"/>
      <c r="DX81" s="510"/>
      <c r="DY81" s="510"/>
      <c r="DZ81" s="510"/>
      <c r="EA81" s="588"/>
      <c r="EB81" s="588"/>
      <c r="EC81" s="510"/>
      <c r="ED81" s="587"/>
      <c r="EE81" s="510"/>
      <c r="EF81" s="510"/>
      <c r="EG81" s="510"/>
      <c r="EH81" s="588"/>
      <c r="EI81" s="588"/>
      <c r="EJ81" s="510"/>
      <c r="EK81" s="587"/>
      <c r="EL81" s="510"/>
      <c r="EM81" s="510"/>
      <c r="EN81" s="510"/>
      <c r="EO81" s="588"/>
      <c r="EP81" s="588"/>
      <c r="EQ81" s="510"/>
      <c r="ER81" s="587"/>
      <c r="ES81" s="510"/>
      <c r="ET81" s="510"/>
      <c r="EU81" s="510"/>
      <c r="EV81" s="588"/>
      <c r="EW81" s="588"/>
      <c r="EX81" s="510"/>
      <c r="EY81" s="587"/>
      <c r="EZ81" s="510"/>
      <c r="FA81" s="510"/>
      <c r="FB81" s="510"/>
      <c r="FC81" s="588"/>
      <c r="FD81" s="588"/>
      <c r="FE81" s="510"/>
      <c r="FF81" s="587"/>
      <c r="FG81" s="510"/>
      <c r="FH81" s="510"/>
      <c r="FI81" s="510"/>
      <c r="FJ81" s="588"/>
      <c r="FK81" s="588"/>
      <c r="FL81" s="510"/>
      <c r="FM81" s="587"/>
      <c r="FN81" s="510"/>
      <c r="FO81" s="510"/>
      <c r="FP81" s="510"/>
      <c r="FQ81" s="588"/>
      <c r="FR81" s="588"/>
      <c r="FS81" s="510"/>
      <c r="FT81" s="587"/>
      <c r="FU81" s="510"/>
      <c r="FV81" s="510"/>
      <c r="FW81" s="510"/>
      <c r="FX81" s="588"/>
      <c r="FY81" s="588"/>
      <c r="FZ81" s="510"/>
      <c r="GA81" s="587"/>
      <c r="GB81" s="510"/>
      <c r="GC81" s="510"/>
      <c r="GD81" s="510"/>
      <c r="GE81" s="588"/>
      <c r="GF81" s="588"/>
      <c r="GG81" s="510"/>
      <c r="GH81" s="587"/>
      <c r="GI81" s="510"/>
      <c r="GJ81" s="510"/>
      <c r="GK81" s="510"/>
      <c r="GL81" s="588"/>
      <c r="GM81" s="588"/>
      <c r="GN81" s="510"/>
      <c r="GO81" s="587"/>
      <c r="GP81" s="510"/>
      <c r="GQ81" s="510"/>
      <c r="GR81" s="510"/>
      <c r="GS81" s="588"/>
      <c r="GT81" s="588"/>
      <c r="GU81" s="510"/>
      <c r="GV81" s="587"/>
      <c r="GW81" s="510"/>
      <c r="GX81" s="510"/>
      <c r="GY81" s="510"/>
      <c r="GZ81" s="588"/>
      <c r="HA81" s="588"/>
      <c r="HB81" s="510"/>
      <c r="HC81" s="587"/>
      <c r="HD81" s="510"/>
      <c r="HE81" s="510"/>
      <c r="HF81" s="510"/>
      <c r="HG81" s="588"/>
      <c r="HH81" s="588"/>
      <c r="HI81" s="510"/>
      <c r="HJ81" s="587"/>
      <c r="HK81" s="510"/>
      <c r="HL81" s="510"/>
      <c r="HM81" s="510"/>
      <c r="HN81" s="588"/>
      <c r="HO81" s="588"/>
      <c r="HP81" s="510"/>
      <c r="HQ81" s="587"/>
      <c r="HR81" s="510"/>
      <c r="HS81" s="510"/>
      <c r="HT81" s="510"/>
      <c r="HU81" s="588"/>
      <c r="HV81" s="588"/>
      <c r="HW81" s="510"/>
      <c r="HX81" s="587"/>
      <c r="HY81" s="510"/>
      <c r="HZ81" s="510"/>
      <c r="IA81" s="510"/>
      <c r="IB81" s="588"/>
      <c r="IC81" s="588"/>
      <c r="ID81" s="510"/>
      <c r="IE81" s="587"/>
      <c r="IF81" s="510"/>
      <c r="IG81" s="510"/>
      <c r="IH81" s="510"/>
      <c r="II81" s="588"/>
      <c r="IJ81" s="588"/>
      <c r="IK81" s="510"/>
      <c r="IL81" s="587"/>
      <c r="IM81" s="510"/>
      <c r="IN81" s="510"/>
      <c r="IO81" s="510"/>
      <c r="IP81" s="588"/>
      <c r="IQ81" s="588"/>
      <c r="IR81" s="510"/>
      <c r="IS81" s="587"/>
      <c r="IT81" s="510"/>
      <c r="IU81" s="510"/>
      <c r="IV81" s="510"/>
    </row>
    <row r="82" spans="1:256" ht="12.75">
      <c r="A82" s="508" t="s">
        <v>270</v>
      </c>
      <c r="B82" s="507">
        <v>4969</v>
      </c>
      <c r="C82" s="507">
        <v>633</v>
      </c>
      <c r="D82" s="507">
        <v>445</v>
      </c>
      <c r="E82" s="40">
        <v>8.955524250352182</v>
      </c>
      <c r="F82" s="40">
        <v>70.30015797788309</v>
      </c>
      <c r="G82" s="507">
        <v>445</v>
      </c>
      <c r="H82" s="590"/>
      <c r="I82" s="510"/>
      <c r="J82" s="510"/>
      <c r="K82" s="510"/>
      <c r="L82" s="588"/>
      <c r="M82" s="588"/>
      <c r="N82" s="510"/>
      <c r="O82" s="590"/>
      <c r="P82" s="510"/>
      <c r="Q82" s="510"/>
      <c r="R82" s="510"/>
      <c r="S82" s="588"/>
      <c r="T82" s="588"/>
      <c r="U82" s="510"/>
      <c r="V82" s="590"/>
      <c r="W82" s="510"/>
      <c r="X82" s="510"/>
      <c r="Y82" s="510"/>
      <c r="Z82" s="588"/>
      <c r="AA82" s="588"/>
      <c r="AB82" s="510"/>
      <c r="AC82" s="590"/>
      <c r="AD82" s="510"/>
      <c r="AE82" s="510"/>
      <c r="AF82" s="510"/>
      <c r="AG82" s="588"/>
      <c r="AH82" s="588"/>
      <c r="AI82" s="510"/>
      <c r="AJ82" s="590"/>
      <c r="AK82" s="510"/>
      <c r="AL82" s="510"/>
      <c r="AM82" s="510"/>
      <c r="AN82" s="588"/>
      <c r="AO82" s="588"/>
      <c r="AP82" s="510"/>
      <c r="AQ82" s="590"/>
      <c r="AR82" s="510"/>
      <c r="AS82" s="510"/>
      <c r="AT82" s="510"/>
      <c r="AU82" s="588"/>
      <c r="AV82" s="588"/>
      <c r="AW82" s="510"/>
      <c r="AX82" s="590"/>
      <c r="AY82" s="510"/>
      <c r="AZ82" s="510"/>
      <c r="BA82" s="510"/>
      <c r="BB82" s="588"/>
      <c r="BC82" s="588"/>
      <c r="BD82" s="510"/>
      <c r="BE82" s="590"/>
      <c r="BF82" s="510"/>
      <c r="BG82" s="510"/>
      <c r="BH82" s="510"/>
      <c r="BI82" s="588"/>
      <c r="BJ82" s="588"/>
      <c r="BK82" s="510"/>
      <c r="BL82" s="590"/>
      <c r="BM82" s="510"/>
      <c r="BN82" s="510"/>
      <c r="BO82" s="510"/>
      <c r="BP82" s="588"/>
      <c r="BQ82" s="588"/>
      <c r="BR82" s="510"/>
      <c r="BS82" s="590"/>
      <c r="BT82" s="510"/>
      <c r="BU82" s="510"/>
      <c r="BV82" s="510"/>
      <c r="BW82" s="588"/>
      <c r="BX82" s="588"/>
      <c r="BY82" s="510"/>
      <c r="BZ82" s="590"/>
      <c r="CA82" s="510"/>
      <c r="CB82" s="510"/>
      <c r="CC82" s="510"/>
      <c r="CD82" s="588"/>
      <c r="CE82" s="588"/>
      <c r="CF82" s="510"/>
      <c r="CG82" s="590"/>
      <c r="CH82" s="510"/>
      <c r="CI82" s="510"/>
      <c r="CJ82" s="510"/>
      <c r="CK82" s="588"/>
      <c r="CL82" s="588"/>
      <c r="CM82" s="510"/>
      <c r="CN82" s="590"/>
      <c r="CO82" s="510"/>
      <c r="CP82" s="510"/>
      <c r="CQ82" s="510"/>
      <c r="CR82" s="588"/>
      <c r="CS82" s="588"/>
      <c r="CT82" s="510"/>
      <c r="CU82" s="590"/>
      <c r="CV82" s="510"/>
      <c r="CW82" s="510"/>
      <c r="CX82" s="510"/>
      <c r="CY82" s="588"/>
      <c r="CZ82" s="588"/>
      <c r="DA82" s="510"/>
      <c r="DB82" s="590"/>
      <c r="DC82" s="510"/>
      <c r="DD82" s="510"/>
      <c r="DE82" s="510"/>
      <c r="DF82" s="588"/>
      <c r="DG82" s="588"/>
      <c r="DH82" s="510"/>
      <c r="DI82" s="590"/>
      <c r="DJ82" s="510"/>
      <c r="DK82" s="510"/>
      <c r="DL82" s="510"/>
      <c r="DM82" s="588"/>
      <c r="DN82" s="588"/>
      <c r="DO82" s="510"/>
      <c r="DP82" s="590"/>
      <c r="DQ82" s="510"/>
      <c r="DR82" s="510"/>
      <c r="DS82" s="510"/>
      <c r="DT82" s="588"/>
      <c r="DU82" s="588"/>
      <c r="DV82" s="510"/>
      <c r="DW82" s="590"/>
      <c r="DX82" s="510"/>
      <c r="DY82" s="510"/>
      <c r="DZ82" s="510"/>
      <c r="EA82" s="588"/>
      <c r="EB82" s="588"/>
      <c r="EC82" s="510"/>
      <c r="ED82" s="590"/>
      <c r="EE82" s="510"/>
      <c r="EF82" s="510"/>
      <c r="EG82" s="510"/>
      <c r="EH82" s="588"/>
      <c r="EI82" s="588"/>
      <c r="EJ82" s="510"/>
      <c r="EK82" s="590"/>
      <c r="EL82" s="510"/>
      <c r="EM82" s="510"/>
      <c r="EN82" s="510"/>
      <c r="EO82" s="588"/>
      <c r="EP82" s="588"/>
      <c r="EQ82" s="510"/>
      <c r="ER82" s="590"/>
      <c r="ES82" s="510"/>
      <c r="ET82" s="510"/>
      <c r="EU82" s="510"/>
      <c r="EV82" s="588"/>
      <c r="EW82" s="588"/>
      <c r="EX82" s="510"/>
      <c r="EY82" s="590"/>
      <c r="EZ82" s="510"/>
      <c r="FA82" s="510"/>
      <c r="FB82" s="510"/>
      <c r="FC82" s="588"/>
      <c r="FD82" s="588"/>
      <c r="FE82" s="510"/>
      <c r="FF82" s="590"/>
      <c r="FG82" s="510"/>
      <c r="FH82" s="510"/>
      <c r="FI82" s="510"/>
      <c r="FJ82" s="588"/>
      <c r="FK82" s="588"/>
      <c r="FL82" s="510"/>
      <c r="FM82" s="590"/>
      <c r="FN82" s="510"/>
      <c r="FO82" s="510"/>
      <c r="FP82" s="510"/>
      <c r="FQ82" s="588"/>
      <c r="FR82" s="588"/>
      <c r="FS82" s="510"/>
      <c r="FT82" s="590"/>
      <c r="FU82" s="510"/>
      <c r="FV82" s="510"/>
      <c r="FW82" s="510"/>
      <c r="FX82" s="588"/>
      <c r="FY82" s="588"/>
      <c r="FZ82" s="510"/>
      <c r="GA82" s="590"/>
      <c r="GB82" s="510"/>
      <c r="GC82" s="510"/>
      <c r="GD82" s="510"/>
      <c r="GE82" s="588"/>
      <c r="GF82" s="588"/>
      <c r="GG82" s="510"/>
      <c r="GH82" s="590"/>
      <c r="GI82" s="510"/>
      <c r="GJ82" s="510"/>
      <c r="GK82" s="510"/>
      <c r="GL82" s="588"/>
      <c r="GM82" s="588"/>
      <c r="GN82" s="510"/>
      <c r="GO82" s="590"/>
      <c r="GP82" s="510"/>
      <c r="GQ82" s="510"/>
      <c r="GR82" s="510"/>
      <c r="GS82" s="588"/>
      <c r="GT82" s="588"/>
      <c r="GU82" s="510"/>
      <c r="GV82" s="590"/>
      <c r="GW82" s="510"/>
      <c r="GX82" s="510"/>
      <c r="GY82" s="510"/>
      <c r="GZ82" s="588"/>
      <c r="HA82" s="588"/>
      <c r="HB82" s="510"/>
      <c r="HC82" s="590"/>
      <c r="HD82" s="510"/>
      <c r="HE82" s="510"/>
      <c r="HF82" s="510"/>
      <c r="HG82" s="588"/>
      <c r="HH82" s="588"/>
      <c r="HI82" s="510"/>
      <c r="HJ82" s="590"/>
      <c r="HK82" s="510"/>
      <c r="HL82" s="510"/>
      <c r="HM82" s="510"/>
      <c r="HN82" s="588"/>
      <c r="HO82" s="588"/>
      <c r="HP82" s="510"/>
      <c r="HQ82" s="590"/>
      <c r="HR82" s="510"/>
      <c r="HS82" s="510"/>
      <c r="HT82" s="510"/>
      <c r="HU82" s="588"/>
      <c r="HV82" s="588"/>
      <c r="HW82" s="510"/>
      <c r="HX82" s="590"/>
      <c r="HY82" s="510"/>
      <c r="HZ82" s="510"/>
      <c r="IA82" s="510"/>
      <c r="IB82" s="588"/>
      <c r="IC82" s="588"/>
      <c r="ID82" s="510"/>
      <c r="IE82" s="590"/>
      <c r="IF82" s="510"/>
      <c r="IG82" s="510"/>
      <c r="IH82" s="510"/>
      <c r="II82" s="588"/>
      <c r="IJ82" s="588"/>
      <c r="IK82" s="510"/>
      <c r="IL82" s="590"/>
      <c r="IM82" s="510"/>
      <c r="IN82" s="510"/>
      <c r="IO82" s="510"/>
      <c r="IP82" s="588"/>
      <c r="IQ82" s="588"/>
      <c r="IR82" s="510"/>
      <c r="IS82" s="590"/>
      <c r="IT82" s="510"/>
      <c r="IU82" s="510"/>
      <c r="IV82" s="510"/>
    </row>
    <row r="83" spans="1:256" ht="12.75">
      <c r="A83" s="505" t="s">
        <v>273</v>
      </c>
      <c r="B83" s="475">
        <v>250</v>
      </c>
      <c r="C83" s="475"/>
      <c r="D83" s="475"/>
      <c r="E83" s="506"/>
      <c r="F83" s="506"/>
      <c r="G83" s="475"/>
      <c r="H83" s="584"/>
      <c r="I83" s="585"/>
      <c r="J83" s="585"/>
      <c r="K83" s="585"/>
      <c r="L83" s="586"/>
      <c r="M83" s="586"/>
      <c r="N83" s="585"/>
      <c r="O83" s="584"/>
      <c r="P83" s="585"/>
      <c r="Q83" s="585"/>
      <c r="R83" s="585"/>
      <c r="S83" s="586"/>
      <c r="T83" s="586"/>
      <c r="U83" s="585"/>
      <c r="V83" s="584"/>
      <c r="W83" s="585"/>
      <c r="X83" s="585"/>
      <c r="Y83" s="585"/>
      <c r="Z83" s="586"/>
      <c r="AA83" s="586"/>
      <c r="AB83" s="585"/>
      <c r="AC83" s="584"/>
      <c r="AD83" s="585"/>
      <c r="AE83" s="585"/>
      <c r="AF83" s="585"/>
      <c r="AG83" s="586"/>
      <c r="AH83" s="586"/>
      <c r="AI83" s="585"/>
      <c r="AJ83" s="584"/>
      <c r="AK83" s="585"/>
      <c r="AL83" s="585"/>
      <c r="AM83" s="585"/>
      <c r="AN83" s="586"/>
      <c r="AO83" s="586"/>
      <c r="AP83" s="585"/>
      <c r="AQ83" s="584"/>
      <c r="AR83" s="585"/>
      <c r="AS83" s="585"/>
      <c r="AT83" s="585"/>
      <c r="AU83" s="586"/>
      <c r="AV83" s="586"/>
      <c r="AW83" s="585"/>
      <c r="AX83" s="584"/>
      <c r="AY83" s="585"/>
      <c r="AZ83" s="585"/>
      <c r="BA83" s="585"/>
      <c r="BB83" s="586"/>
      <c r="BC83" s="586"/>
      <c r="BD83" s="585"/>
      <c r="BE83" s="584"/>
      <c r="BF83" s="585"/>
      <c r="BG83" s="585"/>
      <c r="BH83" s="585"/>
      <c r="BI83" s="586"/>
      <c r="BJ83" s="586"/>
      <c r="BK83" s="585"/>
      <c r="BL83" s="584"/>
      <c r="BM83" s="585"/>
      <c r="BN83" s="585"/>
      <c r="BO83" s="585"/>
      <c r="BP83" s="586"/>
      <c r="BQ83" s="586"/>
      <c r="BR83" s="585"/>
      <c r="BS83" s="584"/>
      <c r="BT83" s="585"/>
      <c r="BU83" s="585"/>
      <c r="BV83" s="585"/>
      <c r="BW83" s="586"/>
      <c r="BX83" s="586"/>
      <c r="BY83" s="585"/>
      <c r="BZ83" s="584"/>
      <c r="CA83" s="585"/>
      <c r="CB83" s="585"/>
      <c r="CC83" s="585"/>
      <c r="CD83" s="586"/>
      <c r="CE83" s="586"/>
      <c r="CF83" s="585"/>
      <c r="CG83" s="584"/>
      <c r="CH83" s="585"/>
      <c r="CI83" s="585"/>
      <c r="CJ83" s="585"/>
      <c r="CK83" s="586"/>
      <c r="CL83" s="586"/>
      <c r="CM83" s="585"/>
      <c r="CN83" s="584"/>
      <c r="CO83" s="585"/>
      <c r="CP83" s="585"/>
      <c r="CQ83" s="585"/>
      <c r="CR83" s="586"/>
      <c r="CS83" s="586"/>
      <c r="CT83" s="585"/>
      <c r="CU83" s="584"/>
      <c r="CV83" s="585"/>
      <c r="CW83" s="585"/>
      <c r="CX83" s="585"/>
      <c r="CY83" s="586"/>
      <c r="CZ83" s="586"/>
      <c r="DA83" s="585"/>
      <c r="DB83" s="584"/>
      <c r="DC83" s="585"/>
      <c r="DD83" s="585"/>
      <c r="DE83" s="585"/>
      <c r="DF83" s="586"/>
      <c r="DG83" s="586"/>
      <c r="DH83" s="585"/>
      <c r="DI83" s="584"/>
      <c r="DJ83" s="585"/>
      <c r="DK83" s="585"/>
      <c r="DL83" s="585"/>
      <c r="DM83" s="586"/>
      <c r="DN83" s="586"/>
      <c r="DO83" s="585"/>
      <c r="DP83" s="584"/>
      <c r="DQ83" s="585"/>
      <c r="DR83" s="585"/>
      <c r="DS83" s="585"/>
      <c r="DT83" s="586"/>
      <c r="DU83" s="586"/>
      <c r="DV83" s="585"/>
      <c r="DW83" s="584"/>
      <c r="DX83" s="585"/>
      <c r="DY83" s="585"/>
      <c r="DZ83" s="585"/>
      <c r="EA83" s="586"/>
      <c r="EB83" s="586"/>
      <c r="EC83" s="585"/>
      <c r="ED83" s="584"/>
      <c r="EE83" s="585"/>
      <c r="EF83" s="585"/>
      <c r="EG83" s="585"/>
      <c r="EH83" s="586"/>
      <c r="EI83" s="586"/>
      <c r="EJ83" s="585"/>
      <c r="EK83" s="584"/>
      <c r="EL83" s="585"/>
      <c r="EM83" s="585"/>
      <c r="EN83" s="585"/>
      <c r="EO83" s="586"/>
      <c r="EP83" s="586"/>
      <c r="EQ83" s="585"/>
      <c r="ER83" s="584"/>
      <c r="ES83" s="585"/>
      <c r="ET83" s="585"/>
      <c r="EU83" s="585"/>
      <c r="EV83" s="586"/>
      <c r="EW83" s="586"/>
      <c r="EX83" s="585"/>
      <c r="EY83" s="584"/>
      <c r="EZ83" s="585"/>
      <c r="FA83" s="585"/>
      <c r="FB83" s="585"/>
      <c r="FC83" s="586"/>
      <c r="FD83" s="586"/>
      <c r="FE83" s="585"/>
      <c r="FF83" s="584"/>
      <c r="FG83" s="585"/>
      <c r="FH83" s="585"/>
      <c r="FI83" s="585"/>
      <c r="FJ83" s="586"/>
      <c r="FK83" s="586"/>
      <c r="FL83" s="585"/>
      <c r="FM83" s="584"/>
      <c r="FN83" s="585"/>
      <c r="FO83" s="585"/>
      <c r="FP83" s="585"/>
      <c r="FQ83" s="586"/>
      <c r="FR83" s="586"/>
      <c r="FS83" s="585"/>
      <c r="FT83" s="584"/>
      <c r="FU83" s="585"/>
      <c r="FV83" s="585"/>
      <c r="FW83" s="585"/>
      <c r="FX83" s="586"/>
      <c r="FY83" s="586"/>
      <c r="FZ83" s="585"/>
      <c r="GA83" s="584"/>
      <c r="GB83" s="585"/>
      <c r="GC83" s="585"/>
      <c r="GD83" s="585"/>
      <c r="GE83" s="586"/>
      <c r="GF83" s="586"/>
      <c r="GG83" s="585"/>
      <c r="GH83" s="584"/>
      <c r="GI83" s="585"/>
      <c r="GJ83" s="585"/>
      <c r="GK83" s="585"/>
      <c r="GL83" s="586"/>
      <c r="GM83" s="586"/>
      <c r="GN83" s="585"/>
      <c r="GO83" s="584"/>
      <c r="GP83" s="585"/>
      <c r="GQ83" s="585"/>
      <c r="GR83" s="585"/>
      <c r="GS83" s="586"/>
      <c r="GT83" s="586"/>
      <c r="GU83" s="585"/>
      <c r="GV83" s="584"/>
      <c r="GW83" s="585"/>
      <c r="GX83" s="585"/>
      <c r="GY83" s="585"/>
      <c r="GZ83" s="586"/>
      <c r="HA83" s="586"/>
      <c r="HB83" s="585"/>
      <c r="HC83" s="584"/>
      <c r="HD83" s="585"/>
      <c r="HE83" s="585"/>
      <c r="HF83" s="585"/>
      <c r="HG83" s="586"/>
      <c r="HH83" s="586"/>
      <c r="HI83" s="585"/>
      <c r="HJ83" s="584"/>
      <c r="HK83" s="585"/>
      <c r="HL83" s="585"/>
      <c r="HM83" s="585"/>
      <c r="HN83" s="586"/>
      <c r="HO83" s="586"/>
      <c r="HP83" s="585"/>
      <c r="HQ83" s="584"/>
      <c r="HR83" s="585"/>
      <c r="HS83" s="585"/>
      <c r="HT83" s="585"/>
      <c r="HU83" s="586"/>
      <c r="HV83" s="586"/>
      <c r="HW83" s="585"/>
      <c r="HX83" s="584"/>
      <c r="HY83" s="585"/>
      <c r="HZ83" s="585"/>
      <c r="IA83" s="585"/>
      <c r="IB83" s="586"/>
      <c r="IC83" s="586"/>
      <c r="ID83" s="585"/>
      <c r="IE83" s="584"/>
      <c r="IF83" s="585"/>
      <c r="IG83" s="585"/>
      <c r="IH83" s="585"/>
      <c r="II83" s="586"/>
      <c r="IJ83" s="586"/>
      <c r="IK83" s="585"/>
      <c r="IL83" s="584"/>
      <c r="IM83" s="585"/>
      <c r="IN83" s="585"/>
      <c r="IO83" s="585"/>
      <c r="IP83" s="586"/>
      <c r="IQ83" s="586"/>
      <c r="IR83" s="585"/>
      <c r="IS83" s="584"/>
      <c r="IT83" s="585"/>
      <c r="IU83" s="585"/>
      <c r="IV83" s="585"/>
    </row>
    <row r="84" spans="1:256" ht="12.75">
      <c r="A84" s="473" t="s">
        <v>269</v>
      </c>
      <c r="B84" s="507"/>
      <c r="C84" s="507"/>
      <c r="D84" s="507"/>
      <c r="E84" s="40"/>
      <c r="F84" s="40"/>
      <c r="G84" s="475"/>
      <c r="H84" s="587"/>
      <c r="I84" s="510"/>
      <c r="J84" s="510"/>
      <c r="K84" s="510"/>
      <c r="L84" s="588"/>
      <c r="M84" s="588"/>
      <c r="N84" s="585"/>
      <c r="O84" s="587"/>
      <c r="P84" s="510"/>
      <c r="Q84" s="510"/>
      <c r="R84" s="510"/>
      <c r="S84" s="588"/>
      <c r="T84" s="588"/>
      <c r="U84" s="585"/>
      <c r="V84" s="587"/>
      <c r="W84" s="510"/>
      <c r="X84" s="510"/>
      <c r="Y84" s="510"/>
      <c r="Z84" s="588"/>
      <c r="AA84" s="588"/>
      <c r="AB84" s="585"/>
      <c r="AC84" s="587"/>
      <c r="AD84" s="510"/>
      <c r="AE84" s="510"/>
      <c r="AF84" s="510"/>
      <c r="AG84" s="588"/>
      <c r="AH84" s="588"/>
      <c r="AI84" s="585"/>
      <c r="AJ84" s="587"/>
      <c r="AK84" s="510"/>
      <c r="AL84" s="510"/>
      <c r="AM84" s="510"/>
      <c r="AN84" s="588"/>
      <c r="AO84" s="588"/>
      <c r="AP84" s="585"/>
      <c r="AQ84" s="587"/>
      <c r="AR84" s="510"/>
      <c r="AS84" s="510"/>
      <c r="AT84" s="510"/>
      <c r="AU84" s="588"/>
      <c r="AV84" s="588"/>
      <c r="AW84" s="585"/>
      <c r="AX84" s="587"/>
      <c r="AY84" s="510"/>
      <c r="AZ84" s="510"/>
      <c r="BA84" s="510"/>
      <c r="BB84" s="588"/>
      <c r="BC84" s="588"/>
      <c r="BD84" s="585"/>
      <c r="BE84" s="587"/>
      <c r="BF84" s="510"/>
      <c r="BG84" s="510"/>
      <c r="BH84" s="510"/>
      <c r="BI84" s="588"/>
      <c r="BJ84" s="588"/>
      <c r="BK84" s="585"/>
      <c r="BL84" s="587"/>
      <c r="BM84" s="510"/>
      <c r="BN84" s="510"/>
      <c r="BO84" s="510"/>
      <c r="BP84" s="588"/>
      <c r="BQ84" s="588"/>
      <c r="BR84" s="585"/>
      <c r="BS84" s="587"/>
      <c r="BT84" s="510"/>
      <c r="BU84" s="510"/>
      <c r="BV84" s="510"/>
      <c r="BW84" s="588"/>
      <c r="BX84" s="588"/>
      <c r="BY84" s="585"/>
      <c r="BZ84" s="587"/>
      <c r="CA84" s="510"/>
      <c r="CB84" s="510"/>
      <c r="CC84" s="510"/>
      <c r="CD84" s="588"/>
      <c r="CE84" s="588"/>
      <c r="CF84" s="585"/>
      <c r="CG84" s="587"/>
      <c r="CH84" s="510"/>
      <c r="CI84" s="510"/>
      <c r="CJ84" s="510"/>
      <c r="CK84" s="588"/>
      <c r="CL84" s="588"/>
      <c r="CM84" s="585"/>
      <c r="CN84" s="587"/>
      <c r="CO84" s="510"/>
      <c r="CP84" s="510"/>
      <c r="CQ84" s="510"/>
      <c r="CR84" s="588"/>
      <c r="CS84" s="588"/>
      <c r="CT84" s="585"/>
      <c r="CU84" s="587"/>
      <c r="CV84" s="510"/>
      <c r="CW84" s="510"/>
      <c r="CX84" s="510"/>
      <c r="CY84" s="588"/>
      <c r="CZ84" s="588"/>
      <c r="DA84" s="585"/>
      <c r="DB84" s="587"/>
      <c r="DC84" s="510"/>
      <c r="DD84" s="510"/>
      <c r="DE84" s="510"/>
      <c r="DF84" s="588"/>
      <c r="DG84" s="588"/>
      <c r="DH84" s="585"/>
      <c r="DI84" s="587"/>
      <c r="DJ84" s="510"/>
      <c r="DK84" s="510"/>
      <c r="DL84" s="510"/>
      <c r="DM84" s="588"/>
      <c r="DN84" s="588"/>
      <c r="DO84" s="585"/>
      <c r="DP84" s="587"/>
      <c r="DQ84" s="510"/>
      <c r="DR84" s="510"/>
      <c r="DS84" s="510"/>
      <c r="DT84" s="588"/>
      <c r="DU84" s="588"/>
      <c r="DV84" s="585"/>
      <c r="DW84" s="587"/>
      <c r="DX84" s="510"/>
      <c r="DY84" s="510"/>
      <c r="DZ84" s="510"/>
      <c r="EA84" s="588"/>
      <c r="EB84" s="588"/>
      <c r="EC84" s="585"/>
      <c r="ED84" s="587"/>
      <c r="EE84" s="510"/>
      <c r="EF84" s="510"/>
      <c r="EG84" s="510"/>
      <c r="EH84" s="588"/>
      <c r="EI84" s="588"/>
      <c r="EJ84" s="585"/>
      <c r="EK84" s="587"/>
      <c r="EL84" s="510"/>
      <c r="EM84" s="510"/>
      <c r="EN84" s="510"/>
      <c r="EO84" s="588"/>
      <c r="EP84" s="588"/>
      <c r="EQ84" s="585"/>
      <c r="ER84" s="587"/>
      <c r="ES84" s="510"/>
      <c r="ET84" s="510"/>
      <c r="EU84" s="510"/>
      <c r="EV84" s="588"/>
      <c r="EW84" s="588"/>
      <c r="EX84" s="585"/>
      <c r="EY84" s="587"/>
      <c r="EZ84" s="510"/>
      <c r="FA84" s="510"/>
      <c r="FB84" s="510"/>
      <c r="FC84" s="588"/>
      <c r="FD84" s="588"/>
      <c r="FE84" s="585"/>
      <c r="FF84" s="587"/>
      <c r="FG84" s="510"/>
      <c r="FH84" s="510"/>
      <c r="FI84" s="510"/>
      <c r="FJ84" s="588"/>
      <c r="FK84" s="588"/>
      <c r="FL84" s="585"/>
      <c r="FM84" s="587"/>
      <c r="FN84" s="510"/>
      <c r="FO84" s="510"/>
      <c r="FP84" s="510"/>
      <c r="FQ84" s="588"/>
      <c r="FR84" s="588"/>
      <c r="FS84" s="585"/>
      <c r="FT84" s="587"/>
      <c r="FU84" s="510"/>
      <c r="FV84" s="510"/>
      <c r="FW84" s="510"/>
      <c r="FX84" s="588"/>
      <c r="FY84" s="588"/>
      <c r="FZ84" s="585"/>
      <c r="GA84" s="587"/>
      <c r="GB84" s="510"/>
      <c r="GC84" s="510"/>
      <c r="GD84" s="510"/>
      <c r="GE84" s="588"/>
      <c r="GF84" s="588"/>
      <c r="GG84" s="585"/>
      <c r="GH84" s="587"/>
      <c r="GI84" s="510"/>
      <c r="GJ84" s="510"/>
      <c r="GK84" s="510"/>
      <c r="GL84" s="588"/>
      <c r="GM84" s="588"/>
      <c r="GN84" s="585"/>
      <c r="GO84" s="587"/>
      <c r="GP84" s="510"/>
      <c r="GQ84" s="510"/>
      <c r="GR84" s="510"/>
      <c r="GS84" s="588"/>
      <c r="GT84" s="588"/>
      <c r="GU84" s="585"/>
      <c r="GV84" s="587"/>
      <c r="GW84" s="510"/>
      <c r="GX84" s="510"/>
      <c r="GY84" s="510"/>
      <c r="GZ84" s="588"/>
      <c r="HA84" s="588"/>
      <c r="HB84" s="585"/>
      <c r="HC84" s="587"/>
      <c r="HD84" s="510"/>
      <c r="HE84" s="510"/>
      <c r="HF84" s="510"/>
      <c r="HG84" s="588"/>
      <c r="HH84" s="588"/>
      <c r="HI84" s="585"/>
      <c r="HJ84" s="587"/>
      <c r="HK84" s="510"/>
      <c r="HL84" s="510"/>
      <c r="HM84" s="510"/>
      <c r="HN84" s="588"/>
      <c r="HO84" s="588"/>
      <c r="HP84" s="585"/>
      <c r="HQ84" s="587"/>
      <c r="HR84" s="510"/>
      <c r="HS84" s="510"/>
      <c r="HT84" s="510"/>
      <c r="HU84" s="588"/>
      <c r="HV84" s="588"/>
      <c r="HW84" s="585"/>
      <c r="HX84" s="587"/>
      <c r="HY84" s="510"/>
      <c r="HZ84" s="510"/>
      <c r="IA84" s="510"/>
      <c r="IB84" s="588"/>
      <c r="IC84" s="588"/>
      <c r="ID84" s="585"/>
      <c r="IE84" s="587"/>
      <c r="IF84" s="510"/>
      <c r="IG84" s="510"/>
      <c r="IH84" s="510"/>
      <c r="II84" s="588"/>
      <c r="IJ84" s="588"/>
      <c r="IK84" s="585"/>
      <c r="IL84" s="587"/>
      <c r="IM84" s="510"/>
      <c r="IN84" s="510"/>
      <c r="IO84" s="510"/>
      <c r="IP84" s="588"/>
      <c r="IQ84" s="588"/>
      <c r="IR84" s="585"/>
      <c r="IS84" s="587"/>
      <c r="IT84" s="510"/>
      <c r="IU84" s="510"/>
      <c r="IV84" s="510"/>
    </row>
    <row r="85" spans="1:256" ht="12.75">
      <c r="A85" s="473" t="s">
        <v>270</v>
      </c>
      <c r="B85" s="507">
        <v>250</v>
      </c>
      <c r="C85" s="507"/>
      <c r="D85" s="507"/>
      <c r="E85" s="40"/>
      <c r="F85" s="40"/>
      <c r="G85" s="507"/>
      <c r="H85" s="587"/>
      <c r="I85" s="510"/>
      <c r="J85" s="510"/>
      <c r="K85" s="510"/>
      <c r="L85" s="588"/>
      <c r="M85" s="588"/>
      <c r="N85" s="510"/>
      <c r="O85" s="587"/>
      <c r="P85" s="510"/>
      <c r="Q85" s="510"/>
      <c r="R85" s="510"/>
      <c r="S85" s="588"/>
      <c r="T85" s="588"/>
      <c r="U85" s="510"/>
      <c r="V85" s="587"/>
      <c r="W85" s="510"/>
      <c r="X85" s="510"/>
      <c r="Y85" s="510"/>
      <c r="Z85" s="588"/>
      <c r="AA85" s="588"/>
      <c r="AB85" s="510"/>
      <c r="AC85" s="587"/>
      <c r="AD85" s="510"/>
      <c r="AE85" s="510"/>
      <c r="AF85" s="510"/>
      <c r="AG85" s="588"/>
      <c r="AH85" s="588"/>
      <c r="AI85" s="510"/>
      <c r="AJ85" s="587"/>
      <c r="AK85" s="510"/>
      <c r="AL85" s="510"/>
      <c r="AM85" s="510"/>
      <c r="AN85" s="588"/>
      <c r="AO85" s="588"/>
      <c r="AP85" s="510"/>
      <c r="AQ85" s="587"/>
      <c r="AR85" s="510"/>
      <c r="AS85" s="510"/>
      <c r="AT85" s="510"/>
      <c r="AU85" s="588"/>
      <c r="AV85" s="588"/>
      <c r="AW85" s="510"/>
      <c r="AX85" s="587"/>
      <c r="AY85" s="510"/>
      <c r="AZ85" s="510"/>
      <c r="BA85" s="510"/>
      <c r="BB85" s="588"/>
      <c r="BC85" s="588"/>
      <c r="BD85" s="510"/>
      <c r="BE85" s="587"/>
      <c r="BF85" s="510"/>
      <c r="BG85" s="510"/>
      <c r="BH85" s="510"/>
      <c r="BI85" s="588"/>
      <c r="BJ85" s="588"/>
      <c r="BK85" s="510"/>
      <c r="BL85" s="587"/>
      <c r="BM85" s="510"/>
      <c r="BN85" s="510"/>
      <c r="BO85" s="510"/>
      <c r="BP85" s="588"/>
      <c r="BQ85" s="588"/>
      <c r="BR85" s="510"/>
      <c r="BS85" s="587"/>
      <c r="BT85" s="510"/>
      <c r="BU85" s="510"/>
      <c r="BV85" s="510"/>
      <c r="BW85" s="588"/>
      <c r="BX85" s="588"/>
      <c r="BY85" s="510"/>
      <c r="BZ85" s="587"/>
      <c r="CA85" s="510"/>
      <c r="CB85" s="510"/>
      <c r="CC85" s="510"/>
      <c r="CD85" s="588"/>
      <c r="CE85" s="588"/>
      <c r="CF85" s="510"/>
      <c r="CG85" s="587"/>
      <c r="CH85" s="510"/>
      <c r="CI85" s="510"/>
      <c r="CJ85" s="510"/>
      <c r="CK85" s="588"/>
      <c r="CL85" s="588"/>
      <c r="CM85" s="510"/>
      <c r="CN85" s="587"/>
      <c r="CO85" s="510"/>
      <c r="CP85" s="510"/>
      <c r="CQ85" s="510"/>
      <c r="CR85" s="588"/>
      <c r="CS85" s="588"/>
      <c r="CT85" s="510"/>
      <c r="CU85" s="587"/>
      <c r="CV85" s="510"/>
      <c r="CW85" s="510"/>
      <c r="CX85" s="510"/>
      <c r="CY85" s="588"/>
      <c r="CZ85" s="588"/>
      <c r="DA85" s="510"/>
      <c r="DB85" s="587"/>
      <c r="DC85" s="510"/>
      <c r="DD85" s="510"/>
      <c r="DE85" s="510"/>
      <c r="DF85" s="588"/>
      <c r="DG85" s="588"/>
      <c r="DH85" s="510"/>
      <c r="DI85" s="587"/>
      <c r="DJ85" s="510"/>
      <c r="DK85" s="510"/>
      <c r="DL85" s="510"/>
      <c r="DM85" s="588"/>
      <c r="DN85" s="588"/>
      <c r="DO85" s="510"/>
      <c r="DP85" s="587"/>
      <c r="DQ85" s="510"/>
      <c r="DR85" s="510"/>
      <c r="DS85" s="510"/>
      <c r="DT85" s="588"/>
      <c r="DU85" s="588"/>
      <c r="DV85" s="510"/>
      <c r="DW85" s="587"/>
      <c r="DX85" s="510"/>
      <c r="DY85" s="510"/>
      <c r="DZ85" s="510"/>
      <c r="EA85" s="588"/>
      <c r="EB85" s="588"/>
      <c r="EC85" s="510"/>
      <c r="ED85" s="587"/>
      <c r="EE85" s="510"/>
      <c r="EF85" s="510"/>
      <c r="EG85" s="510"/>
      <c r="EH85" s="588"/>
      <c r="EI85" s="588"/>
      <c r="EJ85" s="510"/>
      <c r="EK85" s="587"/>
      <c r="EL85" s="510"/>
      <c r="EM85" s="510"/>
      <c r="EN85" s="510"/>
      <c r="EO85" s="588"/>
      <c r="EP85" s="588"/>
      <c r="EQ85" s="510"/>
      <c r="ER85" s="587"/>
      <c r="ES85" s="510"/>
      <c r="ET85" s="510"/>
      <c r="EU85" s="510"/>
      <c r="EV85" s="588"/>
      <c r="EW85" s="588"/>
      <c r="EX85" s="510"/>
      <c r="EY85" s="587"/>
      <c r="EZ85" s="510"/>
      <c r="FA85" s="510"/>
      <c r="FB85" s="510"/>
      <c r="FC85" s="588"/>
      <c r="FD85" s="588"/>
      <c r="FE85" s="510"/>
      <c r="FF85" s="587"/>
      <c r="FG85" s="510"/>
      <c r="FH85" s="510"/>
      <c r="FI85" s="510"/>
      <c r="FJ85" s="588"/>
      <c r="FK85" s="588"/>
      <c r="FL85" s="510"/>
      <c r="FM85" s="587"/>
      <c r="FN85" s="510"/>
      <c r="FO85" s="510"/>
      <c r="FP85" s="510"/>
      <c r="FQ85" s="588"/>
      <c r="FR85" s="588"/>
      <c r="FS85" s="510"/>
      <c r="FT85" s="587"/>
      <c r="FU85" s="510"/>
      <c r="FV85" s="510"/>
      <c r="FW85" s="510"/>
      <c r="FX85" s="588"/>
      <c r="FY85" s="588"/>
      <c r="FZ85" s="510"/>
      <c r="GA85" s="587"/>
      <c r="GB85" s="510"/>
      <c r="GC85" s="510"/>
      <c r="GD85" s="510"/>
      <c r="GE85" s="588"/>
      <c r="GF85" s="588"/>
      <c r="GG85" s="510"/>
      <c r="GH85" s="587"/>
      <c r="GI85" s="510"/>
      <c r="GJ85" s="510"/>
      <c r="GK85" s="510"/>
      <c r="GL85" s="588"/>
      <c r="GM85" s="588"/>
      <c r="GN85" s="510"/>
      <c r="GO85" s="587"/>
      <c r="GP85" s="510"/>
      <c r="GQ85" s="510"/>
      <c r="GR85" s="510"/>
      <c r="GS85" s="588"/>
      <c r="GT85" s="588"/>
      <c r="GU85" s="510"/>
      <c r="GV85" s="587"/>
      <c r="GW85" s="510"/>
      <c r="GX85" s="510"/>
      <c r="GY85" s="510"/>
      <c r="GZ85" s="588"/>
      <c r="HA85" s="588"/>
      <c r="HB85" s="510"/>
      <c r="HC85" s="587"/>
      <c r="HD85" s="510"/>
      <c r="HE85" s="510"/>
      <c r="HF85" s="510"/>
      <c r="HG85" s="588"/>
      <c r="HH85" s="588"/>
      <c r="HI85" s="510"/>
      <c r="HJ85" s="587"/>
      <c r="HK85" s="510"/>
      <c r="HL85" s="510"/>
      <c r="HM85" s="510"/>
      <c r="HN85" s="588"/>
      <c r="HO85" s="588"/>
      <c r="HP85" s="510"/>
      <c r="HQ85" s="587"/>
      <c r="HR85" s="510"/>
      <c r="HS85" s="510"/>
      <c r="HT85" s="510"/>
      <c r="HU85" s="588"/>
      <c r="HV85" s="588"/>
      <c r="HW85" s="510"/>
      <c r="HX85" s="587"/>
      <c r="HY85" s="510"/>
      <c r="HZ85" s="510"/>
      <c r="IA85" s="510"/>
      <c r="IB85" s="588"/>
      <c r="IC85" s="588"/>
      <c r="ID85" s="510"/>
      <c r="IE85" s="587"/>
      <c r="IF85" s="510"/>
      <c r="IG85" s="510"/>
      <c r="IH85" s="510"/>
      <c r="II85" s="588"/>
      <c r="IJ85" s="588"/>
      <c r="IK85" s="510"/>
      <c r="IL85" s="587"/>
      <c r="IM85" s="510"/>
      <c r="IN85" s="510"/>
      <c r="IO85" s="510"/>
      <c r="IP85" s="588"/>
      <c r="IQ85" s="588"/>
      <c r="IR85" s="510"/>
      <c r="IS85" s="587"/>
      <c r="IT85" s="510"/>
      <c r="IU85" s="510"/>
      <c r="IV85" s="510"/>
    </row>
    <row r="86" spans="1:256" ht="12.75">
      <c r="A86" s="509" t="s">
        <v>332</v>
      </c>
      <c r="B86" s="248">
        <v>288</v>
      </c>
      <c r="C86" s="248">
        <v>169</v>
      </c>
      <c r="D86" s="248"/>
      <c r="E86" s="16"/>
      <c r="F86" s="16"/>
      <c r="G86" s="248"/>
      <c r="H86" s="591"/>
      <c r="I86" s="580"/>
      <c r="J86" s="580"/>
      <c r="K86" s="580"/>
      <c r="L86" s="581"/>
      <c r="M86" s="581"/>
      <c r="N86" s="580"/>
      <c r="O86" s="591"/>
      <c r="P86" s="580"/>
      <c r="Q86" s="580"/>
      <c r="R86" s="580"/>
      <c r="S86" s="581"/>
      <c r="T86" s="581"/>
      <c r="U86" s="580"/>
      <c r="V86" s="591"/>
      <c r="W86" s="580"/>
      <c r="X86" s="580"/>
      <c r="Y86" s="580"/>
      <c r="Z86" s="581"/>
      <c r="AA86" s="581"/>
      <c r="AB86" s="580"/>
      <c r="AC86" s="591"/>
      <c r="AD86" s="580"/>
      <c r="AE86" s="580"/>
      <c r="AF86" s="580"/>
      <c r="AG86" s="581"/>
      <c r="AH86" s="581"/>
      <c r="AI86" s="580"/>
      <c r="AJ86" s="591"/>
      <c r="AK86" s="580"/>
      <c r="AL86" s="580"/>
      <c r="AM86" s="580"/>
      <c r="AN86" s="581"/>
      <c r="AO86" s="581"/>
      <c r="AP86" s="580"/>
      <c r="AQ86" s="591"/>
      <c r="AR86" s="580"/>
      <c r="AS86" s="580"/>
      <c r="AT86" s="580"/>
      <c r="AU86" s="581"/>
      <c r="AV86" s="581"/>
      <c r="AW86" s="580"/>
      <c r="AX86" s="591"/>
      <c r="AY86" s="580"/>
      <c r="AZ86" s="580"/>
      <c r="BA86" s="580"/>
      <c r="BB86" s="581"/>
      <c r="BC86" s="581"/>
      <c r="BD86" s="580"/>
      <c r="BE86" s="591"/>
      <c r="BF86" s="580"/>
      <c r="BG86" s="580"/>
      <c r="BH86" s="580"/>
      <c r="BI86" s="581"/>
      <c r="BJ86" s="581"/>
      <c r="BK86" s="580"/>
      <c r="BL86" s="591"/>
      <c r="BM86" s="580"/>
      <c r="BN86" s="580"/>
      <c r="BO86" s="580"/>
      <c r="BP86" s="581"/>
      <c r="BQ86" s="581"/>
      <c r="BR86" s="580"/>
      <c r="BS86" s="591"/>
      <c r="BT86" s="580"/>
      <c r="BU86" s="580"/>
      <c r="BV86" s="580"/>
      <c r="BW86" s="581"/>
      <c r="BX86" s="581"/>
      <c r="BY86" s="580"/>
      <c r="BZ86" s="591"/>
      <c r="CA86" s="580"/>
      <c r="CB86" s="580"/>
      <c r="CC86" s="580"/>
      <c r="CD86" s="581"/>
      <c r="CE86" s="581"/>
      <c r="CF86" s="580"/>
      <c r="CG86" s="591"/>
      <c r="CH86" s="580"/>
      <c r="CI86" s="580"/>
      <c r="CJ86" s="580"/>
      <c r="CK86" s="581"/>
      <c r="CL86" s="581"/>
      <c r="CM86" s="580"/>
      <c r="CN86" s="591"/>
      <c r="CO86" s="580"/>
      <c r="CP86" s="580"/>
      <c r="CQ86" s="580"/>
      <c r="CR86" s="581"/>
      <c r="CS86" s="581"/>
      <c r="CT86" s="580"/>
      <c r="CU86" s="591"/>
      <c r="CV86" s="580"/>
      <c r="CW86" s="580"/>
      <c r="CX86" s="580"/>
      <c r="CY86" s="581"/>
      <c r="CZ86" s="581"/>
      <c r="DA86" s="580"/>
      <c r="DB86" s="591"/>
      <c r="DC86" s="580"/>
      <c r="DD86" s="580"/>
      <c r="DE86" s="580"/>
      <c r="DF86" s="581"/>
      <c r="DG86" s="581"/>
      <c r="DH86" s="580"/>
      <c r="DI86" s="591"/>
      <c r="DJ86" s="580"/>
      <c r="DK86" s="580"/>
      <c r="DL86" s="580"/>
      <c r="DM86" s="581"/>
      <c r="DN86" s="581"/>
      <c r="DO86" s="580"/>
      <c r="DP86" s="591"/>
      <c r="DQ86" s="580"/>
      <c r="DR86" s="580"/>
      <c r="DS86" s="580"/>
      <c r="DT86" s="581"/>
      <c r="DU86" s="581"/>
      <c r="DV86" s="580"/>
      <c r="DW86" s="591"/>
      <c r="DX86" s="580"/>
      <c r="DY86" s="580"/>
      <c r="DZ86" s="580"/>
      <c r="EA86" s="581"/>
      <c r="EB86" s="581"/>
      <c r="EC86" s="580"/>
      <c r="ED86" s="591"/>
      <c r="EE86" s="580"/>
      <c r="EF86" s="580"/>
      <c r="EG86" s="580"/>
      <c r="EH86" s="581"/>
      <c r="EI86" s="581"/>
      <c r="EJ86" s="580"/>
      <c r="EK86" s="591"/>
      <c r="EL86" s="580"/>
      <c r="EM86" s="580"/>
      <c r="EN86" s="580"/>
      <c r="EO86" s="581"/>
      <c r="EP86" s="581"/>
      <c r="EQ86" s="580"/>
      <c r="ER86" s="591"/>
      <c r="ES86" s="580"/>
      <c r="ET86" s="580"/>
      <c r="EU86" s="580"/>
      <c r="EV86" s="581"/>
      <c r="EW86" s="581"/>
      <c r="EX86" s="580"/>
      <c r="EY86" s="591"/>
      <c r="EZ86" s="580"/>
      <c r="FA86" s="580"/>
      <c r="FB86" s="580"/>
      <c r="FC86" s="581"/>
      <c r="FD86" s="581"/>
      <c r="FE86" s="580"/>
      <c r="FF86" s="591"/>
      <c r="FG86" s="580"/>
      <c r="FH86" s="580"/>
      <c r="FI86" s="580"/>
      <c r="FJ86" s="581"/>
      <c r="FK86" s="581"/>
      <c r="FL86" s="580"/>
      <c r="FM86" s="591"/>
      <c r="FN86" s="580"/>
      <c r="FO86" s="580"/>
      <c r="FP86" s="580"/>
      <c r="FQ86" s="581"/>
      <c r="FR86" s="581"/>
      <c r="FS86" s="580"/>
      <c r="FT86" s="591"/>
      <c r="FU86" s="580"/>
      <c r="FV86" s="580"/>
      <c r="FW86" s="580"/>
      <c r="FX86" s="581"/>
      <c r="FY86" s="581"/>
      <c r="FZ86" s="580"/>
      <c r="GA86" s="591"/>
      <c r="GB86" s="580"/>
      <c r="GC86" s="580"/>
      <c r="GD86" s="580"/>
      <c r="GE86" s="581"/>
      <c r="GF86" s="581"/>
      <c r="GG86" s="580"/>
      <c r="GH86" s="591"/>
      <c r="GI86" s="580"/>
      <c r="GJ86" s="580"/>
      <c r="GK86" s="580"/>
      <c r="GL86" s="581"/>
      <c r="GM86" s="581"/>
      <c r="GN86" s="580"/>
      <c r="GO86" s="591"/>
      <c r="GP86" s="580"/>
      <c r="GQ86" s="580"/>
      <c r="GR86" s="580"/>
      <c r="GS86" s="581"/>
      <c r="GT86" s="581"/>
      <c r="GU86" s="580"/>
      <c r="GV86" s="591"/>
      <c r="GW86" s="580"/>
      <c r="GX86" s="580"/>
      <c r="GY86" s="580"/>
      <c r="GZ86" s="581"/>
      <c r="HA86" s="581"/>
      <c r="HB86" s="580"/>
      <c r="HC86" s="591"/>
      <c r="HD86" s="580"/>
      <c r="HE86" s="580"/>
      <c r="HF86" s="580"/>
      <c r="HG86" s="581"/>
      <c r="HH86" s="581"/>
      <c r="HI86" s="580"/>
      <c r="HJ86" s="591"/>
      <c r="HK86" s="580"/>
      <c r="HL86" s="580"/>
      <c r="HM86" s="580"/>
      <c r="HN86" s="581"/>
      <c r="HO86" s="581"/>
      <c r="HP86" s="580"/>
      <c r="HQ86" s="591"/>
      <c r="HR86" s="580"/>
      <c r="HS86" s="580"/>
      <c r="HT86" s="580"/>
      <c r="HU86" s="581"/>
      <c r="HV86" s="581"/>
      <c r="HW86" s="580"/>
      <c r="HX86" s="591"/>
      <c r="HY86" s="580"/>
      <c r="HZ86" s="580"/>
      <c r="IA86" s="580"/>
      <c r="IB86" s="581"/>
      <c r="IC86" s="581"/>
      <c r="ID86" s="580"/>
      <c r="IE86" s="591"/>
      <c r="IF86" s="580"/>
      <c r="IG86" s="580"/>
      <c r="IH86" s="580"/>
      <c r="II86" s="581"/>
      <c r="IJ86" s="581"/>
      <c r="IK86" s="580"/>
      <c r="IL86" s="591"/>
      <c r="IM86" s="580"/>
      <c r="IN86" s="580"/>
      <c r="IO86" s="580"/>
      <c r="IP86" s="581"/>
      <c r="IQ86" s="581"/>
      <c r="IR86" s="580"/>
      <c r="IS86" s="591"/>
      <c r="IT86" s="580"/>
      <c r="IU86" s="580"/>
      <c r="IV86" s="580"/>
    </row>
    <row r="87" spans="1:256" ht="12.75">
      <c r="A87" s="505" t="s">
        <v>272</v>
      </c>
      <c r="B87" s="475">
        <v>261</v>
      </c>
      <c r="C87" s="475">
        <v>169</v>
      </c>
      <c r="D87" s="475"/>
      <c r="E87" s="506"/>
      <c r="F87" s="506"/>
      <c r="G87" s="475"/>
      <c r="H87" s="584"/>
      <c r="I87" s="585"/>
      <c r="J87" s="585"/>
      <c r="K87" s="585"/>
      <c r="L87" s="586"/>
      <c r="M87" s="586"/>
      <c r="N87" s="585"/>
      <c r="O87" s="584"/>
      <c r="P87" s="585"/>
      <c r="Q87" s="585"/>
      <c r="R87" s="585"/>
      <c r="S87" s="586"/>
      <c r="T87" s="586"/>
      <c r="U87" s="585"/>
      <c r="V87" s="584"/>
      <c r="W87" s="585"/>
      <c r="X87" s="585"/>
      <c r="Y87" s="585"/>
      <c r="Z87" s="586"/>
      <c r="AA87" s="586"/>
      <c r="AB87" s="585"/>
      <c r="AC87" s="584"/>
      <c r="AD87" s="585"/>
      <c r="AE87" s="585"/>
      <c r="AF87" s="585"/>
      <c r="AG87" s="586"/>
      <c r="AH87" s="586"/>
      <c r="AI87" s="585"/>
      <c r="AJ87" s="584"/>
      <c r="AK87" s="585"/>
      <c r="AL87" s="585"/>
      <c r="AM87" s="585"/>
      <c r="AN87" s="586"/>
      <c r="AO87" s="586"/>
      <c r="AP87" s="585"/>
      <c r="AQ87" s="584"/>
      <c r="AR87" s="585"/>
      <c r="AS87" s="585"/>
      <c r="AT87" s="585"/>
      <c r="AU87" s="586"/>
      <c r="AV87" s="586"/>
      <c r="AW87" s="585"/>
      <c r="AX87" s="584"/>
      <c r="AY87" s="585"/>
      <c r="AZ87" s="585"/>
      <c r="BA87" s="585"/>
      <c r="BB87" s="586"/>
      <c r="BC87" s="586"/>
      <c r="BD87" s="585"/>
      <c r="BE87" s="584"/>
      <c r="BF87" s="585"/>
      <c r="BG87" s="585"/>
      <c r="BH87" s="585"/>
      <c r="BI87" s="586"/>
      <c r="BJ87" s="586"/>
      <c r="BK87" s="585"/>
      <c r="BL87" s="584"/>
      <c r="BM87" s="585"/>
      <c r="BN87" s="585"/>
      <c r="BO87" s="585"/>
      <c r="BP87" s="586"/>
      <c r="BQ87" s="586"/>
      <c r="BR87" s="585"/>
      <c r="BS87" s="584"/>
      <c r="BT87" s="585"/>
      <c r="BU87" s="585"/>
      <c r="BV87" s="585"/>
      <c r="BW87" s="586"/>
      <c r="BX87" s="586"/>
      <c r="BY87" s="585"/>
      <c r="BZ87" s="584"/>
      <c r="CA87" s="585"/>
      <c r="CB87" s="585"/>
      <c r="CC87" s="585"/>
      <c r="CD87" s="586"/>
      <c r="CE87" s="586"/>
      <c r="CF87" s="585"/>
      <c r="CG87" s="584"/>
      <c r="CH87" s="585"/>
      <c r="CI87" s="585"/>
      <c r="CJ87" s="585"/>
      <c r="CK87" s="586"/>
      <c r="CL87" s="586"/>
      <c r="CM87" s="585"/>
      <c r="CN87" s="584"/>
      <c r="CO87" s="585"/>
      <c r="CP87" s="585"/>
      <c r="CQ87" s="585"/>
      <c r="CR87" s="586"/>
      <c r="CS87" s="586"/>
      <c r="CT87" s="585"/>
      <c r="CU87" s="584"/>
      <c r="CV87" s="585"/>
      <c r="CW87" s="585"/>
      <c r="CX87" s="585"/>
      <c r="CY87" s="586"/>
      <c r="CZ87" s="586"/>
      <c r="DA87" s="585"/>
      <c r="DB87" s="584"/>
      <c r="DC87" s="585"/>
      <c r="DD87" s="585"/>
      <c r="DE87" s="585"/>
      <c r="DF87" s="586"/>
      <c r="DG87" s="586"/>
      <c r="DH87" s="585"/>
      <c r="DI87" s="584"/>
      <c r="DJ87" s="585"/>
      <c r="DK87" s="585"/>
      <c r="DL87" s="585"/>
      <c r="DM87" s="586"/>
      <c r="DN87" s="586"/>
      <c r="DO87" s="585"/>
      <c r="DP87" s="584"/>
      <c r="DQ87" s="585"/>
      <c r="DR87" s="585"/>
      <c r="DS87" s="585"/>
      <c r="DT87" s="586"/>
      <c r="DU87" s="586"/>
      <c r="DV87" s="585"/>
      <c r="DW87" s="584"/>
      <c r="DX87" s="585"/>
      <c r="DY87" s="585"/>
      <c r="DZ87" s="585"/>
      <c r="EA87" s="586"/>
      <c r="EB87" s="586"/>
      <c r="EC87" s="585"/>
      <c r="ED87" s="584"/>
      <c r="EE87" s="585"/>
      <c r="EF87" s="585"/>
      <c r="EG87" s="585"/>
      <c r="EH87" s="586"/>
      <c r="EI87" s="586"/>
      <c r="EJ87" s="585"/>
      <c r="EK87" s="584"/>
      <c r="EL87" s="585"/>
      <c r="EM87" s="585"/>
      <c r="EN87" s="585"/>
      <c r="EO87" s="586"/>
      <c r="EP87" s="586"/>
      <c r="EQ87" s="585"/>
      <c r="ER87" s="584"/>
      <c r="ES87" s="585"/>
      <c r="ET87" s="585"/>
      <c r="EU87" s="585"/>
      <c r="EV87" s="586"/>
      <c r="EW87" s="586"/>
      <c r="EX87" s="585"/>
      <c r="EY87" s="584"/>
      <c r="EZ87" s="585"/>
      <c r="FA87" s="585"/>
      <c r="FB87" s="585"/>
      <c r="FC87" s="586"/>
      <c r="FD87" s="586"/>
      <c r="FE87" s="585"/>
      <c r="FF87" s="584"/>
      <c r="FG87" s="585"/>
      <c r="FH87" s="585"/>
      <c r="FI87" s="585"/>
      <c r="FJ87" s="586"/>
      <c r="FK87" s="586"/>
      <c r="FL87" s="585"/>
      <c r="FM87" s="584"/>
      <c r="FN87" s="585"/>
      <c r="FO87" s="585"/>
      <c r="FP87" s="585"/>
      <c r="FQ87" s="586"/>
      <c r="FR87" s="586"/>
      <c r="FS87" s="585"/>
      <c r="FT87" s="584"/>
      <c r="FU87" s="585"/>
      <c r="FV87" s="585"/>
      <c r="FW87" s="585"/>
      <c r="FX87" s="586"/>
      <c r="FY87" s="586"/>
      <c r="FZ87" s="585"/>
      <c r="GA87" s="584"/>
      <c r="GB87" s="585"/>
      <c r="GC87" s="585"/>
      <c r="GD87" s="585"/>
      <c r="GE87" s="586"/>
      <c r="GF87" s="586"/>
      <c r="GG87" s="585"/>
      <c r="GH87" s="584"/>
      <c r="GI87" s="585"/>
      <c r="GJ87" s="585"/>
      <c r="GK87" s="585"/>
      <c r="GL87" s="586"/>
      <c r="GM87" s="586"/>
      <c r="GN87" s="585"/>
      <c r="GO87" s="584"/>
      <c r="GP87" s="585"/>
      <c r="GQ87" s="585"/>
      <c r="GR87" s="585"/>
      <c r="GS87" s="586"/>
      <c r="GT87" s="586"/>
      <c r="GU87" s="585"/>
      <c r="GV87" s="584"/>
      <c r="GW87" s="585"/>
      <c r="GX87" s="585"/>
      <c r="GY87" s="585"/>
      <c r="GZ87" s="586"/>
      <c r="HA87" s="586"/>
      <c r="HB87" s="585"/>
      <c r="HC87" s="584"/>
      <c r="HD87" s="585"/>
      <c r="HE87" s="585"/>
      <c r="HF87" s="585"/>
      <c r="HG87" s="586"/>
      <c r="HH87" s="586"/>
      <c r="HI87" s="585"/>
      <c r="HJ87" s="584"/>
      <c r="HK87" s="585"/>
      <c r="HL87" s="585"/>
      <c r="HM87" s="585"/>
      <c r="HN87" s="586"/>
      <c r="HO87" s="586"/>
      <c r="HP87" s="585"/>
      <c r="HQ87" s="584"/>
      <c r="HR87" s="585"/>
      <c r="HS87" s="585"/>
      <c r="HT87" s="585"/>
      <c r="HU87" s="586"/>
      <c r="HV87" s="586"/>
      <c r="HW87" s="585"/>
      <c r="HX87" s="584"/>
      <c r="HY87" s="585"/>
      <c r="HZ87" s="585"/>
      <c r="IA87" s="585"/>
      <c r="IB87" s="586"/>
      <c r="IC87" s="586"/>
      <c r="ID87" s="585"/>
      <c r="IE87" s="584"/>
      <c r="IF87" s="585"/>
      <c r="IG87" s="585"/>
      <c r="IH87" s="585"/>
      <c r="II87" s="586"/>
      <c r="IJ87" s="586"/>
      <c r="IK87" s="585"/>
      <c r="IL87" s="584"/>
      <c r="IM87" s="585"/>
      <c r="IN87" s="585"/>
      <c r="IO87" s="585"/>
      <c r="IP87" s="586"/>
      <c r="IQ87" s="586"/>
      <c r="IR87" s="585"/>
      <c r="IS87" s="584"/>
      <c r="IT87" s="585"/>
      <c r="IU87" s="585"/>
      <c r="IV87" s="585"/>
    </row>
    <row r="88" spans="1:256" ht="12.75">
      <c r="A88" s="473" t="s">
        <v>269</v>
      </c>
      <c r="B88" s="507">
        <v>261</v>
      </c>
      <c r="C88" s="507">
        <v>169</v>
      </c>
      <c r="D88" s="507"/>
      <c r="E88" s="40"/>
      <c r="F88" s="40"/>
      <c r="G88" s="507"/>
      <c r="H88" s="587"/>
      <c r="I88" s="510"/>
      <c r="J88" s="510"/>
      <c r="K88" s="510"/>
      <c r="L88" s="588"/>
      <c r="M88" s="588"/>
      <c r="N88" s="510"/>
      <c r="O88" s="587"/>
      <c r="P88" s="510"/>
      <c r="Q88" s="510"/>
      <c r="R88" s="510"/>
      <c r="S88" s="588"/>
      <c r="T88" s="588"/>
      <c r="U88" s="510"/>
      <c r="V88" s="587"/>
      <c r="W88" s="510"/>
      <c r="X88" s="510"/>
      <c r="Y88" s="510"/>
      <c r="Z88" s="588"/>
      <c r="AA88" s="588"/>
      <c r="AB88" s="510"/>
      <c r="AC88" s="587"/>
      <c r="AD88" s="510"/>
      <c r="AE88" s="510"/>
      <c r="AF88" s="510"/>
      <c r="AG88" s="588"/>
      <c r="AH88" s="588"/>
      <c r="AI88" s="510"/>
      <c r="AJ88" s="587"/>
      <c r="AK88" s="510"/>
      <c r="AL88" s="510"/>
      <c r="AM88" s="510"/>
      <c r="AN88" s="588"/>
      <c r="AO88" s="588"/>
      <c r="AP88" s="510"/>
      <c r="AQ88" s="587"/>
      <c r="AR88" s="510"/>
      <c r="AS88" s="510"/>
      <c r="AT88" s="510"/>
      <c r="AU88" s="588"/>
      <c r="AV88" s="588"/>
      <c r="AW88" s="510"/>
      <c r="AX88" s="587"/>
      <c r="AY88" s="510"/>
      <c r="AZ88" s="510"/>
      <c r="BA88" s="510"/>
      <c r="BB88" s="588"/>
      <c r="BC88" s="588"/>
      <c r="BD88" s="510"/>
      <c r="BE88" s="587"/>
      <c r="BF88" s="510"/>
      <c r="BG88" s="510"/>
      <c r="BH88" s="510"/>
      <c r="BI88" s="588"/>
      <c r="BJ88" s="588"/>
      <c r="BK88" s="510"/>
      <c r="BL88" s="587"/>
      <c r="BM88" s="510"/>
      <c r="BN88" s="510"/>
      <c r="BO88" s="510"/>
      <c r="BP88" s="588"/>
      <c r="BQ88" s="588"/>
      <c r="BR88" s="510"/>
      <c r="BS88" s="587"/>
      <c r="BT88" s="510"/>
      <c r="BU88" s="510"/>
      <c r="BV88" s="510"/>
      <c r="BW88" s="588"/>
      <c r="BX88" s="588"/>
      <c r="BY88" s="510"/>
      <c r="BZ88" s="587"/>
      <c r="CA88" s="510"/>
      <c r="CB88" s="510"/>
      <c r="CC88" s="510"/>
      <c r="CD88" s="588"/>
      <c r="CE88" s="588"/>
      <c r="CF88" s="510"/>
      <c r="CG88" s="587"/>
      <c r="CH88" s="510"/>
      <c r="CI88" s="510"/>
      <c r="CJ88" s="510"/>
      <c r="CK88" s="588"/>
      <c r="CL88" s="588"/>
      <c r="CM88" s="510"/>
      <c r="CN88" s="587"/>
      <c r="CO88" s="510"/>
      <c r="CP88" s="510"/>
      <c r="CQ88" s="510"/>
      <c r="CR88" s="588"/>
      <c r="CS88" s="588"/>
      <c r="CT88" s="510"/>
      <c r="CU88" s="587"/>
      <c r="CV88" s="510"/>
      <c r="CW88" s="510"/>
      <c r="CX88" s="510"/>
      <c r="CY88" s="588"/>
      <c r="CZ88" s="588"/>
      <c r="DA88" s="510"/>
      <c r="DB88" s="587"/>
      <c r="DC88" s="510"/>
      <c r="DD88" s="510"/>
      <c r="DE88" s="510"/>
      <c r="DF88" s="588"/>
      <c r="DG88" s="588"/>
      <c r="DH88" s="510"/>
      <c r="DI88" s="587"/>
      <c r="DJ88" s="510"/>
      <c r="DK88" s="510"/>
      <c r="DL88" s="510"/>
      <c r="DM88" s="588"/>
      <c r="DN88" s="588"/>
      <c r="DO88" s="510"/>
      <c r="DP88" s="587"/>
      <c r="DQ88" s="510"/>
      <c r="DR88" s="510"/>
      <c r="DS88" s="510"/>
      <c r="DT88" s="588"/>
      <c r="DU88" s="588"/>
      <c r="DV88" s="510"/>
      <c r="DW88" s="587"/>
      <c r="DX88" s="510"/>
      <c r="DY88" s="510"/>
      <c r="DZ88" s="510"/>
      <c r="EA88" s="588"/>
      <c r="EB88" s="588"/>
      <c r="EC88" s="510"/>
      <c r="ED88" s="587"/>
      <c r="EE88" s="510"/>
      <c r="EF88" s="510"/>
      <c r="EG88" s="510"/>
      <c r="EH88" s="588"/>
      <c r="EI88" s="588"/>
      <c r="EJ88" s="510"/>
      <c r="EK88" s="587"/>
      <c r="EL88" s="510"/>
      <c r="EM88" s="510"/>
      <c r="EN88" s="510"/>
      <c r="EO88" s="588"/>
      <c r="EP88" s="588"/>
      <c r="EQ88" s="510"/>
      <c r="ER88" s="587"/>
      <c r="ES88" s="510"/>
      <c r="ET88" s="510"/>
      <c r="EU88" s="510"/>
      <c r="EV88" s="588"/>
      <c r="EW88" s="588"/>
      <c r="EX88" s="510"/>
      <c r="EY88" s="587"/>
      <c r="EZ88" s="510"/>
      <c r="FA88" s="510"/>
      <c r="FB88" s="510"/>
      <c r="FC88" s="588"/>
      <c r="FD88" s="588"/>
      <c r="FE88" s="510"/>
      <c r="FF88" s="587"/>
      <c r="FG88" s="510"/>
      <c r="FH88" s="510"/>
      <c r="FI88" s="510"/>
      <c r="FJ88" s="588"/>
      <c r="FK88" s="588"/>
      <c r="FL88" s="510"/>
      <c r="FM88" s="587"/>
      <c r="FN88" s="510"/>
      <c r="FO88" s="510"/>
      <c r="FP88" s="510"/>
      <c r="FQ88" s="588"/>
      <c r="FR88" s="588"/>
      <c r="FS88" s="510"/>
      <c r="FT88" s="587"/>
      <c r="FU88" s="510"/>
      <c r="FV88" s="510"/>
      <c r="FW88" s="510"/>
      <c r="FX88" s="588"/>
      <c r="FY88" s="588"/>
      <c r="FZ88" s="510"/>
      <c r="GA88" s="587"/>
      <c r="GB88" s="510"/>
      <c r="GC88" s="510"/>
      <c r="GD88" s="510"/>
      <c r="GE88" s="588"/>
      <c r="GF88" s="588"/>
      <c r="GG88" s="510"/>
      <c r="GH88" s="587"/>
      <c r="GI88" s="510"/>
      <c r="GJ88" s="510"/>
      <c r="GK88" s="510"/>
      <c r="GL88" s="588"/>
      <c r="GM88" s="588"/>
      <c r="GN88" s="510"/>
      <c r="GO88" s="587"/>
      <c r="GP88" s="510"/>
      <c r="GQ88" s="510"/>
      <c r="GR88" s="510"/>
      <c r="GS88" s="588"/>
      <c r="GT88" s="588"/>
      <c r="GU88" s="510"/>
      <c r="GV88" s="587"/>
      <c r="GW88" s="510"/>
      <c r="GX88" s="510"/>
      <c r="GY88" s="510"/>
      <c r="GZ88" s="588"/>
      <c r="HA88" s="588"/>
      <c r="HB88" s="510"/>
      <c r="HC88" s="587"/>
      <c r="HD88" s="510"/>
      <c r="HE88" s="510"/>
      <c r="HF88" s="510"/>
      <c r="HG88" s="588"/>
      <c r="HH88" s="588"/>
      <c r="HI88" s="510"/>
      <c r="HJ88" s="587"/>
      <c r="HK88" s="510"/>
      <c r="HL88" s="510"/>
      <c r="HM88" s="510"/>
      <c r="HN88" s="588"/>
      <c r="HO88" s="588"/>
      <c r="HP88" s="510"/>
      <c r="HQ88" s="587"/>
      <c r="HR88" s="510"/>
      <c r="HS88" s="510"/>
      <c r="HT88" s="510"/>
      <c r="HU88" s="588"/>
      <c r="HV88" s="588"/>
      <c r="HW88" s="510"/>
      <c r="HX88" s="587"/>
      <c r="HY88" s="510"/>
      <c r="HZ88" s="510"/>
      <c r="IA88" s="510"/>
      <c r="IB88" s="588"/>
      <c r="IC88" s="588"/>
      <c r="ID88" s="510"/>
      <c r="IE88" s="587"/>
      <c r="IF88" s="510"/>
      <c r="IG88" s="510"/>
      <c r="IH88" s="510"/>
      <c r="II88" s="588"/>
      <c r="IJ88" s="588"/>
      <c r="IK88" s="510"/>
      <c r="IL88" s="587"/>
      <c r="IM88" s="510"/>
      <c r="IN88" s="510"/>
      <c r="IO88" s="510"/>
      <c r="IP88" s="588"/>
      <c r="IQ88" s="588"/>
      <c r="IR88" s="510"/>
      <c r="IS88" s="587"/>
      <c r="IT88" s="510"/>
      <c r="IU88" s="510"/>
      <c r="IV88" s="510"/>
    </row>
    <row r="89" spans="1:256" ht="12.75">
      <c r="A89" s="505" t="s">
        <v>273</v>
      </c>
      <c r="B89" s="475">
        <v>27</v>
      </c>
      <c r="C89" s="475"/>
      <c r="D89" s="475"/>
      <c r="E89" s="506"/>
      <c r="F89" s="506"/>
      <c r="G89" s="475"/>
      <c r="H89" s="584"/>
      <c r="I89" s="585"/>
      <c r="J89" s="585"/>
      <c r="K89" s="585"/>
      <c r="L89" s="586"/>
      <c r="M89" s="586"/>
      <c r="N89" s="585"/>
      <c r="O89" s="584"/>
      <c r="P89" s="585"/>
      <c r="Q89" s="585"/>
      <c r="R89" s="585"/>
      <c r="S89" s="586"/>
      <c r="T89" s="586"/>
      <c r="U89" s="585"/>
      <c r="V89" s="584"/>
      <c r="W89" s="585"/>
      <c r="X89" s="585"/>
      <c r="Y89" s="585"/>
      <c r="Z89" s="586"/>
      <c r="AA89" s="586"/>
      <c r="AB89" s="585"/>
      <c r="AC89" s="584"/>
      <c r="AD89" s="585"/>
      <c r="AE89" s="585"/>
      <c r="AF89" s="585"/>
      <c r="AG89" s="586"/>
      <c r="AH89" s="586"/>
      <c r="AI89" s="585"/>
      <c r="AJ89" s="584"/>
      <c r="AK89" s="585"/>
      <c r="AL89" s="585"/>
      <c r="AM89" s="585"/>
      <c r="AN89" s="586"/>
      <c r="AO89" s="586"/>
      <c r="AP89" s="585"/>
      <c r="AQ89" s="584"/>
      <c r="AR89" s="585"/>
      <c r="AS89" s="585"/>
      <c r="AT89" s="585"/>
      <c r="AU89" s="586"/>
      <c r="AV89" s="586"/>
      <c r="AW89" s="585"/>
      <c r="AX89" s="584"/>
      <c r="AY89" s="585"/>
      <c r="AZ89" s="585"/>
      <c r="BA89" s="585"/>
      <c r="BB89" s="586"/>
      <c r="BC89" s="586"/>
      <c r="BD89" s="585"/>
      <c r="BE89" s="584"/>
      <c r="BF89" s="585"/>
      <c r="BG89" s="585"/>
      <c r="BH89" s="585"/>
      <c r="BI89" s="586"/>
      <c r="BJ89" s="586"/>
      <c r="BK89" s="585"/>
      <c r="BL89" s="584"/>
      <c r="BM89" s="585"/>
      <c r="BN89" s="585"/>
      <c r="BO89" s="585"/>
      <c r="BP89" s="586"/>
      <c r="BQ89" s="586"/>
      <c r="BR89" s="585"/>
      <c r="BS89" s="584"/>
      <c r="BT89" s="585"/>
      <c r="BU89" s="585"/>
      <c r="BV89" s="585"/>
      <c r="BW89" s="586"/>
      <c r="BX89" s="586"/>
      <c r="BY89" s="585"/>
      <c r="BZ89" s="584"/>
      <c r="CA89" s="585"/>
      <c r="CB89" s="585"/>
      <c r="CC89" s="585"/>
      <c r="CD89" s="586"/>
      <c r="CE89" s="586"/>
      <c r="CF89" s="585"/>
      <c r="CG89" s="584"/>
      <c r="CH89" s="585"/>
      <c r="CI89" s="585"/>
      <c r="CJ89" s="585"/>
      <c r="CK89" s="586"/>
      <c r="CL89" s="586"/>
      <c r="CM89" s="585"/>
      <c r="CN89" s="584"/>
      <c r="CO89" s="585"/>
      <c r="CP89" s="585"/>
      <c r="CQ89" s="585"/>
      <c r="CR89" s="586"/>
      <c r="CS89" s="586"/>
      <c r="CT89" s="585"/>
      <c r="CU89" s="584"/>
      <c r="CV89" s="585"/>
      <c r="CW89" s="585"/>
      <c r="CX89" s="585"/>
      <c r="CY89" s="586"/>
      <c r="CZ89" s="586"/>
      <c r="DA89" s="585"/>
      <c r="DB89" s="584"/>
      <c r="DC89" s="585"/>
      <c r="DD89" s="585"/>
      <c r="DE89" s="585"/>
      <c r="DF89" s="586"/>
      <c r="DG89" s="586"/>
      <c r="DH89" s="585"/>
      <c r="DI89" s="584"/>
      <c r="DJ89" s="585"/>
      <c r="DK89" s="585"/>
      <c r="DL89" s="585"/>
      <c r="DM89" s="586"/>
      <c r="DN89" s="586"/>
      <c r="DO89" s="585"/>
      <c r="DP89" s="584"/>
      <c r="DQ89" s="585"/>
      <c r="DR89" s="585"/>
      <c r="DS89" s="585"/>
      <c r="DT89" s="586"/>
      <c r="DU89" s="586"/>
      <c r="DV89" s="585"/>
      <c r="DW89" s="584"/>
      <c r="DX89" s="585"/>
      <c r="DY89" s="585"/>
      <c r="DZ89" s="585"/>
      <c r="EA89" s="586"/>
      <c r="EB89" s="586"/>
      <c r="EC89" s="585"/>
      <c r="ED89" s="584"/>
      <c r="EE89" s="585"/>
      <c r="EF89" s="585"/>
      <c r="EG89" s="585"/>
      <c r="EH89" s="586"/>
      <c r="EI89" s="586"/>
      <c r="EJ89" s="585"/>
      <c r="EK89" s="584"/>
      <c r="EL89" s="585"/>
      <c r="EM89" s="585"/>
      <c r="EN89" s="585"/>
      <c r="EO89" s="586"/>
      <c r="EP89" s="586"/>
      <c r="EQ89" s="585"/>
      <c r="ER89" s="584"/>
      <c r="ES89" s="585"/>
      <c r="ET89" s="585"/>
      <c r="EU89" s="585"/>
      <c r="EV89" s="586"/>
      <c r="EW89" s="586"/>
      <c r="EX89" s="585"/>
      <c r="EY89" s="584"/>
      <c r="EZ89" s="585"/>
      <c r="FA89" s="585"/>
      <c r="FB89" s="585"/>
      <c r="FC89" s="586"/>
      <c r="FD89" s="586"/>
      <c r="FE89" s="585"/>
      <c r="FF89" s="584"/>
      <c r="FG89" s="585"/>
      <c r="FH89" s="585"/>
      <c r="FI89" s="585"/>
      <c r="FJ89" s="586"/>
      <c r="FK89" s="586"/>
      <c r="FL89" s="585"/>
      <c r="FM89" s="584"/>
      <c r="FN89" s="585"/>
      <c r="FO89" s="585"/>
      <c r="FP89" s="585"/>
      <c r="FQ89" s="586"/>
      <c r="FR89" s="586"/>
      <c r="FS89" s="585"/>
      <c r="FT89" s="584"/>
      <c r="FU89" s="585"/>
      <c r="FV89" s="585"/>
      <c r="FW89" s="585"/>
      <c r="FX89" s="586"/>
      <c r="FY89" s="586"/>
      <c r="FZ89" s="585"/>
      <c r="GA89" s="584"/>
      <c r="GB89" s="585"/>
      <c r="GC89" s="585"/>
      <c r="GD89" s="585"/>
      <c r="GE89" s="586"/>
      <c r="GF89" s="586"/>
      <c r="GG89" s="585"/>
      <c r="GH89" s="584"/>
      <c r="GI89" s="585"/>
      <c r="GJ89" s="585"/>
      <c r="GK89" s="585"/>
      <c r="GL89" s="586"/>
      <c r="GM89" s="586"/>
      <c r="GN89" s="585"/>
      <c r="GO89" s="584"/>
      <c r="GP89" s="585"/>
      <c r="GQ89" s="585"/>
      <c r="GR89" s="585"/>
      <c r="GS89" s="586"/>
      <c r="GT89" s="586"/>
      <c r="GU89" s="585"/>
      <c r="GV89" s="584"/>
      <c r="GW89" s="585"/>
      <c r="GX89" s="585"/>
      <c r="GY89" s="585"/>
      <c r="GZ89" s="586"/>
      <c r="HA89" s="586"/>
      <c r="HB89" s="585"/>
      <c r="HC89" s="584"/>
      <c r="HD89" s="585"/>
      <c r="HE89" s="585"/>
      <c r="HF89" s="585"/>
      <c r="HG89" s="586"/>
      <c r="HH89" s="586"/>
      <c r="HI89" s="585"/>
      <c r="HJ89" s="584"/>
      <c r="HK89" s="585"/>
      <c r="HL89" s="585"/>
      <c r="HM89" s="585"/>
      <c r="HN89" s="586"/>
      <c r="HO89" s="586"/>
      <c r="HP89" s="585"/>
      <c r="HQ89" s="584"/>
      <c r="HR89" s="585"/>
      <c r="HS89" s="585"/>
      <c r="HT89" s="585"/>
      <c r="HU89" s="586"/>
      <c r="HV89" s="586"/>
      <c r="HW89" s="585"/>
      <c r="HX89" s="584"/>
      <c r="HY89" s="585"/>
      <c r="HZ89" s="585"/>
      <c r="IA89" s="585"/>
      <c r="IB89" s="586"/>
      <c r="IC89" s="586"/>
      <c r="ID89" s="585"/>
      <c r="IE89" s="584"/>
      <c r="IF89" s="585"/>
      <c r="IG89" s="585"/>
      <c r="IH89" s="585"/>
      <c r="II89" s="586"/>
      <c r="IJ89" s="586"/>
      <c r="IK89" s="585"/>
      <c r="IL89" s="584"/>
      <c r="IM89" s="585"/>
      <c r="IN89" s="585"/>
      <c r="IO89" s="585"/>
      <c r="IP89" s="586"/>
      <c r="IQ89" s="586"/>
      <c r="IR89" s="585"/>
      <c r="IS89" s="584"/>
      <c r="IT89" s="585"/>
      <c r="IU89" s="585"/>
      <c r="IV89" s="585"/>
    </row>
    <row r="90" spans="1:256" ht="12.75">
      <c r="A90" s="473" t="s">
        <v>269</v>
      </c>
      <c r="B90" s="507">
        <v>27</v>
      </c>
      <c r="C90" s="507"/>
      <c r="D90" s="507"/>
      <c r="E90" s="40"/>
      <c r="F90" s="40"/>
      <c r="G90" s="507"/>
      <c r="H90" s="587"/>
      <c r="I90" s="510"/>
      <c r="J90" s="510"/>
      <c r="K90" s="510"/>
      <c r="L90" s="588"/>
      <c r="M90" s="588"/>
      <c r="N90" s="510"/>
      <c r="O90" s="587"/>
      <c r="P90" s="510"/>
      <c r="Q90" s="510"/>
      <c r="R90" s="510"/>
      <c r="S90" s="588"/>
      <c r="T90" s="588"/>
      <c r="U90" s="510"/>
      <c r="V90" s="587"/>
      <c r="W90" s="510"/>
      <c r="X90" s="510"/>
      <c r="Y90" s="510"/>
      <c r="Z90" s="588"/>
      <c r="AA90" s="588"/>
      <c r="AB90" s="510"/>
      <c r="AC90" s="587"/>
      <c r="AD90" s="510"/>
      <c r="AE90" s="510"/>
      <c r="AF90" s="510"/>
      <c r="AG90" s="588"/>
      <c r="AH90" s="588"/>
      <c r="AI90" s="510"/>
      <c r="AJ90" s="587"/>
      <c r="AK90" s="510"/>
      <c r="AL90" s="510"/>
      <c r="AM90" s="510"/>
      <c r="AN90" s="588"/>
      <c r="AO90" s="588"/>
      <c r="AP90" s="510"/>
      <c r="AQ90" s="587"/>
      <c r="AR90" s="510"/>
      <c r="AS90" s="510"/>
      <c r="AT90" s="510"/>
      <c r="AU90" s="588"/>
      <c r="AV90" s="588"/>
      <c r="AW90" s="510"/>
      <c r="AX90" s="587"/>
      <c r="AY90" s="510"/>
      <c r="AZ90" s="510"/>
      <c r="BA90" s="510"/>
      <c r="BB90" s="588"/>
      <c r="BC90" s="588"/>
      <c r="BD90" s="510"/>
      <c r="BE90" s="587"/>
      <c r="BF90" s="510"/>
      <c r="BG90" s="510"/>
      <c r="BH90" s="510"/>
      <c r="BI90" s="588"/>
      <c r="BJ90" s="588"/>
      <c r="BK90" s="510"/>
      <c r="BL90" s="587"/>
      <c r="BM90" s="510"/>
      <c r="BN90" s="510"/>
      <c r="BO90" s="510"/>
      <c r="BP90" s="588"/>
      <c r="BQ90" s="588"/>
      <c r="BR90" s="510"/>
      <c r="BS90" s="587"/>
      <c r="BT90" s="510"/>
      <c r="BU90" s="510"/>
      <c r="BV90" s="510"/>
      <c r="BW90" s="588"/>
      <c r="BX90" s="588"/>
      <c r="BY90" s="510"/>
      <c r="BZ90" s="587"/>
      <c r="CA90" s="510"/>
      <c r="CB90" s="510"/>
      <c r="CC90" s="510"/>
      <c r="CD90" s="588"/>
      <c r="CE90" s="588"/>
      <c r="CF90" s="510"/>
      <c r="CG90" s="587"/>
      <c r="CH90" s="510"/>
      <c r="CI90" s="510"/>
      <c r="CJ90" s="510"/>
      <c r="CK90" s="588"/>
      <c r="CL90" s="588"/>
      <c r="CM90" s="510"/>
      <c r="CN90" s="587"/>
      <c r="CO90" s="510"/>
      <c r="CP90" s="510"/>
      <c r="CQ90" s="510"/>
      <c r="CR90" s="588"/>
      <c r="CS90" s="588"/>
      <c r="CT90" s="510"/>
      <c r="CU90" s="587"/>
      <c r="CV90" s="510"/>
      <c r="CW90" s="510"/>
      <c r="CX90" s="510"/>
      <c r="CY90" s="588"/>
      <c r="CZ90" s="588"/>
      <c r="DA90" s="510"/>
      <c r="DB90" s="587"/>
      <c r="DC90" s="510"/>
      <c r="DD90" s="510"/>
      <c r="DE90" s="510"/>
      <c r="DF90" s="588"/>
      <c r="DG90" s="588"/>
      <c r="DH90" s="510"/>
      <c r="DI90" s="587"/>
      <c r="DJ90" s="510"/>
      <c r="DK90" s="510"/>
      <c r="DL90" s="510"/>
      <c r="DM90" s="588"/>
      <c r="DN90" s="588"/>
      <c r="DO90" s="510"/>
      <c r="DP90" s="587"/>
      <c r="DQ90" s="510"/>
      <c r="DR90" s="510"/>
      <c r="DS90" s="510"/>
      <c r="DT90" s="588"/>
      <c r="DU90" s="588"/>
      <c r="DV90" s="510"/>
      <c r="DW90" s="587"/>
      <c r="DX90" s="510"/>
      <c r="DY90" s="510"/>
      <c r="DZ90" s="510"/>
      <c r="EA90" s="588"/>
      <c r="EB90" s="588"/>
      <c r="EC90" s="510"/>
      <c r="ED90" s="587"/>
      <c r="EE90" s="510"/>
      <c r="EF90" s="510"/>
      <c r="EG90" s="510"/>
      <c r="EH90" s="588"/>
      <c r="EI90" s="588"/>
      <c r="EJ90" s="510"/>
      <c r="EK90" s="587"/>
      <c r="EL90" s="510"/>
      <c r="EM90" s="510"/>
      <c r="EN90" s="510"/>
      <c r="EO90" s="588"/>
      <c r="EP90" s="588"/>
      <c r="EQ90" s="510"/>
      <c r="ER90" s="587"/>
      <c r="ES90" s="510"/>
      <c r="ET90" s="510"/>
      <c r="EU90" s="510"/>
      <c r="EV90" s="588"/>
      <c r="EW90" s="588"/>
      <c r="EX90" s="510"/>
      <c r="EY90" s="587"/>
      <c r="EZ90" s="510"/>
      <c r="FA90" s="510"/>
      <c r="FB90" s="510"/>
      <c r="FC90" s="588"/>
      <c r="FD90" s="588"/>
      <c r="FE90" s="510"/>
      <c r="FF90" s="587"/>
      <c r="FG90" s="510"/>
      <c r="FH90" s="510"/>
      <c r="FI90" s="510"/>
      <c r="FJ90" s="588"/>
      <c r="FK90" s="588"/>
      <c r="FL90" s="510"/>
      <c r="FM90" s="587"/>
      <c r="FN90" s="510"/>
      <c r="FO90" s="510"/>
      <c r="FP90" s="510"/>
      <c r="FQ90" s="588"/>
      <c r="FR90" s="588"/>
      <c r="FS90" s="510"/>
      <c r="FT90" s="587"/>
      <c r="FU90" s="510"/>
      <c r="FV90" s="510"/>
      <c r="FW90" s="510"/>
      <c r="FX90" s="588"/>
      <c r="FY90" s="588"/>
      <c r="FZ90" s="510"/>
      <c r="GA90" s="587"/>
      <c r="GB90" s="510"/>
      <c r="GC90" s="510"/>
      <c r="GD90" s="510"/>
      <c r="GE90" s="588"/>
      <c r="GF90" s="588"/>
      <c r="GG90" s="510"/>
      <c r="GH90" s="587"/>
      <c r="GI90" s="510"/>
      <c r="GJ90" s="510"/>
      <c r="GK90" s="510"/>
      <c r="GL90" s="588"/>
      <c r="GM90" s="588"/>
      <c r="GN90" s="510"/>
      <c r="GO90" s="587"/>
      <c r="GP90" s="510"/>
      <c r="GQ90" s="510"/>
      <c r="GR90" s="510"/>
      <c r="GS90" s="588"/>
      <c r="GT90" s="588"/>
      <c r="GU90" s="510"/>
      <c r="GV90" s="587"/>
      <c r="GW90" s="510"/>
      <c r="GX90" s="510"/>
      <c r="GY90" s="510"/>
      <c r="GZ90" s="588"/>
      <c r="HA90" s="588"/>
      <c r="HB90" s="510"/>
      <c r="HC90" s="587"/>
      <c r="HD90" s="510"/>
      <c r="HE90" s="510"/>
      <c r="HF90" s="510"/>
      <c r="HG90" s="588"/>
      <c r="HH90" s="588"/>
      <c r="HI90" s="510"/>
      <c r="HJ90" s="587"/>
      <c r="HK90" s="510"/>
      <c r="HL90" s="510"/>
      <c r="HM90" s="510"/>
      <c r="HN90" s="588"/>
      <c r="HO90" s="588"/>
      <c r="HP90" s="510"/>
      <c r="HQ90" s="587"/>
      <c r="HR90" s="510"/>
      <c r="HS90" s="510"/>
      <c r="HT90" s="510"/>
      <c r="HU90" s="588"/>
      <c r="HV90" s="588"/>
      <c r="HW90" s="510"/>
      <c r="HX90" s="587"/>
      <c r="HY90" s="510"/>
      <c r="HZ90" s="510"/>
      <c r="IA90" s="510"/>
      <c r="IB90" s="588"/>
      <c r="IC90" s="588"/>
      <c r="ID90" s="510"/>
      <c r="IE90" s="587"/>
      <c r="IF90" s="510"/>
      <c r="IG90" s="510"/>
      <c r="IH90" s="510"/>
      <c r="II90" s="588"/>
      <c r="IJ90" s="588"/>
      <c r="IK90" s="510"/>
      <c r="IL90" s="587"/>
      <c r="IM90" s="510"/>
      <c r="IN90" s="510"/>
      <c r="IO90" s="510"/>
      <c r="IP90" s="588"/>
      <c r="IQ90" s="588"/>
      <c r="IR90" s="510"/>
      <c r="IS90" s="587"/>
      <c r="IT90" s="510"/>
      <c r="IU90" s="510"/>
      <c r="IV90" s="510"/>
    </row>
    <row r="91" spans="1:256" ht="12.75">
      <c r="A91" s="509" t="s">
        <v>334</v>
      </c>
      <c r="B91" s="248">
        <v>331</v>
      </c>
      <c r="C91" s="248"/>
      <c r="D91" s="248"/>
      <c r="E91" s="16"/>
      <c r="F91" s="16"/>
      <c r="G91" s="248"/>
      <c r="H91" s="591"/>
      <c r="I91" s="580"/>
      <c r="J91" s="580"/>
      <c r="K91" s="580"/>
      <c r="L91" s="581"/>
      <c r="M91" s="581"/>
      <c r="N91" s="580"/>
      <c r="O91" s="591"/>
      <c r="P91" s="580"/>
      <c r="Q91" s="580"/>
      <c r="R91" s="580"/>
      <c r="S91" s="581"/>
      <c r="T91" s="581"/>
      <c r="U91" s="580"/>
      <c r="V91" s="591"/>
      <c r="W91" s="580"/>
      <c r="X91" s="580"/>
      <c r="Y91" s="580"/>
      <c r="Z91" s="581"/>
      <c r="AA91" s="581"/>
      <c r="AB91" s="580"/>
      <c r="AC91" s="591"/>
      <c r="AD91" s="580"/>
      <c r="AE91" s="580"/>
      <c r="AF91" s="580"/>
      <c r="AG91" s="581"/>
      <c r="AH91" s="581"/>
      <c r="AI91" s="580"/>
      <c r="AJ91" s="591"/>
      <c r="AK91" s="580"/>
      <c r="AL91" s="580"/>
      <c r="AM91" s="580"/>
      <c r="AN91" s="581"/>
      <c r="AO91" s="581"/>
      <c r="AP91" s="580"/>
      <c r="AQ91" s="591"/>
      <c r="AR91" s="580"/>
      <c r="AS91" s="580"/>
      <c r="AT91" s="580"/>
      <c r="AU91" s="581"/>
      <c r="AV91" s="581"/>
      <c r="AW91" s="580"/>
      <c r="AX91" s="591"/>
      <c r="AY91" s="580"/>
      <c r="AZ91" s="580"/>
      <c r="BA91" s="580"/>
      <c r="BB91" s="581"/>
      <c r="BC91" s="581"/>
      <c r="BD91" s="580"/>
      <c r="BE91" s="591"/>
      <c r="BF91" s="580"/>
      <c r="BG91" s="580"/>
      <c r="BH91" s="580"/>
      <c r="BI91" s="581"/>
      <c r="BJ91" s="581"/>
      <c r="BK91" s="580"/>
      <c r="BL91" s="591"/>
      <c r="BM91" s="580"/>
      <c r="BN91" s="580"/>
      <c r="BO91" s="580"/>
      <c r="BP91" s="581"/>
      <c r="BQ91" s="581"/>
      <c r="BR91" s="580"/>
      <c r="BS91" s="591"/>
      <c r="BT91" s="580"/>
      <c r="BU91" s="580"/>
      <c r="BV91" s="580"/>
      <c r="BW91" s="581"/>
      <c r="BX91" s="581"/>
      <c r="BY91" s="580"/>
      <c r="BZ91" s="591"/>
      <c r="CA91" s="580"/>
      <c r="CB91" s="580"/>
      <c r="CC91" s="580"/>
      <c r="CD91" s="581"/>
      <c r="CE91" s="581"/>
      <c r="CF91" s="580"/>
      <c r="CG91" s="591"/>
      <c r="CH91" s="580"/>
      <c r="CI91" s="580"/>
      <c r="CJ91" s="580"/>
      <c r="CK91" s="581"/>
      <c r="CL91" s="581"/>
      <c r="CM91" s="580"/>
      <c r="CN91" s="591"/>
      <c r="CO91" s="580"/>
      <c r="CP91" s="580"/>
      <c r="CQ91" s="580"/>
      <c r="CR91" s="581"/>
      <c r="CS91" s="581"/>
      <c r="CT91" s="580"/>
      <c r="CU91" s="591"/>
      <c r="CV91" s="580"/>
      <c r="CW91" s="580"/>
      <c r="CX91" s="580"/>
      <c r="CY91" s="581"/>
      <c r="CZ91" s="581"/>
      <c r="DA91" s="580"/>
      <c r="DB91" s="591"/>
      <c r="DC91" s="580"/>
      <c r="DD91" s="580"/>
      <c r="DE91" s="580"/>
      <c r="DF91" s="581"/>
      <c r="DG91" s="581"/>
      <c r="DH91" s="580"/>
      <c r="DI91" s="591"/>
      <c r="DJ91" s="580"/>
      <c r="DK91" s="580"/>
      <c r="DL91" s="580"/>
      <c r="DM91" s="581"/>
      <c r="DN91" s="581"/>
      <c r="DO91" s="580"/>
      <c r="DP91" s="591"/>
      <c r="DQ91" s="580"/>
      <c r="DR91" s="580"/>
      <c r="DS91" s="580"/>
      <c r="DT91" s="581"/>
      <c r="DU91" s="581"/>
      <c r="DV91" s="580"/>
      <c r="DW91" s="591"/>
      <c r="DX91" s="580"/>
      <c r="DY91" s="580"/>
      <c r="DZ91" s="580"/>
      <c r="EA91" s="581"/>
      <c r="EB91" s="581"/>
      <c r="EC91" s="580"/>
      <c r="ED91" s="591"/>
      <c r="EE91" s="580"/>
      <c r="EF91" s="580"/>
      <c r="EG91" s="580"/>
      <c r="EH91" s="581"/>
      <c r="EI91" s="581"/>
      <c r="EJ91" s="580"/>
      <c r="EK91" s="591"/>
      <c r="EL91" s="580"/>
      <c r="EM91" s="580"/>
      <c r="EN91" s="580"/>
      <c r="EO91" s="581"/>
      <c r="EP91" s="581"/>
      <c r="EQ91" s="580"/>
      <c r="ER91" s="591"/>
      <c r="ES91" s="580"/>
      <c r="ET91" s="580"/>
      <c r="EU91" s="580"/>
      <c r="EV91" s="581"/>
      <c r="EW91" s="581"/>
      <c r="EX91" s="580"/>
      <c r="EY91" s="591"/>
      <c r="EZ91" s="580"/>
      <c r="FA91" s="580"/>
      <c r="FB91" s="580"/>
      <c r="FC91" s="581"/>
      <c r="FD91" s="581"/>
      <c r="FE91" s="580"/>
      <c r="FF91" s="591"/>
      <c r="FG91" s="580"/>
      <c r="FH91" s="580"/>
      <c r="FI91" s="580"/>
      <c r="FJ91" s="581"/>
      <c r="FK91" s="581"/>
      <c r="FL91" s="580"/>
      <c r="FM91" s="591"/>
      <c r="FN91" s="580"/>
      <c r="FO91" s="580"/>
      <c r="FP91" s="580"/>
      <c r="FQ91" s="581"/>
      <c r="FR91" s="581"/>
      <c r="FS91" s="580"/>
      <c r="FT91" s="591"/>
      <c r="FU91" s="580"/>
      <c r="FV91" s="580"/>
      <c r="FW91" s="580"/>
      <c r="FX91" s="581"/>
      <c r="FY91" s="581"/>
      <c r="FZ91" s="580"/>
      <c r="GA91" s="591"/>
      <c r="GB91" s="580"/>
      <c r="GC91" s="580"/>
      <c r="GD91" s="580"/>
      <c r="GE91" s="581"/>
      <c r="GF91" s="581"/>
      <c r="GG91" s="580"/>
      <c r="GH91" s="591"/>
      <c r="GI91" s="580"/>
      <c r="GJ91" s="580"/>
      <c r="GK91" s="580"/>
      <c r="GL91" s="581"/>
      <c r="GM91" s="581"/>
      <c r="GN91" s="580"/>
      <c r="GO91" s="591"/>
      <c r="GP91" s="580"/>
      <c r="GQ91" s="580"/>
      <c r="GR91" s="580"/>
      <c r="GS91" s="581"/>
      <c r="GT91" s="581"/>
      <c r="GU91" s="580"/>
      <c r="GV91" s="591"/>
      <c r="GW91" s="580"/>
      <c r="GX91" s="580"/>
      <c r="GY91" s="580"/>
      <c r="GZ91" s="581"/>
      <c r="HA91" s="581"/>
      <c r="HB91" s="580"/>
      <c r="HC91" s="591"/>
      <c r="HD91" s="580"/>
      <c r="HE91" s="580"/>
      <c r="HF91" s="580"/>
      <c r="HG91" s="581"/>
      <c r="HH91" s="581"/>
      <c r="HI91" s="580"/>
      <c r="HJ91" s="591"/>
      <c r="HK91" s="580"/>
      <c r="HL91" s="580"/>
      <c r="HM91" s="580"/>
      <c r="HN91" s="581"/>
      <c r="HO91" s="581"/>
      <c r="HP91" s="580"/>
      <c r="HQ91" s="591"/>
      <c r="HR91" s="580"/>
      <c r="HS91" s="580"/>
      <c r="HT91" s="580"/>
      <c r="HU91" s="581"/>
      <c r="HV91" s="581"/>
      <c r="HW91" s="580"/>
      <c r="HX91" s="591"/>
      <c r="HY91" s="580"/>
      <c r="HZ91" s="580"/>
      <c r="IA91" s="580"/>
      <c r="IB91" s="581"/>
      <c r="IC91" s="581"/>
      <c r="ID91" s="580"/>
      <c r="IE91" s="591"/>
      <c r="IF91" s="580"/>
      <c r="IG91" s="580"/>
      <c r="IH91" s="580"/>
      <c r="II91" s="581"/>
      <c r="IJ91" s="581"/>
      <c r="IK91" s="580"/>
      <c r="IL91" s="591"/>
      <c r="IM91" s="580"/>
      <c r="IN91" s="580"/>
      <c r="IO91" s="580"/>
      <c r="IP91" s="581"/>
      <c r="IQ91" s="581"/>
      <c r="IR91" s="580"/>
      <c r="IS91" s="591"/>
      <c r="IT91" s="580"/>
      <c r="IU91" s="580"/>
      <c r="IV91" s="580"/>
    </row>
    <row r="92" spans="1:256" ht="12.75">
      <c r="A92" s="505" t="s">
        <v>272</v>
      </c>
      <c r="B92" s="475">
        <v>281</v>
      </c>
      <c r="C92" s="475"/>
      <c r="D92" s="475"/>
      <c r="E92" s="506"/>
      <c r="F92" s="506"/>
      <c r="G92" s="475"/>
      <c r="H92" s="584"/>
      <c r="I92" s="585"/>
      <c r="J92" s="585"/>
      <c r="K92" s="585"/>
      <c r="L92" s="586"/>
      <c r="M92" s="586"/>
      <c r="N92" s="585"/>
      <c r="O92" s="584"/>
      <c r="P92" s="585"/>
      <c r="Q92" s="585"/>
      <c r="R92" s="585"/>
      <c r="S92" s="586"/>
      <c r="T92" s="586"/>
      <c r="U92" s="585"/>
      <c r="V92" s="584"/>
      <c r="W92" s="585"/>
      <c r="X92" s="585"/>
      <c r="Y92" s="585"/>
      <c r="Z92" s="586"/>
      <c r="AA92" s="586"/>
      <c r="AB92" s="585"/>
      <c r="AC92" s="584"/>
      <c r="AD92" s="585"/>
      <c r="AE92" s="585"/>
      <c r="AF92" s="585"/>
      <c r="AG92" s="586"/>
      <c r="AH92" s="586"/>
      <c r="AI92" s="585"/>
      <c r="AJ92" s="584"/>
      <c r="AK92" s="585"/>
      <c r="AL92" s="585"/>
      <c r="AM92" s="585"/>
      <c r="AN92" s="586"/>
      <c r="AO92" s="586"/>
      <c r="AP92" s="585"/>
      <c r="AQ92" s="584"/>
      <c r="AR92" s="585"/>
      <c r="AS92" s="585"/>
      <c r="AT92" s="585"/>
      <c r="AU92" s="586"/>
      <c r="AV92" s="586"/>
      <c r="AW92" s="585"/>
      <c r="AX92" s="584"/>
      <c r="AY92" s="585"/>
      <c r="AZ92" s="585"/>
      <c r="BA92" s="585"/>
      <c r="BB92" s="586"/>
      <c r="BC92" s="586"/>
      <c r="BD92" s="585"/>
      <c r="BE92" s="584"/>
      <c r="BF92" s="585"/>
      <c r="BG92" s="585"/>
      <c r="BH92" s="585"/>
      <c r="BI92" s="586"/>
      <c r="BJ92" s="586"/>
      <c r="BK92" s="585"/>
      <c r="BL92" s="584"/>
      <c r="BM92" s="585"/>
      <c r="BN92" s="585"/>
      <c r="BO92" s="585"/>
      <c r="BP92" s="586"/>
      <c r="BQ92" s="586"/>
      <c r="BR92" s="585"/>
      <c r="BS92" s="584"/>
      <c r="BT92" s="585"/>
      <c r="BU92" s="585"/>
      <c r="BV92" s="585"/>
      <c r="BW92" s="586"/>
      <c r="BX92" s="586"/>
      <c r="BY92" s="585"/>
      <c r="BZ92" s="584"/>
      <c r="CA92" s="585"/>
      <c r="CB92" s="585"/>
      <c r="CC92" s="585"/>
      <c r="CD92" s="586"/>
      <c r="CE92" s="586"/>
      <c r="CF92" s="585"/>
      <c r="CG92" s="584"/>
      <c r="CH92" s="585"/>
      <c r="CI92" s="585"/>
      <c r="CJ92" s="585"/>
      <c r="CK92" s="586"/>
      <c r="CL92" s="586"/>
      <c r="CM92" s="585"/>
      <c r="CN92" s="584"/>
      <c r="CO92" s="585"/>
      <c r="CP92" s="585"/>
      <c r="CQ92" s="585"/>
      <c r="CR92" s="586"/>
      <c r="CS92" s="586"/>
      <c r="CT92" s="585"/>
      <c r="CU92" s="584"/>
      <c r="CV92" s="585"/>
      <c r="CW92" s="585"/>
      <c r="CX92" s="585"/>
      <c r="CY92" s="586"/>
      <c r="CZ92" s="586"/>
      <c r="DA92" s="585"/>
      <c r="DB92" s="584"/>
      <c r="DC92" s="585"/>
      <c r="DD92" s="585"/>
      <c r="DE92" s="585"/>
      <c r="DF92" s="586"/>
      <c r="DG92" s="586"/>
      <c r="DH92" s="585"/>
      <c r="DI92" s="584"/>
      <c r="DJ92" s="585"/>
      <c r="DK92" s="585"/>
      <c r="DL92" s="585"/>
      <c r="DM92" s="586"/>
      <c r="DN92" s="586"/>
      <c r="DO92" s="585"/>
      <c r="DP92" s="584"/>
      <c r="DQ92" s="585"/>
      <c r="DR92" s="585"/>
      <c r="DS92" s="585"/>
      <c r="DT92" s="586"/>
      <c r="DU92" s="586"/>
      <c r="DV92" s="585"/>
      <c r="DW92" s="584"/>
      <c r="DX92" s="585"/>
      <c r="DY92" s="585"/>
      <c r="DZ92" s="585"/>
      <c r="EA92" s="586"/>
      <c r="EB92" s="586"/>
      <c r="EC92" s="585"/>
      <c r="ED92" s="584"/>
      <c r="EE92" s="585"/>
      <c r="EF92" s="585"/>
      <c r="EG92" s="585"/>
      <c r="EH92" s="586"/>
      <c r="EI92" s="586"/>
      <c r="EJ92" s="585"/>
      <c r="EK92" s="584"/>
      <c r="EL92" s="585"/>
      <c r="EM92" s="585"/>
      <c r="EN92" s="585"/>
      <c r="EO92" s="586"/>
      <c r="EP92" s="586"/>
      <c r="EQ92" s="585"/>
      <c r="ER92" s="584"/>
      <c r="ES92" s="585"/>
      <c r="ET92" s="585"/>
      <c r="EU92" s="585"/>
      <c r="EV92" s="586"/>
      <c r="EW92" s="586"/>
      <c r="EX92" s="585"/>
      <c r="EY92" s="584"/>
      <c r="EZ92" s="585"/>
      <c r="FA92" s="585"/>
      <c r="FB92" s="585"/>
      <c r="FC92" s="586"/>
      <c r="FD92" s="586"/>
      <c r="FE92" s="585"/>
      <c r="FF92" s="584"/>
      <c r="FG92" s="585"/>
      <c r="FH92" s="585"/>
      <c r="FI92" s="585"/>
      <c r="FJ92" s="586"/>
      <c r="FK92" s="586"/>
      <c r="FL92" s="585"/>
      <c r="FM92" s="584"/>
      <c r="FN92" s="585"/>
      <c r="FO92" s="585"/>
      <c r="FP92" s="585"/>
      <c r="FQ92" s="586"/>
      <c r="FR92" s="586"/>
      <c r="FS92" s="585"/>
      <c r="FT92" s="584"/>
      <c r="FU92" s="585"/>
      <c r="FV92" s="585"/>
      <c r="FW92" s="585"/>
      <c r="FX92" s="586"/>
      <c r="FY92" s="586"/>
      <c r="FZ92" s="585"/>
      <c r="GA92" s="584"/>
      <c r="GB92" s="585"/>
      <c r="GC92" s="585"/>
      <c r="GD92" s="585"/>
      <c r="GE92" s="586"/>
      <c r="GF92" s="586"/>
      <c r="GG92" s="585"/>
      <c r="GH92" s="584"/>
      <c r="GI92" s="585"/>
      <c r="GJ92" s="585"/>
      <c r="GK92" s="585"/>
      <c r="GL92" s="586"/>
      <c r="GM92" s="586"/>
      <c r="GN92" s="585"/>
      <c r="GO92" s="584"/>
      <c r="GP92" s="585"/>
      <c r="GQ92" s="585"/>
      <c r="GR92" s="585"/>
      <c r="GS92" s="586"/>
      <c r="GT92" s="586"/>
      <c r="GU92" s="585"/>
      <c r="GV92" s="584"/>
      <c r="GW92" s="585"/>
      <c r="GX92" s="585"/>
      <c r="GY92" s="585"/>
      <c r="GZ92" s="586"/>
      <c r="HA92" s="586"/>
      <c r="HB92" s="585"/>
      <c r="HC92" s="584"/>
      <c r="HD92" s="585"/>
      <c r="HE92" s="585"/>
      <c r="HF92" s="585"/>
      <c r="HG92" s="586"/>
      <c r="HH92" s="586"/>
      <c r="HI92" s="585"/>
      <c r="HJ92" s="584"/>
      <c r="HK92" s="585"/>
      <c r="HL92" s="585"/>
      <c r="HM92" s="585"/>
      <c r="HN92" s="586"/>
      <c r="HO92" s="586"/>
      <c r="HP92" s="585"/>
      <c r="HQ92" s="584"/>
      <c r="HR92" s="585"/>
      <c r="HS92" s="585"/>
      <c r="HT92" s="585"/>
      <c r="HU92" s="586"/>
      <c r="HV92" s="586"/>
      <c r="HW92" s="585"/>
      <c r="HX92" s="584"/>
      <c r="HY92" s="585"/>
      <c r="HZ92" s="585"/>
      <c r="IA92" s="585"/>
      <c r="IB92" s="586"/>
      <c r="IC92" s="586"/>
      <c r="ID92" s="585"/>
      <c r="IE92" s="584"/>
      <c r="IF92" s="585"/>
      <c r="IG92" s="585"/>
      <c r="IH92" s="585"/>
      <c r="II92" s="586"/>
      <c r="IJ92" s="586"/>
      <c r="IK92" s="585"/>
      <c r="IL92" s="584"/>
      <c r="IM92" s="585"/>
      <c r="IN92" s="585"/>
      <c r="IO92" s="585"/>
      <c r="IP92" s="586"/>
      <c r="IQ92" s="586"/>
      <c r="IR92" s="585"/>
      <c r="IS92" s="584"/>
      <c r="IT92" s="585"/>
      <c r="IU92" s="585"/>
      <c r="IV92" s="585"/>
    </row>
    <row r="93" spans="1:256" ht="12.75">
      <c r="A93" s="473" t="s">
        <v>269</v>
      </c>
      <c r="B93" s="507">
        <v>192</v>
      </c>
      <c r="C93" s="507"/>
      <c r="D93" s="507"/>
      <c r="E93" s="40"/>
      <c r="F93" s="40"/>
      <c r="G93" s="507"/>
      <c r="H93" s="587"/>
      <c r="I93" s="510"/>
      <c r="J93" s="510"/>
      <c r="K93" s="510"/>
      <c r="L93" s="588"/>
      <c r="M93" s="588"/>
      <c r="N93" s="510"/>
      <c r="O93" s="587"/>
      <c r="P93" s="510"/>
      <c r="Q93" s="510"/>
      <c r="R93" s="510"/>
      <c r="S93" s="588"/>
      <c r="T93" s="588"/>
      <c r="U93" s="510"/>
      <c r="V93" s="587"/>
      <c r="W93" s="510"/>
      <c r="X93" s="510"/>
      <c r="Y93" s="510"/>
      <c r="Z93" s="588"/>
      <c r="AA93" s="588"/>
      <c r="AB93" s="510"/>
      <c r="AC93" s="587"/>
      <c r="AD93" s="510"/>
      <c r="AE93" s="510"/>
      <c r="AF93" s="510"/>
      <c r="AG93" s="588"/>
      <c r="AH93" s="588"/>
      <c r="AI93" s="510"/>
      <c r="AJ93" s="587"/>
      <c r="AK93" s="510"/>
      <c r="AL93" s="510"/>
      <c r="AM93" s="510"/>
      <c r="AN93" s="588"/>
      <c r="AO93" s="588"/>
      <c r="AP93" s="510"/>
      <c r="AQ93" s="587"/>
      <c r="AR93" s="510"/>
      <c r="AS93" s="510"/>
      <c r="AT93" s="510"/>
      <c r="AU93" s="588"/>
      <c r="AV93" s="588"/>
      <c r="AW93" s="510"/>
      <c r="AX93" s="587"/>
      <c r="AY93" s="510"/>
      <c r="AZ93" s="510"/>
      <c r="BA93" s="510"/>
      <c r="BB93" s="588"/>
      <c r="BC93" s="588"/>
      <c r="BD93" s="510"/>
      <c r="BE93" s="587"/>
      <c r="BF93" s="510"/>
      <c r="BG93" s="510"/>
      <c r="BH93" s="510"/>
      <c r="BI93" s="588"/>
      <c r="BJ93" s="588"/>
      <c r="BK93" s="510"/>
      <c r="BL93" s="587"/>
      <c r="BM93" s="510"/>
      <c r="BN93" s="510"/>
      <c r="BO93" s="510"/>
      <c r="BP93" s="588"/>
      <c r="BQ93" s="588"/>
      <c r="BR93" s="510"/>
      <c r="BS93" s="587"/>
      <c r="BT93" s="510"/>
      <c r="BU93" s="510"/>
      <c r="BV93" s="510"/>
      <c r="BW93" s="588"/>
      <c r="BX93" s="588"/>
      <c r="BY93" s="510"/>
      <c r="BZ93" s="587"/>
      <c r="CA93" s="510"/>
      <c r="CB93" s="510"/>
      <c r="CC93" s="510"/>
      <c r="CD93" s="588"/>
      <c r="CE93" s="588"/>
      <c r="CF93" s="510"/>
      <c r="CG93" s="587"/>
      <c r="CH93" s="510"/>
      <c r="CI93" s="510"/>
      <c r="CJ93" s="510"/>
      <c r="CK93" s="588"/>
      <c r="CL93" s="588"/>
      <c r="CM93" s="510"/>
      <c r="CN93" s="587"/>
      <c r="CO93" s="510"/>
      <c r="CP93" s="510"/>
      <c r="CQ93" s="510"/>
      <c r="CR93" s="588"/>
      <c r="CS93" s="588"/>
      <c r="CT93" s="510"/>
      <c r="CU93" s="587"/>
      <c r="CV93" s="510"/>
      <c r="CW93" s="510"/>
      <c r="CX93" s="510"/>
      <c r="CY93" s="588"/>
      <c r="CZ93" s="588"/>
      <c r="DA93" s="510"/>
      <c r="DB93" s="587"/>
      <c r="DC93" s="510"/>
      <c r="DD93" s="510"/>
      <c r="DE93" s="510"/>
      <c r="DF93" s="588"/>
      <c r="DG93" s="588"/>
      <c r="DH93" s="510"/>
      <c r="DI93" s="587"/>
      <c r="DJ93" s="510"/>
      <c r="DK93" s="510"/>
      <c r="DL93" s="510"/>
      <c r="DM93" s="588"/>
      <c r="DN93" s="588"/>
      <c r="DO93" s="510"/>
      <c r="DP93" s="587"/>
      <c r="DQ93" s="510"/>
      <c r="DR93" s="510"/>
      <c r="DS93" s="510"/>
      <c r="DT93" s="588"/>
      <c r="DU93" s="588"/>
      <c r="DV93" s="510"/>
      <c r="DW93" s="587"/>
      <c r="DX93" s="510"/>
      <c r="DY93" s="510"/>
      <c r="DZ93" s="510"/>
      <c r="EA93" s="588"/>
      <c r="EB93" s="588"/>
      <c r="EC93" s="510"/>
      <c r="ED93" s="587"/>
      <c r="EE93" s="510"/>
      <c r="EF93" s="510"/>
      <c r="EG93" s="510"/>
      <c r="EH93" s="588"/>
      <c r="EI93" s="588"/>
      <c r="EJ93" s="510"/>
      <c r="EK93" s="587"/>
      <c r="EL93" s="510"/>
      <c r="EM93" s="510"/>
      <c r="EN93" s="510"/>
      <c r="EO93" s="588"/>
      <c r="EP93" s="588"/>
      <c r="EQ93" s="510"/>
      <c r="ER93" s="587"/>
      <c r="ES93" s="510"/>
      <c r="ET93" s="510"/>
      <c r="EU93" s="510"/>
      <c r="EV93" s="588"/>
      <c r="EW93" s="588"/>
      <c r="EX93" s="510"/>
      <c r="EY93" s="587"/>
      <c r="EZ93" s="510"/>
      <c r="FA93" s="510"/>
      <c r="FB93" s="510"/>
      <c r="FC93" s="588"/>
      <c r="FD93" s="588"/>
      <c r="FE93" s="510"/>
      <c r="FF93" s="587"/>
      <c r="FG93" s="510"/>
      <c r="FH93" s="510"/>
      <c r="FI93" s="510"/>
      <c r="FJ93" s="588"/>
      <c r="FK93" s="588"/>
      <c r="FL93" s="510"/>
      <c r="FM93" s="587"/>
      <c r="FN93" s="510"/>
      <c r="FO93" s="510"/>
      <c r="FP93" s="510"/>
      <c r="FQ93" s="588"/>
      <c r="FR93" s="588"/>
      <c r="FS93" s="510"/>
      <c r="FT93" s="587"/>
      <c r="FU93" s="510"/>
      <c r="FV93" s="510"/>
      <c r="FW93" s="510"/>
      <c r="FX93" s="588"/>
      <c r="FY93" s="588"/>
      <c r="FZ93" s="510"/>
      <c r="GA93" s="587"/>
      <c r="GB93" s="510"/>
      <c r="GC93" s="510"/>
      <c r="GD93" s="510"/>
      <c r="GE93" s="588"/>
      <c r="GF93" s="588"/>
      <c r="GG93" s="510"/>
      <c r="GH93" s="587"/>
      <c r="GI93" s="510"/>
      <c r="GJ93" s="510"/>
      <c r="GK93" s="510"/>
      <c r="GL93" s="588"/>
      <c r="GM93" s="588"/>
      <c r="GN93" s="510"/>
      <c r="GO93" s="587"/>
      <c r="GP93" s="510"/>
      <c r="GQ93" s="510"/>
      <c r="GR93" s="510"/>
      <c r="GS93" s="588"/>
      <c r="GT93" s="588"/>
      <c r="GU93" s="510"/>
      <c r="GV93" s="587"/>
      <c r="GW93" s="510"/>
      <c r="GX93" s="510"/>
      <c r="GY93" s="510"/>
      <c r="GZ93" s="588"/>
      <c r="HA93" s="588"/>
      <c r="HB93" s="510"/>
      <c r="HC93" s="587"/>
      <c r="HD93" s="510"/>
      <c r="HE93" s="510"/>
      <c r="HF93" s="510"/>
      <c r="HG93" s="588"/>
      <c r="HH93" s="588"/>
      <c r="HI93" s="510"/>
      <c r="HJ93" s="587"/>
      <c r="HK93" s="510"/>
      <c r="HL93" s="510"/>
      <c r="HM93" s="510"/>
      <c r="HN93" s="588"/>
      <c r="HO93" s="588"/>
      <c r="HP93" s="510"/>
      <c r="HQ93" s="587"/>
      <c r="HR93" s="510"/>
      <c r="HS93" s="510"/>
      <c r="HT93" s="510"/>
      <c r="HU93" s="588"/>
      <c r="HV93" s="588"/>
      <c r="HW93" s="510"/>
      <c r="HX93" s="587"/>
      <c r="HY93" s="510"/>
      <c r="HZ93" s="510"/>
      <c r="IA93" s="510"/>
      <c r="IB93" s="588"/>
      <c r="IC93" s="588"/>
      <c r="ID93" s="510"/>
      <c r="IE93" s="587"/>
      <c r="IF93" s="510"/>
      <c r="IG93" s="510"/>
      <c r="IH93" s="510"/>
      <c r="II93" s="588"/>
      <c r="IJ93" s="588"/>
      <c r="IK93" s="510"/>
      <c r="IL93" s="587"/>
      <c r="IM93" s="510"/>
      <c r="IN93" s="510"/>
      <c r="IO93" s="510"/>
      <c r="IP93" s="588"/>
      <c r="IQ93" s="588"/>
      <c r="IR93" s="510"/>
      <c r="IS93" s="587"/>
      <c r="IT93" s="510"/>
      <c r="IU93" s="510"/>
      <c r="IV93" s="510"/>
    </row>
    <row r="94" spans="1:256" ht="12.75">
      <c r="A94" s="473" t="s">
        <v>270</v>
      </c>
      <c r="B94" s="507">
        <v>89</v>
      </c>
      <c r="C94" s="507"/>
      <c r="D94" s="507"/>
      <c r="E94" s="40"/>
      <c r="F94" s="40"/>
      <c r="G94" s="507"/>
      <c r="H94" s="587"/>
      <c r="I94" s="510"/>
      <c r="J94" s="510"/>
      <c r="K94" s="510"/>
      <c r="L94" s="588"/>
      <c r="M94" s="588"/>
      <c r="N94" s="510"/>
      <c r="O94" s="587"/>
      <c r="P94" s="510"/>
      <c r="Q94" s="510"/>
      <c r="R94" s="510"/>
      <c r="S94" s="588"/>
      <c r="T94" s="588"/>
      <c r="U94" s="510"/>
      <c r="V94" s="587"/>
      <c r="W94" s="510"/>
      <c r="X94" s="510"/>
      <c r="Y94" s="510"/>
      <c r="Z94" s="588"/>
      <c r="AA94" s="588"/>
      <c r="AB94" s="510"/>
      <c r="AC94" s="587"/>
      <c r="AD94" s="510"/>
      <c r="AE94" s="510"/>
      <c r="AF94" s="510"/>
      <c r="AG94" s="588"/>
      <c r="AH94" s="588"/>
      <c r="AI94" s="510"/>
      <c r="AJ94" s="587"/>
      <c r="AK94" s="510"/>
      <c r="AL94" s="510"/>
      <c r="AM94" s="510"/>
      <c r="AN94" s="588"/>
      <c r="AO94" s="588"/>
      <c r="AP94" s="510"/>
      <c r="AQ94" s="587"/>
      <c r="AR94" s="510"/>
      <c r="AS94" s="510"/>
      <c r="AT94" s="510"/>
      <c r="AU94" s="588"/>
      <c r="AV94" s="588"/>
      <c r="AW94" s="510"/>
      <c r="AX94" s="587"/>
      <c r="AY94" s="510"/>
      <c r="AZ94" s="510"/>
      <c r="BA94" s="510"/>
      <c r="BB94" s="588"/>
      <c r="BC94" s="588"/>
      <c r="BD94" s="510"/>
      <c r="BE94" s="587"/>
      <c r="BF94" s="510"/>
      <c r="BG94" s="510"/>
      <c r="BH94" s="510"/>
      <c r="BI94" s="588"/>
      <c r="BJ94" s="588"/>
      <c r="BK94" s="510"/>
      <c r="BL94" s="587"/>
      <c r="BM94" s="510"/>
      <c r="BN94" s="510"/>
      <c r="BO94" s="510"/>
      <c r="BP94" s="588"/>
      <c r="BQ94" s="588"/>
      <c r="BR94" s="510"/>
      <c r="BS94" s="587"/>
      <c r="BT94" s="510"/>
      <c r="BU94" s="510"/>
      <c r="BV94" s="510"/>
      <c r="BW94" s="588"/>
      <c r="BX94" s="588"/>
      <c r="BY94" s="510"/>
      <c r="BZ94" s="587"/>
      <c r="CA94" s="510"/>
      <c r="CB94" s="510"/>
      <c r="CC94" s="510"/>
      <c r="CD94" s="588"/>
      <c r="CE94" s="588"/>
      <c r="CF94" s="510"/>
      <c r="CG94" s="587"/>
      <c r="CH94" s="510"/>
      <c r="CI94" s="510"/>
      <c r="CJ94" s="510"/>
      <c r="CK94" s="588"/>
      <c r="CL94" s="588"/>
      <c r="CM94" s="510"/>
      <c r="CN94" s="587"/>
      <c r="CO94" s="510"/>
      <c r="CP94" s="510"/>
      <c r="CQ94" s="510"/>
      <c r="CR94" s="588"/>
      <c r="CS94" s="588"/>
      <c r="CT94" s="510"/>
      <c r="CU94" s="587"/>
      <c r="CV94" s="510"/>
      <c r="CW94" s="510"/>
      <c r="CX94" s="510"/>
      <c r="CY94" s="588"/>
      <c r="CZ94" s="588"/>
      <c r="DA94" s="510"/>
      <c r="DB94" s="587"/>
      <c r="DC94" s="510"/>
      <c r="DD94" s="510"/>
      <c r="DE94" s="510"/>
      <c r="DF94" s="588"/>
      <c r="DG94" s="588"/>
      <c r="DH94" s="510"/>
      <c r="DI94" s="587"/>
      <c r="DJ94" s="510"/>
      <c r="DK94" s="510"/>
      <c r="DL94" s="510"/>
      <c r="DM94" s="588"/>
      <c r="DN94" s="588"/>
      <c r="DO94" s="510"/>
      <c r="DP94" s="587"/>
      <c r="DQ94" s="510"/>
      <c r="DR94" s="510"/>
      <c r="DS94" s="510"/>
      <c r="DT94" s="588"/>
      <c r="DU94" s="588"/>
      <c r="DV94" s="510"/>
      <c r="DW94" s="587"/>
      <c r="DX94" s="510"/>
      <c r="DY94" s="510"/>
      <c r="DZ94" s="510"/>
      <c r="EA94" s="588"/>
      <c r="EB94" s="588"/>
      <c r="EC94" s="510"/>
      <c r="ED94" s="587"/>
      <c r="EE94" s="510"/>
      <c r="EF94" s="510"/>
      <c r="EG94" s="510"/>
      <c r="EH94" s="588"/>
      <c r="EI94" s="588"/>
      <c r="EJ94" s="510"/>
      <c r="EK94" s="587"/>
      <c r="EL94" s="510"/>
      <c r="EM94" s="510"/>
      <c r="EN94" s="510"/>
      <c r="EO94" s="588"/>
      <c r="EP94" s="588"/>
      <c r="EQ94" s="510"/>
      <c r="ER94" s="587"/>
      <c r="ES94" s="510"/>
      <c r="ET94" s="510"/>
      <c r="EU94" s="510"/>
      <c r="EV94" s="588"/>
      <c r="EW94" s="588"/>
      <c r="EX94" s="510"/>
      <c r="EY94" s="587"/>
      <c r="EZ94" s="510"/>
      <c r="FA94" s="510"/>
      <c r="FB94" s="510"/>
      <c r="FC94" s="588"/>
      <c r="FD94" s="588"/>
      <c r="FE94" s="510"/>
      <c r="FF94" s="587"/>
      <c r="FG94" s="510"/>
      <c r="FH94" s="510"/>
      <c r="FI94" s="510"/>
      <c r="FJ94" s="588"/>
      <c r="FK94" s="588"/>
      <c r="FL94" s="510"/>
      <c r="FM94" s="587"/>
      <c r="FN94" s="510"/>
      <c r="FO94" s="510"/>
      <c r="FP94" s="510"/>
      <c r="FQ94" s="588"/>
      <c r="FR94" s="588"/>
      <c r="FS94" s="510"/>
      <c r="FT94" s="587"/>
      <c r="FU94" s="510"/>
      <c r="FV94" s="510"/>
      <c r="FW94" s="510"/>
      <c r="FX94" s="588"/>
      <c r="FY94" s="588"/>
      <c r="FZ94" s="510"/>
      <c r="GA94" s="587"/>
      <c r="GB94" s="510"/>
      <c r="GC94" s="510"/>
      <c r="GD94" s="510"/>
      <c r="GE94" s="588"/>
      <c r="GF94" s="588"/>
      <c r="GG94" s="510"/>
      <c r="GH94" s="587"/>
      <c r="GI94" s="510"/>
      <c r="GJ94" s="510"/>
      <c r="GK94" s="510"/>
      <c r="GL94" s="588"/>
      <c r="GM94" s="588"/>
      <c r="GN94" s="510"/>
      <c r="GO94" s="587"/>
      <c r="GP94" s="510"/>
      <c r="GQ94" s="510"/>
      <c r="GR94" s="510"/>
      <c r="GS94" s="588"/>
      <c r="GT94" s="588"/>
      <c r="GU94" s="510"/>
      <c r="GV94" s="587"/>
      <c r="GW94" s="510"/>
      <c r="GX94" s="510"/>
      <c r="GY94" s="510"/>
      <c r="GZ94" s="588"/>
      <c r="HA94" s="588"/>
      <c r="HB94" s="510"/>
      <c r="HC94" s="587"/>
      <c r="HD94" s="510"/>
      <c r="HE94" s="510"/>
      <c r="HF94" s="510"/>
      <c r="HG94" s="588"/>
      <c r="HH94" s="588"/>
      <c r="HI94" s="510"/>
      <c r="HJ94" s="587"/>
      <c r="HK94" s="510"/>
      <c r="HL94" s="510"/>
      <c r="HM94" s="510"/>
      <c r="HN94" s="588"/>
      <c r="HO94" s="588"/>
      <c r="HP94" s="510"/>
      <c r="HQ94" s="587"/>
      <c r="HR94" s="510"/>
      <c r="HS94" s="510"/>
      <c r="HT94" s="510"/>
      <c r="HU94" s="588"/>
      <c r="HV94" s="588"/>
      <c r="HW94" s="510"/>
      <c r="HX94" s="587"/>
      <c r="HY94" s="510"/>
      <c r="HZ94" s="510"/>
      <c r="IA94" s="510"/>
      <c r="IB94" s="588"/>
      <c r="IC94" s="588"/>
      <c r="ID94" s="510"/>
      <c r="IE94" s="587"/>
      <c r="IF94" s="510"/>
      <c r="IG94" s="510"/>
      <c r="IH94" s="510"/>
      <c r="II94" s="588"/>
      <c r="IJ94" s="588"/>
      <c r="IK94" s="510"/>
      <c r="IL94" s="587"/>
      <c r="IM94" s="510"/>
      <c r="IN94" s="510"/>
      <c r="IO94" s="510"/>
      <c r="IP94" s="588"/>
      <c r="IQ94" s="588"/>
      <c r="IR94" s="510"/>
      <c r="IS94" s="587"/>
      <c r="IT94" s="510"/>
      <c r="IU94" s="510"/>
      <c r="IV94" s="510"/>
    </row>
    <row r="95" spans="1:256" ht="12.75">
      <c r="A95" s="505" t="s">
        <v>273</v>
      </c>
      <c r="B95" s="475">
        <v>50</v>
      </c>
      <c r="C95" s="475"/>
      <c r="D95" s="475"/>
      <c r="E95" s="506"/>
      <c r="F95" s="506"/>
      <c r="G95" s="475"/>
      <c r="H95" s="584"/>
      <c r="I95" s="585"/>
      <c r="J95" s="585"/>
      <c r="K95" s="585"/>
      <c r="L95" s="586"/>
      <c r="M95" s="586"/>
      <c r="N95" s="585"/>
      <c r="O95" s="584"/>
      <c r="P95" s="585"/>
      <c r="Q95" s="585"/>
      <c r="R95" s="585"/>
      <c r="S95" s="586"/>
      <c r="T95" s="586"/>
      <c r="U95" s="585"/>
      <c r="V95" s="584"/>
      <c r="W95" s="585"/>
      <c r="X95" s="585"/>
      <c r="Y95" s="585"/>
      <c r="Z95" s="586"/>
      <c r="AA95" s="586"/>
      <c r="AB95" s="585"/>
      <c r="AC95" s="584"/>
      <c r="AD95" s="585"/>
      <c r="AE95" s="585"/>
      <c r="AF95" s="585"/>
      <c r="AG95" s="586"/>
      <c r="AH95" s="586"/>
      <c r="AI95" s="585"/>
      <c r="AJ95" s="584"/>
      <c r="AK95" s="585"/>
      <c r="AL95" s="585"/>
      <c r="AM95" s="585"/>
      <c r="AN95" s="586"/>
      <c r="AO95" s="586"/>
      <c r="AP95" s="585"/>
      <c r="AQ95" s="584"/>
      <c r="AR95" s="585"/>
      <c r="AS95" s="585"/>
      <c r="AT95" s="585"/>
      <c r="AU95" s="586"/>
      <c r="AV95" s="586"/>
      <c r="AW95" s="585"/>
      <c r="AX95" s="584"/>
      <c r="AY95" s="585"/>
      <c r="AZ95" s="585"/>
      <c r="BA95" s="585"/>
      <c r="BB95" s="586"/>
      <c r="BC95" s="586"/>
      <c r="BD95" s="585"/>
      <c r="BE95" s="584"/>
      <c r="BF95" s="585"/>
      <c r="BG95" s="585"/>
      <c r="BH95" s="585"/>
      <c r="BI95" s="586"/>
      <c r="BJ95" s="586"/>
      <c r="BK95" s="585"/>
      <c r="BL95" s="584"/>
      <c r="BM95" s="585"/>
      <c r="BN95" s="585"/>
      <c r="BO95" s="585"/>
      <c r="BP95" s="586"/>
      <c r="BQ95" s="586"/>
      <c r="BR95" s="585"/>
      <c r="BS95" s="584"/>
      <c r="BT95" s="585"/>
      <c r="BU95" s="585"/>
      <c r="BV95" s="585"/>
      <c r="BW95" s="586"/>
      <c r="BX95" s="586"/>
      <c r="BY95" s="585"/>
      <c r="BZ95" s="584"/>
      <c r="CA95" s="585"/>
      <c r="CB95" s="585"/>
      <c r="CC95" s="585"/>
      <c r="CD95" s="586"/>
      <c r="CE95" s="586"/>
      <c r="CF95" s="585"/>
      <c r="CG95" s="584"/>
      <c r="CH95" s="585"/>
      <c r="CI95" s="585"/>
      <c r="CJ95" s="585"/>
      <c r="CK95" s="586"/>
      <c r="CL95" s="586"/>
      <c r="CM95" s="585"/>
      <c r="CN95" s="584"/>
      <c r="CO95" s="585"/>
      <c r="CP95" s="585"/>
      <c r="CQ95" s="585"/>
      <c r="CR95" s="586"/>
      <c r="CS95" s="586"/>
      <c r="CT95" s="585"/>
      <c r="CU95" s="584"/>
      <c r="CV95" s="585"/>
      <c r="CW95" s="585"/>
      <c r="CX95" s="585"/>
      <c r="CY95" s="586"/>
      <c r="CZ95" s="586"/>
      <c r="DA95" s="585"/>
      <c r="DB95" s="584"/>
      <c r="DC95" s="585"/>
      <c r="DD95" s="585"/>
      <c r="DE95" s="585"/>
      <c r="DF95" s="586"/>
      <c r="DG95" s="586"/>
      <c r="DH95" s="585"/>
      <c r="DI95" s="584"/>
      <c r="DJ95" s="585"/>
      <c r="DK95" s="585"/>
      <c r="DL95" s="585"/>
      <c r="DM95" s="586"/>
      <c r="DN95" s="586"/>
      <c r="DO95" s="585"/>
      <c r="DP95" s="584"/>
      <c r="DQ95" s="585"/>
      <c r="DR95" s="585"/>
      <c r="DS95" s="585"/>
      <c r="DT95" s="586"/>
      <c r="DU95" s="586"/>
      <c r="DV95" s="585"/>
      <c r="DW95" s="584"/>
      <c r="DX95" s="585"/>
      <c r="DY95" s="585"/>
      <c r="DZ95" s="585"/>
      <c r="EA95" s="586"/>
      <c r="EB95" s="586"/>
      <c r="EC95" s="585"/>
      <c r="ED95" s="584"/>
      <c r="EE95" s="585"/>
      <c r="EF95" s="585"/>
      <c r="EG95" s="585"/>
      <c r="EH95" s="586"/>
      <c r="EI95" s="586"/>
      <c r="EJ95" s="585"/>
      <c r="EK95" s="584"/>
      <c r="EL95" s="585"/>
      <c r="EM95" s="585"/>
      <c r="EN95" s="585"/>
      <c r="EO95" s="586"/>
      <c r="EP95" s="586"/>
      <c r="EQ95" s="585"/>
      <c r="ER95" s="584"/>
      <c r="ES95" s="585"/>
      <c r="ET95" s="585"/>
      <c r="EU95" s="585"/>
      <c r="EV95" s="586"/>
      <c r="EW95" s="586"/>
      <c r="EX95" s="585"/>
      <c r="EY95" s="584"/>
      <c r="EZ95" s="585"/>
      <c r="FA95" s="585"/>
      <c r="FB95" s="585"/>
      <c r="FC95" s="586"/>
      <c r="FD95" s="586"/>
      <c r="FE95" s="585"/>
      <c r="FF95" s="584"/>
      <c r="FG95" s="585"/>
      <c r="FH95" s="585"/>
      <c r="FI95" s="585"/>
      <c r="FJ95" s="586"/>
      <c r="FK95" s="586"/>
      <c r="FL95" s="585"/>
      <c r="FM95" s="584"/>
      <c r="FN95" s="585"/>
      <c r="FO95" s="585"/>
      <c r="FP95" s="585"/>
      <c r="FQ95" s="586"/>
      <c r="FR95" s="586"/>
      <c r="FS95" s="585"/>
      <c r="FT95" s="584"/>
      <c r="FU95" s="585"/>
      <c r="FV95" s="585"/>
      <c r="FW95" s="585"/>
      <c r="FX95" s="586"/>
      <c r="FY95" s="586"/>
      <c r="FZ95" s="585"/>
      <c r="GA95" s="584"/>
      <c r="GB95" s="585"/>
      <c r="GC95" s="585"/>
      <c r="GD95" s="585"/>
      <c r="GE95" s="586"/>
      <c r="GF95" s="586"/>
      <c r="GG95" s="585"/>
      <c r="GH95" s="584"/>
      <c r="GI95" s="585"/>
      <c r="GJ95" s="585"/>
      <c r="GK95" s="585"/>
      <c r="GL95" s="586"/>
      <c r="GM95" s="586"/>
      <c r="GN95" s="585"/>
      <c r="GO95" s="584"/>
      <c r="GP95" s="585"/>
      <c r="GQ95" s="585"/>
      <c r="GR95" s="585"/>
      <c r="GS95" s="586"/>
      <c r="GT95" s="586"/>
      <c r="GU95" s="585"/>
      <c r="GV95" s="584"/>
      <c r="GW95" s="585"/>
      <c r="GX95" s="585"/>
      <c r="GY95" s="585"/>
      <c r="GZ95" s="586"/>
      <c r="HA95" s="586"/>
      <c r="HB95" s="585"/>
      <c r="HC95" s="584"/>
      <c r="HD95" s="585"/>
      <c r="HE95" s="585"/>
      <c r="HF95" s="585"/>
      <c r="HG95" s="586"/>
      <c r="HH95" s="586"/>
      <c r="HI95" s="585"/>
      <c r="HJ95" s="584"/>
      <c r="HK95" s="585"/>
      <c r="HL95" s="585"/>
      <c r="HM95" s="585"/>
      <c r="HN95" s="586"/>
      <c r="HO95" s="586"/>
      <c r="HP95" s="585"/>
      <c r="HQ95" s="584"/>
      <c r="HR95" s="585"/>
      <c r="HS95" s="585"/>
      <c r="HT95" s="585"/>
      <c r="HU95" s="586"/>
      <c r="HV95" s="586"/>
      <c r="HW95" s="585"/>
      <c r="HX95" s="584"/>
      <c r="HY95" s="585"/>
      <c r="HZ95" s="585"/>
      <c r="IA95" s="585"/>
      <c r="IB95" s="586"/>
      <c r="IC95" s="586"/>
      <c r="ID95" s="585"/>
      <c r="IE95" s="584"/>
      <c r="IF95" s="585"/>
      <c r="IG95" s="585"/>
      <c r="IH95" s="585"/>
      <c r="II95" s="586"/>
      <c r="IJ95" s="586"/>
      <c r="IK95" s="585"/>
      <c r="IL95" s="584"/>
      <c r="IM95" s="585"/>
      <c r="IN95" s="585"/>
      <c r="IO95" s="585"/>
      <c r="IP95" s="586"/>
      <c r="IQ95" s="586"/>
      <c r="IR95" s="585"/>
      <c r="IS95" s="584"/>
      <c r="IT95" s="585"/>
      <c r="IU95" s="585"/>
      <c r="IV95" s="585"/>
    </row>
    <row r="96" spans="1:256" ht="12.75">
      <c r="A96" s="473" t="s">
        <v>269</v>
      </c>
      <c r="B96" s="507">
        <v>10</v>
      </c>
      <c r="C96" s="507"/>
      <c r="D96" s="507"/>
      <c r="E96" s="40"/>
      <c r="F96" s="40"/>
      <c r="G96" s="507"/>
      <c r="H96" s="587"/>
      <c r="I96" s="510"/>
      <c r="J96" s="510"/>
      <c r="K96" s="510"/>
      <c r="L96" s="588"/>
      <c r="M96" s="588"/>
      <c r="N96" s="510"/>
      <c r="O96" s="587"/>
      <c r="P96" s="510"/>
      <c r="Q96" s="510"/>
      <c r="R96" s="510"/>
      <c r="S96" s="588"/>
      <c r="T96" s="588"/>
      <c r="U96" s="510"/>
      <c r="V96" s="587"/>
      <c r="W96" s="510"/>
      <c r="X96" s="510"/>
      <c r="Y96" s="510"/>
      <c r="Z96" s="588"/>
      <c r="AA96" s="588"/>
      <c r="AB96" s="510"/>
      <c r="AC96" s="587"/>
      <c r="AD96" s="510"/>
      <c r="AE96" s="510"/>
      <c r="AF96" s="510"/>
      <c r="AG96" s="588"/>
      <c r="AH96" s="588"/>
      <c r="AI96" s="510"/>
      <c r="AJ96" s="587"/>
      <c r="AK96" s="510"/>
      <c r="AL96" s="510"/>
      <c r="AM96" s="510"/>
      <c r="AN96" s="588"/>
      <c r="AO96" s="588"/>
      <c r="AP96" s="510"/>
      <c r="AQ96" s="587"/>
      <c r="AR96" s="510"/>
      <c r="AS96" s="510"/>
      <c r="AT96" s="510"/>
      <c r="AU96" s="588"/>
      <c r="AV96" s="588"/>
      <c r="AW96" s="510"/>
      <c r="AX96" s="587"/>
      <c r="AY96" s="510"/>
      <c r="AZ96" s="510"/>
      <c r="BA96" s="510"/>
      <c r="BB96" s="588"/>
      <c r="BC96" s="588"/>
      <c r="BD96" s="510"/>
      <c r="BE96" s="587"/>
      <c r="BF96" s="510"/>
      <c r="BG96" s="510"/>
      <c r="BH96" s="510"/>
      <c r="BI96" s="588"/>
      <c r="BJ96" s="588"/>
      <c r="BK96" s="510"/>
      <c r="BL96" s="587"/>
      <c r="BM96" s="510"/>
      <c r="BN96" s="510"/>
      <c r="BO96" s="510"/>
      <c r="BP96" s="588"/>
      <c r="BQ96" s="588"/>
      <c r="BR96" s="510"/>
      <c r="BS96" s="587"/>
      <c r="BT96" s="510"/>
      <c r="BU96" s="510"/>
      <c r="BV96" s="510"/>
      <c r="BW96" s="588"/>
      <c r="BX96" s="588"/>
      <c r="BY96" s="510"/>
      <c r="BZ96" s="587"/>
      <c r="CA96" s="510"/>
      <c r="CB96" s="510"/>
      <c r="CC96" s="510"/>
      <c r="CD96" s="588"/>
      <c r="CE96" s="588"/>
      <c r="CF96" s="510"/>
      <c r="CG96" s="587"/>
      <c r="CH96" s="510"/>
      <c r="CI96" s="510"/>
      <c r="CJ96" s="510"/>
      <c r="CK96" s="588"/>
      <c r="CL96" s="588"/>
      <c r="CM96" s="510"/>
      <c r="CN96" s="587"/>
      <c r="CO96" s="510"/>
      <c r="CP96" s="510"/>
      <c r="CQ96" s="510"/>
      <c r="CR96" s="588"/>
      <c r="CS96" s="588"/>
      <c r="CT96" s="510"/>
      <c r="CU96" s="587"/>
      <c r="CV96" s="510"/>
      <c r="CW96" s="510"/>
      <c r="CX96" s="510"/>
      <c r="CY96" s="588"/>
      <c r="CZ96" s="588"/>
      <c r="DA96" s="510"/>
      <c r="DB96" s="587"/>
      <c r="DC96" s="510"/>
      <c r="DD96" s="510"/>
      <c r="DE96" s="510"/>
      <c r="DF96" s="588"/>
      <c r="DG96" s="588"/>
      <c r="DH96" s="510"/>
      <c r="DI96" s="587"/>
      <c r="DJ96" s="510"/>
      <c r="DK96" s="510"/>
      <c r="DL96" s="510"/>
      <c r="DM96" s="588"/>
      <c r="DN96" s="588"/>
      <c r="DO96" s="510"/>
      <c r="DP96" s="587"/>
      <c r="DQ96" s="510"/>
      <c r="DR96" s="510"/>
      <c r="DS96" s="510"/>
      <c r="DT96" s="588"/>
      <c r="DU96" s="588"/>
      <c r="DV96" s="510"/>
      <c r="DW96" s="587"/>
      <c r="DX96" s="510"/>
      <c r="DY96" s="510"/>
      <c r="DZ96" s="510"/>
      <c r="EA96" s="588"/>
      <c r="EB96" s="588"/>
      <c r="EC96" s="510"/>
      <c r="ED96" s="587"/>
      <c r="EE96" s="510"/>
      <c r="EF96" s="510"/>
      <c r="EG96" s="510"/>
      <c r="EH96" s="588"/>
      <c r="EI96" s="588"/>
      <c r="EJ96" s="510"/>
      <c r="EK96" s="587"/>
      <c r="EL96" s="510"/>
      <c r="EM96" s="510"/>
      <c r="EN96" s="510"/>
      <c r="EO96" s="588"/>
      <c r="EP96" s="588"/>
      <c r="EQ96" s="510"/>
      <c r="ER96" s="587"/>
      <c r="ES96" s="510"/>
      <c r="ET96" s="510"/>
      <c r="EU96" s="510"/>
      <c r="EV96" s="588"/>
      <c r="EW96" s="588"/>
      <c r="EX96" s="510"/>
      <c r="EY96" s="587"/>
      <c r="EZ96" s="510"/>
      <c r="FA96" s="510"/>
      <c r="FB96" s="510"/>
      <c r="FC96" s="588"/>
      <c r="FD96" s="588"/>
      <c r="FE96" s="510"/>
      <c r="FF96" s="587"/>
      <c r="FG96" s="510"/>
      <c r="FH96" s="510"/>
      <c r="FI96" s="510"/>
      <c r="FJ96" s="588"/>
      <c r="FK96" s="588"/>
      <c r="FL96" s="510"/>
      <c r="FM96" s="587"/>
      <c r="FN96" s="510"/>
      <c r="FO96" s="510"/>
      <c r="FP96" s="510"/>
      <c r="FQ96" s="588"/>
      <c r="FR96" s="588"/>
      <c r="FS96" s="510"/>
      <c r="FT96" s="587"/>
      <c r="FU96" s="510"/>
      <c r="FV96" s="510"/>
      <c r="FW96" s="510"/>
      <c r="FX96" s="588"/>
      <c r="FY96" s="588"/>
      <c r="FZ96" s="510"/>
      <c r="GA96" s="587"/>
      <c r="GB96" s="510"/>
      <c r="GC96" s="510"/>
      <c r="GD96" s="510"/>
      <c r="GE96" s="588"/>
      <c r="GF96" s="588"/>
      <c r="GG96" s="510"/>
      <c r="GH96" s="587"/>
      <c r="GI96" s="510"/>
      <c r="GJ96" s="510"/>
      <c r="GK96" s="510"/>
      <c r="GL96" s="588"/>
      <c r="GM96" s="588"/>
      <c r="GN96" s="510"/>
      <c r="GO96" s="587"/>
      <c r="GP96" s="510"/>
      <c r="GQ96" s="510"/>
      <c r="GR96" s="510"/>
      <c r="GS96" s="588"/>
      <c r="GT96" s="588"/>
      <c r="GU96" s="510"/>
      <c r="GV96" s="587"/>
      <c r="GW96" s="510"/>
      <c r="GX96" s="510"/>
      <c r="GY96" s="510"/>
      <c r="GZ96" s="588"/>
      <c r="HA96" s="588"/>
      <c r="HB96" s="510"/>
      <c r="HC96" s="587"/>
      <c r="HD96" s="510"/>
      <c r="HE96" s="510"/>
      <c r="HF96" s="510"/>
      <c r="HG96" s="588"/>
      <c r="HH96" s="588"/>
      <c r="HI96" s="510"/>
      <c r="HJ96" s="587"/>
      <c r="HK96" s="510"/>
      <c r="HL96" s="510"/>
      <c r="HM96" s="510"/>
      <c r="HN96" s="588"/>
      <c r="HO96" s="588"/>
      <c r="HP96" s="510"/>
      <c r="HQ96" s="587"/>
      <c r="HR96" s="510"/>
      <c r="HS96" s="510"/>
      <c r="HT96" s="510"/>
      <c r="HU96" s="588"/>
      <c r="HV96" s="588"/>
      <c r="HW96" s="510"/>
      <c r="HX96" s="587"/>
      <c r="HY96" s="510"/>
      <c r="HZ96" s="510"/>
      <c r="IA96" s="510"/>
      <c r="IB96" s="588"/>
      <c r="IC96" s="588"/>
      <c r="ID96" s="510"/>
      <c r="IE96" s="587"/>
      <c r="IF96" s="510"/>
      <c r="IG96" s="510"/>
      <c r="IH96" s="510"/>
      <c r="II96" s="588"/>
      <c r="IJ96" s="588"/>
      <c r="IK96" s="510"/>
      <c r="IL96" s="587"/>
      <c r="IM96" s="510"/>
      <c r="IN96" s="510"/>
      <c r="IO96" s="510"/>
      <c r="IP96" s="588"/>
      <c r="IQ96" s="588"/>
      <c r="IR96" s="510"/>
      <c r="IS96" s="587"/>
      <c r="IT96" s="510"/>
      <c r="IU96" s="510"/>
      <c r="IV96" s="510"/>
    </row>
    <row r="97" spans="1:256" ht="12.75">
      <c r="A97" s="473" t="s">
        <v>270</v>
      </c>
      <c r="B97" s="507">
        <v>40</v>
      </c>
      <c r="C97" s="507"/>
      <c r="D97" s="507"/>
      <c r="E97" s="40"/>
      <c r="F97" s="40"/>
      <c r="G97" s="507"/>
      <c r="H97" s="587"/>
      <c r="I97" s="510"/>
      <c r="J97" s="510"/>
      <c r="K97" s="510"/>
      <c r="L97" s="588"/>
      <c r="M97" s="588"/>
      <c r="N97" s="510"/>
      <c r="O97" s="587"/>
      <c r="P97" s="510"/>
      <c r="Q97" s="510"/>
      <c r="R97" s="510"/>
      <c r="S97" s="588"/>
      <c r="T97" s="588"/>
      <c r="U97" s="510"/>
      <c r="V97" s="587"/>
      <c r="W97" s="510"/>
      <c r="X97" s="510"/>
      <c r="Y97" s="510"/>
      <c r="Z97" s="588"/>
      <c r="AA97" s="588"/>
      <c r="AB97" s="510"/>
      <c r="AC97" s="587"/>
      <c r="AD97" s="510"/>
      <c r="AE97" s="510"/>
      <c r="AF97" s="510"/>
      <c r="AG97" s="588"/>
      <c r="AH97" s="588"/>
      <c r="AI97" s="510"/>
      <c r="AJ97" s="587"/>
      <c r="AK97" s="510"/>
      <c r="AL97" s="510"/>
      <c r="AM97" s="510"/>
      <c r="AN97" s="588"/>
      <c r="AO97" s="588"/>
      <c r="AP97" s="510"/>
      <c r="AQ97" s="587"/>
      <c r="AR97" s="510"/>
      <c r="AS97" s="510"/>
      <c r="AT97" s="510"/>
      <c r="AU97" s="588"/>
      <c r="AV97" s="588"/>
      <c r="AW97" s="510"/>
      <c r="AX97" s="587"/>
      <c r="AY97" s="510"/>
      <c r="AZ97" s="510"/>
      <c r="BA97" s="510"/>
      <c r="BB97" s="588"/>
      <c r="BC97" s="588"/>
      <c r="BD97" s="510"/>
      <c r="BE97" s="587"/>
      <c r="BF97" s="510"/>
      <c r="BG97" s="510"/>
      <c r="BH97" s="510"/>
      <c r="BI97" s="588"/>
      <c r="BJ97" s="588"/>
      <c r="BK97" s="510"/>
      <c r="BL97" s="587"/>
      <c r="BM97" s="510"/>
      <c r="BN97" s="510"/>
      <c r="BO97" s="510"/>
      <c r="BP97" s="588"/>
      <c r="BQ97" s="588"/>
      <c r="BR97" s="510"/>
      <c r="BS97" s="587"/>
      <c r="BT97" s="510"/>
      <c r="BU97" s="510"/>
      <c r="BV97" s="510"/>
      <c r="BW97" s="588"/>
      <c r="BX97" s="588"/>
      <c r="BY97" s="510"/>
      <c r="BZ97" s="587"/>
      <c r="CA97" s="510"/>
      <c r="CB97" s="510"/>
      <c r="CC97" s="510"/>
      <c r="CD97" s="588"/>
      <c r="CE97" s="588"/>
      <c r="CF97" s="510"/>
      <c r="CG97" s="587"/>
      <c r="CH97" s="510"/>
      <c r="CI97" s="510"/>
      <c r="CJ97" s="510"/>
      <c r="CK97" s="588"/>
      <c r="CL97" s="588"/>
      <c r="CM97" s="510"/>
      <c r="CN97" s="587"/>
      <c r="CO97" s="510"/>
      <c r="CP97" s="510"/>
      <c r="CQ97" s="510"/>
      <c r="CR97" s="588"/>
      <c r="CS97" s="588"/>
      <c r="CT97" s="510"/>
      <c r="CU97" s="587"/>
      <c r="CV97" s="510"/>
      <c r="CW97" s="510"/>
      <c r="CX97" s="510"/>
      <c r="CY97" s="588"/>
      <c r="CZ97" s="588"/>
      <c r="DA97" s="510"/>
      <c r="DB97" s="587"/>
      <c r="DC97" s="510"/>
      <c r="DD97" s="510"/>
      <c r="DE97" s="510"/>
      <c r="DF97" s="588"/>
      <c r="DG97" s="588"/>
      <c r="DH97" s="510"/>
      <c r="DI97" s="587"/>
      <c r="DJ97" s="510"/>
      <c r="DK97" s="510"/>
      <c r="DL97" s="510"/>
      <c r="DM97" s="588"/>
      <c r="DN97" s="588"/>
      <c r="DO97" s="510"/>
      <c r="DP97" s="587"/>
      <c r="DQ97" s="510"/>
      <c r="DR97" s="510"/>
      <c r="DS97" s="510"/>
      <c r="DT97" s="588"/>
      <c r="DU97" s="588"/>
      <c r="DV97" s="510"/>
      <c r="DW97" s="587"/>
      <c r="DX97" s="510"/>
      <c r="DY97" s="510"/>
      <c r="DZ97" s="510"/>
      <c r="EA97" s="588"/>
      <c r="EB97" s="588"/>
      <c r="EC97" s="510"/>
      <c r="ED97" s="587"/>
      <c r="EE97" s="510"/>
      <c r="EF97" s="510"/>
      <c r="EG97" s="510"/>
      <c r="EH97" s="588"/>
      <c r="EI97" s="588"/>
      <c r="EJ97" s="510"/>
      <c r="EK97" s="587"/>
      <c r="EL97" s="510"/>
      <c r="EM97" s="510"/>
      <c r="EN97" s="510"/>
      <c r="EO97" s="588"/>
      <c r="EP97" s="588"/>
      <c r="EQ97" s="510"/>
      <c r="ER97" s="587"/>
      <c r="ES97" s="510"/>
      <c r="ET97" s="510"/>
      <c r="EU97" s="510"/>
      <c r="EV97" s="588"/>
      <c r="EW97" s="588"/>
      <c r="EX97" s="510"/>
      <c r="EY97" s="587"/>
      <c r="EZ97" s="510"/>
      <c r="FA97" s="510"/>
      <c r="FB97" s="510"/>
      <c r="FC97" s="588"/>
      <c r="FD97" s="588"/>
      <c r="FE97" s="510"/>
      <c r="FF97" s="587"/>
      <c r="FG97" s="510"/>
      <c r="FH97" s="510"/>
      <c r="FI97" s="510"/>
      <c r="FJ97" s="588"/>
      <c r="FK97" s="588"/>
      <c r="FL97" s="510"/>
      <c r="FM97" s="587"/>
      <c r="FN97" s="510"/>
      <c r="FO97" s="510"/>
      <c r="FP97" s="510"/>
      <c r="FQ97" s="588"/>
      <c r="FR97" s="588"/>
      <c r="FS97" s="510"/>
      <c r="FT97" s="587"/>
      <c r="FU97" s="510"/>
      <c r="FV97" s="510"/>
      <c r="FW97" s="510"/>
      <c r="FX97" s="588"/>
      <c r="FY97" s="588"/>
      <c r="FZ97" s="510"/>
      <c r="GA97" s="587"/>
      <c r="GB97" s="510"/>
      <c r="GC97" s="510"/>
      <c r="GD97" s="510"/>
      <c r="GE97" s="588"/>
      <c r="GF97" s="588"/>
      <c r="GG97" s="510"/>
      <c r="GH97" s="587"/>
      <c r="GI97" s="510"/>
      <c r="GJ97" s="510"/>
      <c r="GK97" s="510"/>
      <c r="GL97" s="588"/>
      <c r="GM97" s="588"/>
      <c r="GN97" s="510"/>
      <c r="GO97" s="587"/>
      <c r="GP97" s="510"/>
      <c r="GQ97" s="510"/>
      <c r="GR97" s="510"/>
      <c r="GS97" s="588"/>
      <c r="GT97" s="588"/>
      <c r="GU97" s="510"/>
      <c r="GV97" s="587"/>
      <c r="GW97" s="510"/>
      <c r="GX97" s="510"/>
      <c r="GY97" s="510"/>
      <c r="GZ97" s="588"/>
      <c r="HA97" s="588"/>
      <c r="HB97" s="510"/>
      <c r="HC97" s="587"/>
      <c r="HD97" s="510"/>
      <c r="HE97" s="510"/>
      <c r="HF97" s="510"/>
      <c r="HG97" s="588"/>
      <c r="HH97" s="588"/>
      <c r="HI97" s="510"/>
      <c r="HJ97" s="587"/>
      <c r="HK97" s="510"/>
      <c r="HL97" s="510"/>
      <c r="HM97" s="510"/>
      <c r="HN97" s="588"/>
      <c r="HO97" s="588"/>
      <c r="HP97" s="510"/>
      <c r="HQ97" s="587"/>
      <c r="HR97" s="510"/>
      <c r="HS97" s="510"/>
      <c r="HT97" s="510"/>
      <c r="HU97" s="588"/>
      <c r="HV97" s="588"/>
      <c r="HW97" s="510"/>
      <c r="HX97" s="587"/>
      <c r="HY97" s="510"/>
      <c r="HZ97" s="510"/>
      <c r="IA97" s="510"/>
      <c r="IB97" s="588"/>
      <c r="IC97" s="588"/>
      <c r="ID97" s="510"/>
      <c r="IE97" s="587"/>
      <c r="IF97" s="510"/>
      <c r="IG97" s="510"/>
      <c r="IH97" s="510"/>
      <c r="II97" s="588"/>
      <c r="IJ97" s="588"/>
      <c r="IK97" s="510"/>
      <c r="IL97" s="587"/>
      <c r="IM97" s="510"/>
      <c r="IN97" s="510"/>
      <c r="IO97" s="510"/>
      <c r="IP97" s="588"/>
      <c r="IQ97" s="588"/>
      <c r="IR97" s="510"/>
      <c r="IS97" s="587"/>
      <c r="IT97" s="510"/>
      <c r="IU97" s="510"/>
      <c r="IV97" s="510"/>
    </row>
    <row r="98" spans="1:256" ht="36">
      <c r="A98" s="509" t="s">
        <v>343</v>
      </c>
      <c r="B98" s="248">
        <v>3858</v>
      </c>
      <c r="C98" s="248">
        <v>366</v>
      </c>
      <c r="D98" s="248">
        <v>138</v>
      </c>
      <c r="E98" s="16">
        <v>3.576982892690513</v>
      </c>
      <c r="F98" s="16">
        <v>37.704918032786885</v>
      </c>
      <c r="G98" s="248">
        <v>138</v>
      </c>
      <c r="H98" s="591"/>
      <c r="I98" s="580"/>
      <c r="J98" s="580"/>
      <c r="K98" s="580"/>
      <c r="L98" s="581"/>
      <c r="M98" s="581"/>
      <c r="N98" s="580"/>
      <c r="O98" s="591"/>
      <c r="P98" s="580"/>
      <c r="Q98" s="580"/>
      <c r="R98" s="580"/>
      <c r="S98" s="581"/>
      <c r="T98" s="581"/>
      <c r="U98" s="580"/>
      <c r="V98" s="591"/>
      <c r="W98" s="580"/>
      <c r="X98" s="580"/>
      <c r="Y98" s="580"/>
      <c r="Z98" s="581"/>
      <c r="AA98" s="581"/>
      <c r="AB98" s="580"/>
      <c r="AC98" s="591"/>
      <c r="AD98" s="580"/>
      <c r="AE98" s="580"/>
      <c r="AF98" s="580"/>
      <c r="AG98" s="581"/>
      <c r="AH98" s="581"/>
      <c r="AI98" s="580"/>
      <c r="AJ98" s="591"/>
      <c r="AK98" s="580"/>
      <c r="AL98" s="580"/>
      <c r="AM98" s="580"/>
      <c r="AN98" s="581"/>
      <c r="AO98" s="581"/>
      <c r="AP98" s="580"/>
      <c r="AQ98" s="591"/>
      <c r="AR98" s="580"/>
      <c r="AS98" s="580"/>
      <c r="AT98" s="580"/>
      <c r="AU98" s="581"/>
      <c r="AV98" s="581"/>
      <c r="AW98" s="580"/>
      <c r="AX98" s="591"/>
      <c r="AY98" s="580"/>
      <c r="AZ98" s="580"/>
      <c r="BA98" s="580"/>
      <c r="BB98" s="581"/>
      <c r="BC98" s="581"/>
      <c r="BD98" s="580"/>
      <c r="BE98" s="591"/>
      <c r="BF98" s="580"/>
      <c r="BG98" s="580"/>
      <c r="BH98" s="580"/>
      <c r="BI98" s="581"/>
      <c r="BJ98" s="581"/>
      <c r="BK98" s="580"/>
      <c r="BL98" s="591"/>
      <c r="BM98" s="580"/>
      <c r="BN98" s="580"/>
      <c r="BO98" s="580"/>
      <c r="BP98" s="581"/>
      <c r="BQ98" s="581"/>
      <c r="BR98" s="580"/>
      <c r="BS98" s="591"/>
      <c r="BT98" s="580"/>
      <c r="BU98" s="580"/>
      <c r="BV98" s="580"/>
      <c r="BW98" s="581"/>
      <c r="BX98" s="581"/>
      <c r="BY98" s="580"/>
      <c r="BZ98" s="591"/>
      <c r="CA98" s="580"/>
      <c r="CB98" s="580"/>
      <c r="CC98" s="580"/>
      <c r="CD98" s="581"/>
      <c r="CE98" s="581"/>
      <c r="CF98" s="580"/>
      <c r="CG98" s="591"/>
      <c r="CH98" s="580"/>
      <c r="CI98" s="580"/>
      <c r="CJ98" s="580"/>
      <c r="CK98" s="581"/>
      <c r="CL98" s="581"/>
      <c r="CM98" s="580"/>
      <c r="CN98" s="591"/>
      <c r="CO98" s="580"/>
      <c r="CP98" s="580"/>
      <c r="CQ98" s="580"/>
      <c r="CR98" s="581"/>
      <c r="CS98" s="581"/>
      <c r="CT98" s="580"/>
      <c r="CU98" s="591"/>
      <c r="CV98" s="580"/>
      <c r="CW98" s="580"/>
      <c r="CX98" s="580"/>
      <c r="CY98" s="581"/>
      <c r="CZ98" s="581"/>
      <c r="DA98" s="580"/>
      <c r="DB98" s="591"/>
      <c r="DC98" s="580"/>
      <c r="DD98" s="580"/>
      <c r="DE98" s="580"/>
      <c r="DF98" s="581"/>
      <c r="DG98" s="581"/>
      <c r="DH98" s="580"/>
      <c r="DI98" s="591"/>
      <c r="DJ98" s="580"/>
      <c r="DK98" s="580"/>
      <c r="DL98" s="580"/>
      <c r="DM98" s="581"/>
      <c r="DN98" s="581"/>
      <c r="DO98" s="580"/>
      <c r="DP98" s="591"/>
      <c r="DQ98" s="580"/>
      <c r="DR98" s="580"/>
      <c r="DS98" s="580"/>
      <c r="DT98" s="581"/>
      <c r="DU98" s="581"/>
      <c r="DV98" s="580"/>
      <c r="DW98" s="591"/>
      <c r="DX98" s="580"/>
      <c r="DY98" s="580"/>
      <c r="DZ98" s="580"/>
      <c r="EA98" s="581"/>
      <c r="EB98" s="581"/>
      <c r="EC98" s="580"/>
      <c r="ED98" s="591"/>
      <c r="EE98" s="580"/>
      <c r="EF98" s="580"/>
      <c r="EG98" s="580"/>
      <c r="EH98" s="581"/>
      <c r="EI98" s="581"/>
      <c r="EJ98" s="580"/>
      <c r="EK98" s="591"/>
      <c r="EL98" s="580"/>
      <c r="EM98" s="580"/>
      <c r="EN98" s="580"/>
      <c r="EO98" s="581"/>
      <c r="EP98" s="581"/>
      <c r="EQ98" s="580"/>
      <c r="ER98" s="591"/>
      <c r="ES98" s="580"/>
      <c r="ET98" s="580"/>
      <c r="EU98" s="580"/>
      <c r="EV98" s="581"/>
      <c r="EW98" s="581"/>
      <c r="EX98" s="580"/>
      <c r="EY98" s="591"/>
      <c r="EZ98" s="580"/>
      <c r="FA98" s="580"/>
      <c r="FB98" s="580"/>
      <c r="FC98" s="581"/>
      <c r="FD98" s="581"/>
      <c r="FE98" s="580"/>
      <c r="FF98" s="591"/>
      <c r="FG98" s="580"/>
      <c r="FH98" s="580"/>
      <c r="FI98" s="580"/>
      <c r="FJ98" s="581"/>
      <c r="FK98" s="581"/>
      <c r="FL98" s="580"/>
      <c r="FM98" s="591"/>
      <c r="FN98" s="580"/>
      <c r="FO98" s="580"/>
      <c r="FP98" s="580"/>
      <c r="FQ98" s="581"/>
      <c r="FR98" s="581"/>
      <c r="FS98" s="580"/>
      <c r="FT98" s="591"/>
      <c r="FU98" s="580"/>
      <c r="FV98" s="580"/>
      <c r="FW98" s="580"/>
      <c r="FX98" s="581"/>
      <c r="FY98" s="581"/>
      <c r="FZ98" s="580"/>
      <c r="GA98" s="591"/>
      <c r="GB98" s="580"/>
      <c r="GC98" s="580"/>
      <c r="GD98" s="580"/>
      <c r="GE98" s="581"/>
      <c r="GF98" s="581"/>
      <c r="GG98" s="580"/>
      <c r="GH98" s="591"/>
      <c r="GI98" s="580"/>
      <c r="GJ98" s="580"/>
      <c r="GK98" s="580"/>
      <c r="GL98" s="581"/>
      <c r="GM98" s="581"/>
      <c r="GN98" s="580"/>
      <c r="GO98" s="591"/>
      <c r="GP98" s="580"/>
      <c r="GQ98" s="580"/>
      <c r="GR98" s="580"/>
      <c r="GS98" s="581"/>
      <c r="GT98" s="581"/>
      <c r="GU98" s="580"/>
      <c r="GV98" s="591"/>
      <c r="GW98" s="580"/>
      <c r="GX98" s="580"/>
      <c r="GY98" s="580"/>
      <c r="GZ98" s="581"/>
      <c r="HA98" s="581"/>
      <c r="HB98" s="580"/>
      <c r="HC98" s="591"/>
      <c r="HD98" s="580"/>
      <c r="HE98" s="580"/>
      <c r="HF98" s="580"/>
      <c r="HG98" s="581"/>
      <c r="HH98" s="581"/>
      <c r="HI98" s="580"/>
      <c r="HJ98" s="591"/>
      <c r="HK98" s="580"/>
      <c r="HL98" s="580"/>
      <c r="HM98" s="580"/>
      <c r="HN98" s="581"/>
      <c r="HO98" s="581"/>
      <c r="HP98" s="580"/>
      <c r="HQ98" s="591"/>
      <c r="HR98" s="580"/>
      <c r="HS98" s="580"/>
      <c r="HT98" s="580"/>
      <c r="HU98" s="581"/>
      <c r="HV98" s="581"/>
      <c r="HW98" s="580"/>
      <c r="HX98" s="591"/>
      <c r="HY98" s="580"/>
      <c r="HZ98" s="580"/>
      <c r="IA98" s="580"/>
      <c r="IB98" s="581"/>
      <c r="IC98" s="581"/>
      <c r="ID98" s="580"/>
      <c r="IE98" s="591"/>
      <c r="IF98" s="580"/>
      <c r="IG98" s="580"/>
      <c r="IH98" s="580"/>
      <c r="II98" s="581"/>
      <c r="IJ98" s="581"/>
      <c r="IK98" s="580"/>
      <c r="IL98" s="591"/>
      <c r="IM98" s="580"/>
      <c r="IN98" s="580"/>
      <c r="IO98" s="580"/>
      <c r="IP98" s="581"/>
      <c r="IQ98" s="581"/>
      <c r="IR98" s="580"/>
      <c r="IS98" s="591"/>
      <c r="IT98" s="580"/>
      <c r="IU98" s="580"/>
      <c r="IV98" s="580"/>
    </row>
    <row r="99" spans="1:256" ht="12.75">
      <c r="A99" s="505" t="s">
        <v>272</v>
      </c>
      <c r="B99" s="475">
        <v>3388</v>
      </c>
      <c r="C99" s="475">
        <v>356</v>
      </c>
      <c r="D99" s="475">
        <v>133</v>
      </c>
      <c r="E99" s="506">
        <v>3.925619834710744</v>
      </c>
      <c r="F99" s="506">
        <v>37.359550561797754</v>
      </c>
      <c r="G99" s="475">
        <v>133</v>
      </c>
      <c r="H99" s="584"/>
      <c r="I99" s="585"/>
      <c r="J99" s="585"/>
      <c r="K99" s="585"/>
      <c r="L99" s="586"/>
      <c r="M99" s="586"/>
      <c r="N99" s="585"/>
      <c r="O99" s="584"/>
      <c r="P99" s="585"/>
      <c r="Q99" s="585"/>
      <c r="R99" s="585"/>
      <c r="S99" s="586"/>
      <c r="T99" s="586"/>
      <c r="U99" s="585"/>
      <c r="V99" s="584"/>
      <c r="W99" s="585"/>
      <c r="X99" s="585"/>
      <c r="Y99" s="585"/>
      <c r="Z99" s="586"/>
      <c r="AA99" s="586"/>
      <c r="AB99" s="585"/>
      <c r="AC99" s="584"/>
      <c r="AD99" s="585"/>
      <c r="AE99" s="585"/>
      <c r="AF99" s="585"/>
      <c r="AG99" s="586"/>
      <c r="AH99" s="586"/>
      <c r="AI99" s="585"/>
      <c r="AJ99" s="584"/>
      <c r="AK99" s="585"/>
      <c r="AL99" s="585"/>
      <c r="AM99" s="585"/>
      <c r="AN99" s="586"/>
      <c r="AO99" s="586"/>
      <c r="AP99" s="585"/>
      <c r="AQ99" s="584"/>
      <c r="AR99" s="585"/>
      <c r="AS99" s="585"/>
      <c r="AT99" s="585"/>
      <c r="AU99" s="586"/>
      <c r="AV99" s="586"/>
      <c r="AW99" s="585"/>
      <c r="AX99" s="584"/>
      <c r="AY99" s="585"/>
      <c r="AZ99" s="585"/>
      <c r="BA99" s="585"/>
      <c r="BB99" s="586"/>
      <c r="BC99" s="586"/>
      <c r="BD99" s="585"/>
      <c r="BE99" s="584"/>
      <c r="BF99" s="585"/>
      <c r="BG99" s="585"/>
      <c r="BH99" s="585"/>
      <c r="BI99" s="586"/>
      <c r="BJ99" s="586"/>
      <c r="BK99" s="585"/>
      <c r="BL99" s="584"/>
      <c r="BM99" s="585"/>
      <c r="BN99" s="585"/>
      <c r="BO99" s="585"/>
      <c r="BP99" s="586"/>
      <c r="BQ99" s="586"/>
      <c r="BR99" s="585"/>
      <c r="BS99" s="584"/>
      <c r="BT99" s="585"/>
      <c r="BU99" s="585"/>
      <c r="BV99" s="585"/>
      <c r="BW99" s="586"/>
      <c r="BX99" s="586"/>
      <c r="BY99" s="585"/>
      <c r="BZ99" s="584"/>
      <c r="CA99" s="585"/>
      <c r="CB99" s="585"/>
      <c r="CC99" s="585"/>
      <c r="CD99" s="586"/>
      <c r="CE99" s="586"/>
      <c r="CF99" s="585"/>
      <c r="CG99" s="584"/>
      <c r="CH99" s="585"/>
      <c r="CI99" s="585"/>
      <c r="CJ99" s="585"/>
      <c r="CK99" s="586"/>
      <c r="CL99" s="586"/>
      <c r="CM99" s="585"/>
      <c r="CN99" s="584"/>
      <c r="CO99" s="585"/>
      <c r="CP99" s="585"/>
      <c r="CQ99" s="585"/>
      <c r="CR99" s="586"/>
      <c r="CS99" s="586"/>
      <c r="CT99" s="585"/>
      <c r="CU99" s="584"/>
      <c r="CV99" s="585"/>
      <c r="CW99" s="585"/>
      <c r="CX99" s="585"/>
      <c r="CY99" s="586"/>
      <c r="CZ99" s="586"/>
      <c r="DA99" s="585"/>
      <c r="DB99" s="584"/>
      <c r="DC99" s="585"/>
      <c r="DD99" s="585"/>
      <c r="DE99" s="585"/>
      <c r="DF99" s="586"/>
      <c r="DG99" s="586"/>
      <c r="DH99" s="585"/>
      <c r="DI99" s="584"/>
      <c r="DJ99" s="585"/>
      <c r="DK99" s="585"/>
      <c r="DL99" s="585"/>
      <c r="DM99" s="586"/>
      <c r="DN99" s="586"/>
      <c r="DO99" s="585"/>
      <c r="DP99" s="584"/>
      <c r="DQ99" s="585"/>
      <c r="DR99" s="585"/>
      <c r="DS99" s="585"/>
      <c r="DT99" s="586"/>
      <c r="DU99" s="586"/>
      <c r="DV99" s="585"/>
      <c r="DW99" s="584"/>
      <c r="DX99" s="585"/>
      <c r="DY99" s="585"/>
      <c r="DZ99" s="585"/>
      <c r="EA99" s="586"/>
      <c r="EB99" s="586"/>
      <c r="EC99" s="585"/>
      <c r="ED99" s="584"/>
      <c r="EE99" s="585"/>
      <c r="EF99" s="585"/>
      <c r="EG99" s="585"/>
      <c r="EH99" s="586"/>
      <c r="EI99" s="586"/>
      <c r="EJ99" s="585"/>
      <c r="EK99" s="584"/>
      <c r="EL99" s="585"/>
      <c r="EM99" s="585"/>
      <c r="EN99" s="585"/>
      <c r="EO99" s="586"/>
      <c r="EP99" s="586"/>
      <c r="EQ99" s="585"/>
      <c r="ER99" s="584"/>
      <c r="ES99" s="585"/>
      <c r="ET99" s="585"/>
      <c r="EU99" s="585"/>
      <c r="EV99" s="586"/>
      <c r="EW99" s="586"/>
      <c r="EX99" s="585"/>
      <c r="EY99" s="584"/>
      <c r="EZ99" s="585"/>
      <c r="FA99" s="585"/>
      <c r="FB99" s="585"/>
      <c r="FC99" s="586"/>
      <c r="FD99" s="586"/>
      <c r="FE99" s="585"/>
      <c r="FF99" s="584"/>
      <c r="FG99" s="585"/>
      <c r="FH99" s="585"/>
      <c r="FI99" s="585"/>
      <c r="FJ99" s="586"/>
      <c r="FK99" s="586"/>
      <c r="FL99" s="585"/>
      <c r="FM99" s="584"/>
      <c r="FN99" s="585"/>
      <c r="FO99" s="585"/>
      <c r="FP99" s="585"/>
      <c r="FQ99" s="586"/>
      <c r="FR99" s="586"/>
      <c r="FS99" s="585"/>
      <c r="FT99" s="584"/>
      <c r="FU99" s="585"/>
      <c r="FV99" s="585"/>
      <c r="FW99" s="585"/>
      <c r="FX99" s="586"/>
      <c r="FY99" s="586"/>
      <c r="FZ99" s="585"/>
      <c r="GA99" s="584"/>
      <c r="GB99" s="585"/>
      <c r="GC99" s="585"/>
      <c r="GD99" s="585"/>
      <c r="GE99" s="586"/>
      <c r="GF99" s="586"/>
      <c r="GG99" s="585"/>
      <c r="GH99" s="584"/>
      <c r="GI99" s="585"/>
      <c r="GJ99" s="585"/>
      <c r="GK99" s="585"/>
      <c r="GL99" s="586"/>
      <c r="GM99" s="586"/>
      <c r="GN99" s="585"/>
      <c r="GO99" s="584"/>
      <c r="GP99" s="585"/>
      <c r="GQ99" s="585"/>
      <c r="GR99" s="585"/>
      <c r="GS99" s="586"/>
      <c r="GT99" s="586"/>
      <c r="GU99" s="585"/>
      <c r="GV99" s="584"/>
      <c r="GW99" s="585"/>
      <c r="GX99" s="585"/>
      <c r="GY99" s="585"/>
      <c r="GZ99" s="586"/>
      <c r="HA99" s="586"/>
      <c r="HB99" s="585"/>
      <c r="HC99" s="584"/>
      <c r="HD99" s="585"/>
      <c r="HE99" s="585"/>
      <c r="HF99" s="585"/>
      <c r="HG99" s="586"/>
      <c r="HH99" s="586"/>
      <c r="HI99" s="585"/>
      <c r="HJ99" s="584"/>
      <c r="HK99" s="585"/>
      <c r="HL99" s="585"/>
      <c r="HM99" s="585"/>
      <c r="HN99" s="586"/>
      <c r="HO99" s="586"/>
      <c r="HP99" s="585"/>
      <c r="HQ99" s="584"/>
      <c r="HR99" s="585"/>
      <c r="HS99" s="585"/>
      <c r="HT99" s="585"/>
      <c r="HU99" s="586"/>
      <c r="HV99" s="586"/>
      <c r="HW99" s="585"/>
      <c r="HX99" s="584"/>
      <c r="HY99" s="585"/>
      <c r="HZ99" s="585"/>
      <c r="IA99" s="585"/>
      <c r="IB99" s="586"/>
      <c r="IC99" s="586"/>
      <c r="ID99" s="585"/>
      <c r="IE99" s="584"/>
      <c r="IF99" s="585"/>
      <c r="IG99" s="585"/>
      <c r="IH99" s="585"/>
      <c r="II99" s="586"/>
      <c r="IJ99" s="586"/>
      <c r="IK99" s="585"/>
      <c r="IL99" s="584"/>
      <c r="IM99" s="585"/>
      <c r="IN99" s="585"/>
      <c r="IO99" s="585"/>
      <c r="IP99" s="586"/>
      <c r="IQ99" s="586"/>
      <c r="IR99" s="585"/>
      <c r="IS99" s="584"/>
      <c r="IT99" s="585"/>
      <c r="IU99" s="585"/>
      <c r="IV99" s="585"/>
    </row>
    <row r="100" spans="1:256" ht="12.75">
      <c r="A100" s="473" t="s">
        <v>269</v>
      </c>
      <c r="B100" s="507">
        <v>2164</v>
      </c>
      <c r="C100" s="507">
        <v>356</v>
      </c>
      <c r="D100" s="507">
        <v>133</v>
      </c>
      <c r="E100" s="40">
        <v>6.146025878003697</v>
      </c>
      <c r="F100" s="40">
        <v>37.359550561797754</v>
      </c>
      <c r="G100" s="507">
        <v>133</v>
      </c>
      <c r="H100" s="587"/>
      <c r="I100" s="510"/>
      <c r="J100" s="510"/>
      <c r="K100" s="510"/>
      <c r="L100" s="588"/>
      <c r="M100" s="588"/>
      <c r="N100" s="510"/>
      <c r="O100" s="587"/>
      <c r="P100" s="510"/>
      <c r="Q100" s="510"/>
      <c r="R100" s="510"/>
      <c r="S100" s="588"/>
      <c r="T100" s="588"/>
      <c r="U100" s="510"/>
      <c r="V100" s="587"/>
      <c r="W100" s="510"/>
      <c r="X100" s="510"/>
      <c r="Y100" s="510"/>
      <c r="Z100" s="588"/>
      <c r="AA100" s="588"/>
      <c r="AB100" s="510"/>
      <c r="AC100" s="587"/>
      <c r="AD100" s="510"/>
      <c r="AE100" s="510"/>
      <c r="AF100" s="510"/>
      <c r="AG100" s="588"/>
      <c r="AH100" s="588"/>
      <c r="AI100" s="510"/>
      <c r="AJ100" s="587"/>
      <c r="AK100" s="510"/>
      <c r="AL100" s="510"/>
      <c r="AM100" s="510"/>
      <c r="AN100" s="588"/>
      <c r="AO100" s="588"/>
      <c r="AP100" s="510"/>
      <c r="AQ100" s="587"/>
      <c r="AR100" s="510"/>
      <c r="AS100" s="510"/>
      <c r="AT100" s="510"/>
      <c r="AU100" s="588"/>
      <c r="AV100" s="588"/>
      <c r="AW100" s="510"/>
      <c r="AX100" s="587"/>
      <c r="AY100" s="510"/>
      <c r="AZ100" s="510"/>
      <c r="BA100" s="510"/>
      <c r="BB100" s="588"/>
      <c r="BC100" s="588"/>
      <c r="BD100" s="510"/>
      <c r="BE100" s="587"/>
      <c r="BF100" s="510"/>
      <c r="BG100" s="510"/>
      <c r="BH100" s="510"/>
      <c r="BI100" s="588"/>
      <c r="BJ100" s="588"/>
      <c r="BK100" s="510"/>
      <c r="BL100" s="587"/>
      <c r="BM100" s="510"/>
      <c r="BN100" s="510"/>
      <c r="BO100" s="510"/>
      <c r="BP100" s="588"/>
      <c r="BQ100" s="588"/>
      <c r="BR100" s="510"/>
      <c r="BS100" s="587"/>
      <c r="BT100" s="510"/>
      <c r="BU100" s="510"/>
      <c r="BV100" s="510"/>
      <c r="BW100" s="588"/>
      <c r="BX100" s="588"/>
      <c r="BY100" s="510"/>
      <c r="BZ100" s="587"/>
      <c r="CA100" s="510"/>
      <c r="CB100" s="510"/>
      <c r="CC100" s="510"/>
      <c r="CD100" s="588"/>
      <c r="CE100" s="588"/>
      <c r="CF100" s="510"/>
      <c r="CG100" s="587"/>
      <c r="CH100" s="510"/>
      <c r="CI100" s="510"/>
      <c r="CJ100" s="510"/>
      <c r="CK100" s="588"/>
      <c r="CL100" s="588"/>
      <c r="CM100" s="510"/>
      <c r="CN100" s="587"/>
      <c r="CO100" s="510"/>
      <c r="CP100" s="510"/>
      <c r="CQ100" s="510"/>
      <c r="CR100" s="588"/>
      <c r="CS100" s="588"/>
      <c r="CT100" s="510"/>
      <c r="CU100" s="587"/>
      <c r="CV100" s="510"/>
      <c r="CW100" s="510"/>
      <c r="CX100" s="510"/>
      <c r="CY100" s="588"/>
      <c r="CZ100" s="588"/>
      <c r="DA100" s="510"/>
      <c r="DB100" s="587"/>
      <c r="DC100" s="510"/>
      <c r="DD100" s="510"/>
      <c r="DE100" s="510"/>
      <c r="DF100" s="588"/>
      <c r="DG100" s="588"/>
      <c r="DH100" s="510"/>
      <c r="DI100" s="587"/>
      <c r="DJ100" s="510"/>
      <c r="DK100" s="510"/>
      <c r="DL100" s="510"/>
      <c r="DM100" s="588"/>
      <c r="DN100" s="588"/>
      <c r="DO100" s="510"/>
      <c r="DP100" s="587"/>
      <c r="DQ100" s="510"/>
      <c r="DR100" s="510"/>
      <c r="DS100" s="510"/>
      <c r="DT100" s="588"/>
      <c r="DU100" s="588"/>
      <c r="DV100" s="510"/>
      <c r="DW100" s="587"/>
      <c r="DX100" s="510"/>
      <c r="DY100" s="510"/>
      <c r="DZ100" s="510"/>
      <c r="EA100" s="588"/>
      <c r="EB100" s="588"/>
      <c r="EC100" s="510"/>
      <c r="ED100" s="587"/>
      <c r="EE100" s="510"/>
      <c r="EF100" s="510"/>
      <c r="EG100" s="510"/>
      <c r="EH100" s="588"/>
      <c r="EI100" s="588"/>
      <c r="EJ100" s="510"/>
      <c r="EK100" s="587"/>
      <c r="EL100" s="510"/>
      <c r="EM100" s="510"/>
      <c r="EN100" s="510"/>
      <c r="EO100" s="588"/>
      <c r="EP100" s="588"/>
      <c r="EQ100" s="510"/>
      <c r="ER100" s="587"/>
      <c r="ES100" s="510"/>
      <c r="ET100" s="510"/>
      <c r="EU100" s="510"/>
      <c r="EV100" s="588"/>
      <c r="EW100" s="588"/>
      <c r="EX100" s="510"/>
      <c r="EY100" s="587"/>
      <c r="EZ100" s="510"/>
      <c r="FA100" s="510"/>
      <c r="FB100" s="510"/>
      <c r="FC100" s="588"/>
      <c r="FD100" s="588"/>
      <c r="FE100" s="510"/>
      <c r="FF100" s="587"/>
      <c r="FG100" s="510"/>
      <c r="FH100" s="510"/>
      <c r="FI100" s="510"/>
      <c r="FJ100" s="588"/>
      <c r="FK100" s="588"/>
      <c r="FL100" s="510"/>
      <c r="FM100" s="587"/>
      <c r="FN100" s="510"/>
      <c r="FO100" s="510"/>
      <c r="FP100" s="510"/>
      <c r="FQ100" s="588"/>
      <c r="FR100" s="588"/>
      <c r="FS100" s="510"/>
      <c r="FT100" s="587"/>
      <c r="FU100" s="510"/>
      <c r="FV100" s="510"/>
      <c r="FW100" s="510"/>
      <c r="FX100" s="588"/>
      <c r="FY100" s="588"/>
      <c r="FZ100" s="510"/>
      <c r="GA100" s="587"/>
      <c r="GB100" s="510"/>
      <c r="GC100" s="510"/>
      <c r="GD100" s="510"/>
      <c r="GE100" s="588"/>
      <c r="GF100" s="588"/>
      <c r="GG100" s="510"/>
      <c r="GH100" s="587"/>
      <c r="GI100" s="510"/>
      <c r="GJ100" s="510"/>
      <c r="GK100" s="510"/>
      <c r="GL100" s="588"/>
      <c r="GM100" s="588"/>
      <c r="GN100" s="510"/>
      <c r="GO100" s="587"/>
      <c r="GP100" s="510"/>
      <c r="GQ100" s="510"/>
      <c r="GR100" s="510"/>
      <c r="GS100" s="588"/>
      <c r="GT100" s="588"/>
      <c r="GU100" s="510"/>
      <c r="GV100" s="587"/>
      <c r="GW100" s="510"/>
      <c r="GX100" s="510"/>
      <c r="GY100" s="510"/>
      <c r="GZ100" s="588"/>
      <c r="HA100" s="588"/>
      <c r="HB100" s="510"/>
      <c r="HC100" s="587"/>
      <c r="HD100" s="510"/>
      <c r="HE100" s="510"/>
      <c r="HF100" s="510"/>
      <c r="HG100" s="588"/>
      <c r="HH100" s="588"/>
      <c r="HI100" s="510"/>
      <c r="HJ100" s="587"/>
      <c r="HK100" s="510"/>
      <c r="HL100" s="510"/>
      <c r="HM100" s="510"/>
      <c r="HN100" s="588"/>
      <c r="HO100" s="588"/>
      <c r="HP100" s="510"/>
      <c r="HQ100" s="587"/>
      <c r="HR100" s="510"/>
      <c r="HS100" s="510"/>
      <c r="HT100" s="510"/>
      <c r="HU100" s="588"/>
      <c r="HV100" s="588"/>
      <c r="HW100" s="510"/>
      <c r="HX100" s="587"/>
      <c r="HY100" s="510"/>
      <c r="HZ100" s="510"/>
      <c r="IA100" s="510"/>
      <c r="IB100" s="588"/>
      <c r="IC100" s="588"/>
      <c r="ID100" s="510"/>
      <c r="IE100" s="587"/>
      <c r="IF100" s="510"/>
      <c r="IG100" s="510"/>
      <c r="IH100" s="510"/>
      <c r="II100" s="588"/>
      <c r="IJ100" s="588"/>
      <c r="IK100" s="510"/>
      <c r="IL100" s="587"/>
      <c r="IM100" s="510"/>
      <c r="IN100" s="510"/>
      <c r="IO100" s="510"/>
      <c r="IP100" s="588"/>
      <c r="IQ100" s="588"/>
      <c r="IR100" s="510"/>
      <c r="IS100" s="587"/>
      <c r="IT100" s="510"/>
      <c r="IU100" s="510"/>
      <c r="IV100" s="510"/>
    </row>
    <row r="101" spans="1:256" ht="12.75">
      <c r="A101" s="473" t="s">
        <v>270</v>
      </c>
      <c r="B101" s="507">
        <v>1224</v>
      </c>
      <c r="C101" s="507"/>
      <c r="D101" s="507"/>
      <c r="E101" s="40"/>
      <c r="F101" s="40"/>
      <c r="G101" s="507"/>
      <c r="H101" s="587"/>
      <c r="I101" s="510"/>
      <c r="J101" s="510"/>
      <c r="K101" s="510"/>
      <c r="L101" s="588"/>
      <c r="M101" s="588"/>
      <c r="N101" s="510"/>
      <c r="O101" s="587"/>
      <c r="P101" s="510"/>
      <c r="Q101" s="510"/>
      <c r="R101" s="510"/>
      <c r="S101" s="588"/>
      <c r="T101" s="588"/>
      <c r="U101" s="510"/>
      <c r="V101" s="587"/>
      <c r="W101" s="510"/>
      <c r="X101" s="510"/>
      <c r="Y101" s="510"/>
      <c r="Z101" s="588"/>
      <c r="AA101" s="588"/>
      <c r="AB101" s="510"/>
      <c r="AC101" s="587"/>
      <c r="AD101" s="510"/>
      <c r="AE101" s="510"/>
      <c r="AF101" s="510"/>
      <c r="AG101" s="588"/>
      <c r="AH101" s="588"/>
      <c r="AI101" s="510"/>
      <c r="AJ101" s="587"/>
      <c r="AK101" s="510"/>
      <c r="AL101" s="510"/>
      <c r="AM101" s="510"/>
      <c r="AN101" s="588"/>
      <c r="AO101" s="588"/>
      <c r="AP101" s="510"/>
      <c r="AQ101" s="587"/>
      <c r="AR101" s="510"/>
      <c r="AS101" s="510"/>
      <c r="AT101" s="510"/>
      <c r="AU101" s="588"/>
      <c r="AV101" s="588"/>
      <c r="AW101" s="510"/>
      <c r="AX101" s="587"/>
      <c r="AY101" s="510"/>
      <c r="AZ101" s="510"/>
      <c r="BA101" s="510"/>
      <c r="BB101" s="588"/>
      <c r="BC101" s="588"/>
      <c r="BD101" s="510"/>
      <c r="BE101" s="587"/>
      <c r="BF101" s="510"/>
      <c r="BG101" s="510"/>
      <c r="BH101" s="510"/>
      <c r="BI101" s="588"/>
      <c r="BJ101" s="588"/>
      <c r="BK101" s="510"/>
      <c r="BL101" s="587"/>
      <c r="BM101" s="510"/>
      <c r="BN101" s="510"/>
      <c r="BO101" s="510"/>
      <c r="BP101" s="588"/>
      <c r="BQ101" s="588"/>
      <c r="BR101" s="510"/>
      <c r="BS101" s="587"/>
      <c r="BT101" s="510"/>
      <c r="BU101" s="510"/>
      <c r="BV101" s="510"/>
      <c r="BW101" s="588"/>
      <c r="BX101" s="588"/>
      <c r="BY101" s="510"/>
      <c r="BZ101" s="587"/>
      <c r="CA101" s="510"/>
      <c r="CB101" s="510"/>
      <c r="CC101" s="510"/>
      <c r="CD101" s="588"/>
      <c r="CE101" s="588"/>
      <c r="CF101" s="510"/>
      <c r="CG101" s="587"/>
      <c r="CH101" s="510"/>
      <c r="CI101" s="510"/>
      <c r="CJ101" s="510"/>
      <c r="CK101" s="588"/>
      <c r="CL101" s="588"/>
      <c r="CM101" s="510"/>
      <c r="CN101" s="587"/>
      <c r="CO101" s="510"/>
      <c r="CP101" s="510"/>
      <c r="CQ101" s="510"/>
      <c r="CR101" s="588"/>
      <c r="CS101" s="588"/>
      <c r="CT101" s="510"/>
      <c r="CU101" s="587"/>
      <c r="CV101" s="510"/>
      <c r="CW101" s="510"/>
      <c r="CX101" s="510"/>
      <c r="CY101" s="588"/>
      <c r="CZ101" s="588"/>
      <c r="DA101" s="510"/>
      <c r="DB101" s="587"/>
      <c r="DC101" s="510"/>
      <c r="DD101" s="510"/>
      <c r="DE101" s="510"/>
      <c r="DF101" s="588"/>
      <c r="DG101" s="588"/>
      <c r="DH101" s="510"/>
      <c r="DI101" s="587"/>
      <c r="DJ101" s="510"/>
      <c r="DK101" s="510"/>
      <c r="DL101" s="510"/>
      <c r="DM101" s="588"/>
      <c r="DN101" s="588"/>
      <c r="DO101" s="510"/>
      <c r="DP101" s="587"/>
      <c r="DQ101" s="510"/>
      <c r="DR101" s="510"/>
      <c r="DS101" s="510"/>
      <c r="DT101" s="588"/>
      <c r="DU101" s="588"/>
      <c r="DV101" s="510"/>
      <c r="DW101" s="587"/>
      <c r="DX101" s="510"/>
      <c r="DY101" s="510"/>
      <c r="DZ101" s="510"/>
      <c r="EA101" s="588"/>
      <c r="EB101" s="588"/>
      <c r="EC101" s="510"/>
      <c r="ED101" s="587"/>
      <c r="EE101" s="510"/>
      <c r="EF101" s="510"/>
      <c r="EG101" s="510"/>
      <c r="EH101" s="588"/>
      <c r="EI101" s="588"/>
      <c r="EJ101" s="510"/>
      <c r="EK101" s="587"/>
      <c r="EL101" s="510"/>
      <c r="EM101" s="510"/>
      <c r="EN101" s="510"/>
      <c r="EO101" s="588"/>
      <c r="EP101" s="588"/>
      <c r="EQ101" s="510"/>
      <c r="ER101" s="587"/>
      <c r="ES101" s="510"/>
      <c r="ET101" s="510"/>
      <c r="EU101" s="510"/>
      <c r="EV101" s="588"/>
      <c r="EW101" s="588"/>
      <c r="EX101" s="510"/>
      <c r="EY101" s="587"/>
      <c r="EZ101" s="510"/>
      <c r="FA101" s="510"/>
      <c r="FB101" s="510"/>
      <c r="FC101" s="588"/>
      <c r="FD101" s="588"/>
      <c r="FE101" s="510"/>
      <c r="FF101" s="587"/>
      <c r="FG101" s="510"/>
      <c r="FH101" s="510"/>
      <c r="FI101" s="510"/>
      <c r="FJ101" s="588"/>
      <c r="FK101" s="588"/>
      <c r="FL101" s="510"/>
      <c r="FM101" s="587"/>
      <c r="FN101" s="510"/>
      <c r="FO101" s="510"/>
      <c r="FP101" s="510"/>
      <c r="FQ101" s="588"/>
      <c r="FR101" s="588"/>
      <c r="FS101" s="510"/>
      <c r="FT101" s="587"/>
      <c r="FU101" s="510"/>
      <c r="FV101" s="510"/>
      <c r="FW101" s="510"/>
      <c r="FX101" s="588"/>
      <c r="FY101" s="588"/>
      <c r="FZ101" s="510"/>
      <c r="GA101" s="587"/>
      <c r="GB101" s="510"/>
      <c r="GC101" s="510"/>
      <c r="GD101" s="510"/>
      <c r="GE101" s="588"/>
      <c r="GF101" s="588"/>
      <c r="GG101" s="510"/>
      <c r="GH101" s="587"/>
      <c r="GI101" s="510"/>
      <c r="GJ101" s="510"/>
      <c r="GK101" s="510"/>
      <c r="GL101" s="588"/>
      <c r="GM101" s="588"/>
      <c r="GN101" s="510"/>
      <c r="GO101" s="587"/>
      <c r="GP101" s="510"/>
      <c r="GQ101" s="510"/>
      <c r="GR101" s="510"/>
      <c r="GS101" s="588"/>
      <c r="GT101" s="588"/>
      <c r="GU101" s="510"/>
      <c r="GV101" s="587"/>
      <c r="GW101" s="510"/>
      <c r="GX101" s="510"/>
      <c r="GY101" s="510"/>
      <c r="GZ101" s="588"/>
      <c r="HA101" s="588"/>
      <c r="HB101" s="510"/>
      <c r="HC101" s="587"/>
      <c r="HD101" s="510"/>
      <c r="HE101" s="510"/>
      <c r="HF101" s="510"/>
      <c r="HG101" s="588"/>
      <c r="HH101" s="588"/>
      <c r="HI101" s="510"/>
      <c r="HJ101" s="587"/>
      <c r="HK101" s="510"/>
      <c r="HL101" s="510"/>
      <c r="HM101" s="510"/>
      <c r="HN101" s="588"/>
      <c r="HO101" s="588"/>
      <c r="HP101" s="510"/>
      <c r="HQ101" s="587"/>
      <c r="HR101" s="510"/>
      <c r="HS101" s="510"/>
      <c r="HT101" s="510"/>
      <c r="HU101" s="588"/>
      <c r="HV101" s="588"/>
      <c r="HW101" s="510"/>
      <c r="HX101" s="587"/>
      <c r="HY101" s="510"/>
      <c r="HZ101" s="510"/>
      <c r="IA101" s="510"/>
      <c r="IB101" s="588"/>
      <c r="IC101" s="588"/>
      <c r="ID101" s="510"/>
      <c r="IE101" s="587"/>
      <c r="IF101" s="510"/>
      <c r="IG101" s="510"/>
      <c r="IH101" s="510"/>
      <c r="II101" s="588"/>
      <c r="IJ101" s="588"/>
      <c r="IK101" s="510"/>
      <c r="IL101" s="587"/>
      <c r="IM101" s="510"/>
      <c r="IN101" s="510"/>
      <c r="IO101" s="510"/>
      <c r="IP101" s="588"/>
      <c r="IQ101" s="588"/>
      <c r="IR101" s="510"/>
      <c r="IS101" s="587"/>
      <c r="IT101" s="510"/>
      <c r="IU101" s="510"/>
      <c r="IV101" s="510"/>
    </row>
    <row r="102" spans="1:256" ht="12.75">
      <c r="A102" s="505" t="s">
        <v>273</v>
      </c>
      <c r="B102" s="475">
        <v>470</v>
      </c>
      <c r="C102" s="475">
        <v>10</v>
      </c>
      <c r="D102" s="475">
        <v>5</v>
      </c>
      <c r="E102" s="506">
        <v>1.0638297872340425</v>
      </c>
      <c r="F102" s="506">
        <v>50</v>
      </c>
      <c r="G102" s="475">
        <v>5</v>
      </c>
      <c r="H102" s="584"/>
      <c r="I102" s="585"/>
      <c r="J102" s="585"/>
      <c r="K102" s="585"/>
      <c r="L102" s="586"/>
      <c r="M102" s="586"/>
      <c r="N102" s="585"/>
      <c r="O102" s="584"/>
      <c r="P102" s="585"/>
      <c r="Q102" s="585"/>
      <c r="R102" s="585"/>
      <c r="S102" s="586"/>
      <c r="T102" s="586"/>
      <c r="U102" s="585"/>
      <c r="V102" s="584"/>
      <c r="W102" s="585"/>
      <c r="X102" s="585"/>
      <c r="Y102" s="585"/>
      <c r="Z102" s="586"/>
      <c r="AA102" s="586"/>
      <c r="AB102" s="585"/>
      <c r="AC102" s="584"/>
      <c r="AD102" s="585"/>
      <c r="AE102" s="585"/>
      <c r="AF102" s="585"/>
      <c r="AG102" s="586"/>
      <c r="AH102" s="586"/>
      <c r="AI102" s="585"/>
      <c r="AJ102" s="584"/>
      <c r="AK102" s="585"/>
      <c r="AL102" s="585"/>
      <c r="AM102" s="585"/>
      <c r="AN102" s="586"/>
      <c r="AO102" s="586"/>
      <c r="AP102" s="585"/>
      <c r="AQ102" s="584"/>
      <c r="AR102" s="585"/>
      <c r="AS102" s="585"/>
      <c r="AT102" s="585"/>
      <c r="AU102" s="586"/>
      <c r="AV102" s="586"/>
      <c r="AW102" s="585"/>
      <c r="AX102" s="584"/>
      <c r="AY102" s="585"/>
      <c r="AZ102" s="585"/>
      <c r="BA102" s="585"/>
      <c r="BB102" s="586"/>
      <c r="BC102" s="586"/>
      <c r="BD102" s="585"/>
      <c r="BE102" s="584"/>
      <c r="BF102" s="585"/>
      <c r="BG102" s="585"/>
      <c r="BH102" s="585"/>
      <c r="BI102" s="586"/>
      <c r="BJ102" s="586"/>
      <c r="BK102" s="585"/>
      <c r="BL102" s="584"/>
      <c r="BM102" s="585"/>
      <c r="BN102" s="585"/>
      <c r="BO102" s="585"/>
      <c r="BP102" s="586"/>
      <c r="BQ102" s="586"/>
      <c r="BR102" s="585"/>
      <c r="BS102" s="584"/>
      <c r="BT102" s="585"/>
      <c r="BU102" s="585"/>
      <c r="BV102" s="585"/>
      <c r="BW102" s="586"/>
      <c r="BX102" s="586"/>
      <c r="BY102" s="585"/>
      <c r="BZ102" s="584"/>
      <c r="CA102" s="585"/>
      <c r="CB102" s="585"/>
      <c r="CC102" s="585"/>
      <c r="CD102" s="586"/>
      <c r="CE102" s="586"/>
      <c r="CF102" s="585"/>
      <c r="CG102" s="584"/>
      <c r="CH102" s="585"/>
      <c r="CI102" s="585"/>
      <c r="CJ102" s="585"/>
      <c r="CK102" s="586"/>
      <c r="CL102" s="586"/>
      <c r="CM102" s="585"/>
      <c r="CN102" s="584"/>
      <c r="CO102" s="585"/>
      <c r="CP102" s="585"/>
      <c r="CQ102" s="585"/>
      <c r="CR102" s="586"/>
      <c r="CS102" s="586"/>
      <c r="CT102" s="585"/>
      <c r="CU102" s="584"/>
      <c r="CV102" s="585"/>
      <c r="CW102" s="585"/>
      <c r="CX102" s="585"/>
      <c r="CY102" s="586"/>
      <c r="CZ102" s="586"/>
      <c r="DA102" s="585"/>
      <c r="DB102" s="584"/>
      <c r="DC102" s="585"/>
      <c r="DD102" s="585"/>
      <c r="DE102" s="585"/>
      <c r="DF102" s="586"/>
      <c r="DG102" s="586"/>
      <c r="DH102" s="585"/>
      <c r="DI102" s="584"/>
      <c r="DJ102" s="585"/>
      <c r="DK102" s="585"/>
      <c r="DL102" s="585"/>
      <c r="DM102" s="586"/>
      <c r="DN102" s="586"/>
      <c r="DO102" s="585"/>
      <c r="DP102" s="584"/>
      <c r="DQ102" s="585"/>
      <c r="DR102" s="585"/>
      <c r="DS102" s="585"/>
      <c r="DT102" s="586"/>
      <c r="DU102" s="586"/>
      <c r="DV102" s="585"/>
      <c r="DW102" s="584"/>
      <c r="DX102" s="585"/>
      <c r="DY102" s="585"/>
      <c r="DZ102" s="585"/>
      <c r="EA102" s="586"/>
      <c r="EB102" s="586"/>
      <c r="EC102" s="585"/>
      <c r="ED102" s="584"/>
      <c r="EE102" s="585"/>
      <c r="EF102" s="585"/>
      <c r="EG102" s="585"/>
      <c r="EH102" s="586"/>
      <c r="EI102" s="586"/>
      <c r="EJ102" s="585"/>
      <c r="EK102" s="584"/>
      <c r="EL102" s="585"/>
      <c r="EM102" s="585"/>
      <c r="EN102" s="585"/>
      <c r="EO102" s="586"/>
      <c r="EP102" s="586"/>
      <c r="EQ102" s="585"/>
      <c r="ER102" s="584"/>
      <c r="ES102" s="585"/>
      <c r="ET102" s="585"/>
      <c r="EU102" s="585"/>
      <c r="EV102" s="586"/>
      <c r="EW102" s="586"/>
      <c r="EX102" s="585"/>
      <c r="EY102" s="584"/>
      <c r="EZ102" s="585"/>
      <c r="FA102" s="585"/>
      <c r="FB102" s="585"/>
      <c r="FC102" s="586"/>
      <c r="FD102" s="586"/>
      <c r="FE102" s="585"/>
      <c r="FF102" s="584"/>
      <c r="FG102" s="585"/>
      <c r="FH102" s="585"/>
      <c r="FI102" s="585"/>
      <c r="FJ102" s="586"/>
      <c r="FK102" s="586"/>
      <c r="FL102" s="585"/>
      <c r="FM102" s="584"/>
      <c r="FN102" s="585"/>
      <c r="FO102" s="585"/>
      <c r="FP102" s="585"/>
      <c r="FQ102" s="586"/>
      <c r="FR102" s="586"/>
      <c r="FS102" s="585"/>
      <c r="FT102" s="584"/>
      <c r="FU102" s="585"/>
      <c r="FV102" s="585"/>
      <c r="FW102" s="585"/>
      <c r="FX102" s="586"/>
      <c r="FY102" s="586"/>
      <c r="FZ102" s="585"/>
      <c r="GA102" s="584"/>
      <c r="GB102" s="585"/>
      <c r="GC102" s="585"/>
      <c r="GD102" s="585"/>
      <c r="GE102" s="586"/>
      <c r="GF102" s="586"/>
      <c r="GG102" s="585"/>
      <c r="GH102" s="584"/>
      <c r="GI102" s="585"/>
      <c r="GJ102" s="585"/>
      <c r="GK102" s="585"/>
      <c r="GL102" s="586"/>
      <c r="GM102" s="586"/>
      <c r="GN102" s="585"/>
      <c r="GO102" s="584"/>
      <c r="GP102" s="585"/>
      <c r="GQ102" s="585"/>
      <c r="GR102" s="585"/>
      <c r="GS102" s="586"/>
      <c r="GT102" s="586"/>
      <c r="GU102" s="585"/>
      <c r="GV102" s="584"/>
      <c r="GW102" s="585"/>
      <c r="GX102" s="585"/>
      <c r="GY102" s="585"/>
      <c r="GZ102" s="586"/>
      <c r="HA102" s="586"/>
      <c r="HB102" s="585"/>
      <c r="HC102" s="584"/>
      <c r="HD102" s="585"/>
      <c r="HE102" s="585"/>
      <c r="HF102" s="585"/>
      <c r="HG102" s="586"/>
      <c r="HH102" s="586"/>
      <c r="HI102" s="585"/>
      <c r="HJ102" s="584"/>
      <c r="HK102" s="585"/>
      <c r="HL102" s="585"/>
      <c r="HM102" s="585"/>
      <c r="HN102" s="586"/>
      <c r="HO102" s="586"/>
      <c r="HP102" s="585"/>
      <c r="HQ102" s="584"/>
      <c r="HR102" s="585"/>
      <c r="HS102" s="585"/>
      <c r="HT102" s="585"/>
      <c r="HU102" s="586"/>
      <c r="HV102" s="586"/>
      <c r="HW102" s="585"/>
      <c r="HX102" s="584"/>
      <c r="HY102" s="585"/>
      <c r="HZ102" s="585"/>
      <c r="IA102" s="585"/>
      <c r="IB102" s="586"/>
      <c r="IC102" s="586"/>
      <c r="ID102" s="585"/>
      <c r="IE102" s="584"/>
      <c r="IF102" s="585"/>
      <c r="IG102" s="585"/>
      <c r="IH102" s="585"/>
      <c r="II102" s="586"/>
      <c r="IJ102" s="586"/>
      <c r="IK102" s="585"/>
      <c r="IL102" s="584"/>
      <c r="IM102" s="585"/>
      <c r="IN102" s="585"/>
      <c r="IO102" s="585"/>
      <c r="IP102" s="586"/>
      <c r="IQ102" s="586"/>
      <c r="IR102" s="585"/>
      <c r="IS102" s="584"/>
      <c r="IT102" s="585"/>
      <c r="IU102" s="585"/>
      <c r="IV102" s="585"/>
    </row>
    <row r="103" spans="1:256" ht="12.75">
      <c r="A103" s="473" t="s">
        <v>269</v>
      </c>
      <c r="B103" s="507">
        <v>470</v>
      </c>
      <c r="C103" s="507">
        <v>10</v>
      </c>
      <c r="D103" s="507">
        <v>5</v>
      </c>
      <c r="E103" s="40">
        <v>1.0638297872340425</v>
      </c>
      <c r="F103" s="40">
        <v>50</v>
      </c>
      <c r="G103" s="507">
        <v>5</v>
      </c>
      <c r="H103" s="587"/>
      <c r="I103" s="510"/>
      <c r="J103" s="510"/>
      <c r="K103" s="510"/>
      <c r="L103" s="588"/>
      <c r="M103" s="588"/>
      <c r="N103" s="510"/>
      <c r="O103" s="587"/>
      <c r="P103" s="510"/>
      <c r="Q103" s="510"/>
      <c r="R103" s="510"/>
      <c r="S103" s="588"/>
      <c r="T103" s="588"/>
      <c r="U103" s="510"/>
      <c r="V103" s="587"/>
      <c r="W103" s="510"/>
      <c r="X103" s="510"/>
      <c r="Y103" s="510"/>
      <c r="Z103" s="588"/>
      <c r="AA103" s="588"/>
      <c r="AB103" s="510"/>
      <c r="AC103" s="587"/>
      <c r="AD103" s="510"/>
      <c r="AE103" s="510"/>
      <c r="AF103" s="510"/>
      <c r="AG103" s="588"/>
      <c r="AH103" s="588"/>
      <c r="AI103" s="510"/>
      <c r="AJ103" s="587"/>
      <c r="AK103" s="510"/>
      <c r="AL103" s="510"/>
      <c r="AM103" s="510"/>
      <c r="AN103" s="588"/>
      <c r="AO103" s="588"/>
      <c r="AP103" s="510"/>
      <c r="AQ103" s="587"/>
      <c r="AR103" s="510"/>
      <c r="AS103" s="510"/>
      <c r="AT103" s="510"/>
      <c r="AU103" s="588"/>
      <c r="AV103" s="588"/>
      <c r="AW103" s="510"/>
      <c r="AX103" s="587"/>
      <c r="AY103" s="510"/>
      <c r="AZ103" s="510"/>
      <c r="BA103" s="510"/>
      <c r="BB103" s="588"/>
      <c r="BC103" s="588"/>
      <c r="BD103" s="510"/>
      <c r="BE103" s="587"/>
      <c r="BF103" s="510"/>
      <c r="BG103" s="510"/>
      <c r="BH103" s="510"/>
      <c r="BI103" s="588"/>
      <c r="BJ103" s="588"/>
      <c r="BK103" s="510"/>
      <c r="BL103" s="587"/>
      <c r="BM103" s="510"/>
      <c r="BN103" s="510"/>
      <c r="BO103" s="510"/>
      <c r="BP103" s="588"/>
      <c r="BQ103" s="588"/>
      <c r="BR103" s="510"/>
      <c r="BS103" s="587"/>
      <c r="BT103" s="510"/>
      <c r="BU103" s="510"/>
      <c r="BV103" s="510"/>
      <c r="BW103" s="588"/>
      <c r="BX103" s="588"/>
      <c r="BY103" s="510"/>
      <c r="BZ103" s="587"/>
      <c r="CA103" s="510"/>
      <c r="CB103" s="510"/>
      <c r="CC103" s="510"/>
      <c r="CD103" s="588"/>
      <c r="CE103" s="588"/>
      <c r="CF103" s="510"/>
      <c r="CG103" s="587"/>
      <c r="CH103" s="510"/>
      <c r="CI103" s="510"/>
      <c r="CJ103" s="510"/>
      <c r="CK103" s="588"/>
      <c r="CL103" s="588"/>
      <c r="CM103" s="510"/>
      <c r="CN103" s="587"/>
      <c r="CO103" s="510"/>
      <c r="CP103" s="510"/>
      <c r="CQ103" s="510"/>
      <c r="CR103" s="588"/>
      <c r="CS103" s="588"/>
      <c r="CT103" s="510"/>
      <c r="CU103" s="587"/>
      <c r="CV103" s="510"/>
      <c r="CW103" s="510"/>
      <c r="CX103" s="510"/>
      <c r="CY103" s="588"/>
      <c r="CZ103" s="588"/>
      <c r="DA103" s="510"/>
      <c r="DB103" s="587"/>
      <c r="DC103" s="510"/>
      <c r="DD103" s="510"/>
      <c r="DE103" s="510"/>
      <c r="DF103" s="588"/>
      <c r="DG103" s="588"/>
      <c r="DH103" s="510"/>
      <c r="DI103" s="587"/>
      <c r="DJ103" s="510"/>
      <c r="DK103" s="510"/>
      <c r="DL103" s="510"/>
      <c r="DM103" s="588"/>
      <c r="DN103" s="588"/>
      <c r="DO103" s="510"/>
      <c r="DP103" s="587"/>
      <c r="DQ103" s="510"/>
      <c r="DR103" s="510"/>
      <c r="DS103" s="510"/>
      <c r="DT103" s="588"/>
      <c r="DU103" s="588"/>
      <c r="DV103" s="510"/>
      <c r="DW103" s="587"/>
      <c r="DX103" s="510"/>
      <c r="DY103" s="510"/>
      <c r="DZ103" s="510"/>
      <c r="EA103" s="588"/>
      <c r="EB103" s="588"/>
      <c r="EC103" s="510"/>
      <c r="ED103" s="587"/>
      <c r="EE103" s="510"/>
      <c r="EF103" s="510"/>
      <c r="EG103" s="510"/>
      <c r="EH103" s="588"/>
      <c r="EI103" s="588"/>
      <c r="EJ103" s="510"/>
      <c r="EK103" s="587"/>
      <c r="EL103" s="510"/>
      <c r="EM103" s="510"/>
      <c r="EN103" s="510"/>
      <c r="EO103" s="588"/>
      <c r="EP103" s="588"/>
      <c r="EQ103" s="510"/>
      <c r="ER103" s="587"/>
      <c r="ES103" s="510"/>
      <c r="ET103" s="510"/>
      <c r="EU103" s="510"/>
      <c r="EV103" s="588"/>
      <c r="EW103" s="588"/>
      <c r="EX103" s="510"/>
      <c r="EY103" s="587"/>
      <c r="EZ103" s="510"/>
      <c r="FA103" s="510"/>
      <c r="FB103" s="510"/>
      <c r="FC103" s="588"/>
      <c r="FD103" s="588"/>
      <c r="FE103" s="510"/>
      <c r="FF103" s="587"/>
      <c r="FG103" s="510"/>
      <c r="FH103" s="510"/>
      <c r="FI103" s="510"/>
      <c r="FJ103" s="588"/>
      <c r="FK103" s="588"/>
      <c r="FL103" s="510"/>
      <c r="FM103" s="587"/>
      <c r="FN103" s="510"/>
      <c r="FO103" s="510"/>
      <c r="FP103" s="510"/>
      <c r="FQ103" s="588"/>
      <c r="FR103" s="588"/>
      <c r="FS103" s="510"/>
      <c r="FT103" s="587"/>
      <c r="FU103" s="510"/>
      <c r="FV103" s="510"/>
      <c r="FW103" s="510"/>
      <c r="FX103" s="588"/>
      <c r="FY103" s="588"/>
      <c r="FZ103" s="510"/>
      <c r="GA103" s="587"/>
      <c r="GB103" s="510"/>
      <c r="GC103" s="510"/>
      <c r="GD103" s="510"/>
      <c r="GE103" s="588"/>
      <c r="GF103" s="588"/>
      <c r="GG103" s="510"/>
      <c r="GH103" s="587"/>
      <c r="GI103" s="510"/>
      <c r="GJ103" s="510"/>
      <c r="GK103" s="510"/>
      <c r="GL103" s="588"/>
      <c r="GM103" s="588"/>
      <c r="GN103" s="510"/>
      <c r="GO103" s="587"/>
      <c r="GP103" s="510"/>
      <c r="GQ103" s="510"/>
      <c r="GR103" s="510"/>
      <c r="GS103" s="588"/>
      <c r="GT103" s="588"/>
      <c r="GU103" s="510"/>
      <c r="GV103" s="587"/>
      <c r="GW103" s="510"/>
      <c r="GX103" s="510"/>
      <c r="GY103" s="510"/>
      <c r="GZ103" s="588"/>
      <c r="HA103" s="588"/>
      <c r="HB103" s="510"/>
      <c r="HC103" s="587"/>
      <c r="HD103" s="510"/>
      <c r="HE103" s="510"/>
      <c r="HF103" s="510"/>
      <c r="HG103" s="588"/>
      <c r="HH103" s="588"/>
      <c r="HI103" s="510"/>
      <c r="HJ103" s="587"/>
      <c r="HK103" s="510"/>
      <c r="HL103" s="510"/>
      <c r="HM103" s="510"/>
      <c r="HN103" s="588"/>
      <c r="HO103" s="588"/>
      <c r="HP103" s="510"/>
      <c r="HQ103" s="587"/>
      <c r="HR103" s="510"/>
      <c r="HS103" s="510"/>
      <c r="HT103" s="510"/>
      <c r="HU103" s="588"/>
      <c r="HV103" s="588"/>
      <c r="HW103" s="510"/>
      <c r="HX103" s="587"/>
      <c r="HY103" s="510"/>
      <c r="HZ103" s="510"/>
      <c r="IA103" s="510"/>
      <c r="IB103" s="588"/>
      <c r="IC103" s="588"/>
      <c r="ID103" s="510"/>
      <c r="IE103" s="587"/>
      <c r="IF103" s="510"/>
      <c r="IG103" s="510"/>
      <c r="IH103" s="510"/>
      <c r="II103" s="588"/>
      <c r="IJ103" s="588"/>
      <c r="IK103" s="510"/>
      <c r="IL103" s="587"/>
      <c r="IM103" s="510"/>
      <c r="IN103" s="510"/>
      <c r="IO103" s="510"/>
      <c r="IP103" s="588"/>
      <c r="IQ103" s="588"/>
      <c r="IR103" s="510"/>
      <c r="IS103" s="587"/>
      <c r="IT103" s="510"/>
      <c r="IU103" s="510"/>
      <c r="IV103" s="510"/>
    </row>
    <row r="104" spans="1:256" ht="24">
      <c r="A104" s="509" t="s">
        <v>275</v>
      </c>
      <c r="B104" s="248">
        <v>140</v>
      </c>
      <c r="C104" s="248"/>
      <c r="D104" s="248"/>
      <c r="E104" s="16"/>
      <c r="F104" s="16"/>
      <c r="G104" s="248"/>
      <c r="H104" s="591"/>
      <c r="I104" s="580"/>
      <c r="J104" s="580"/>
      <c r="K104" s="580"/>
      <c r="L104" s="581"/>
      <c r="M104" s="581"/>
      <c r="N104" s="580"/>
      <c r="O104" s="591"/>
      <c r="P104" s="580"/>
      <c r="Q104" s="580"/>
      <c r="R104" s="580"/>
      <c r="S104" s="581"/>
      <c r="T104" s="581"/>
      <c r="U104" s="580"/>
      <c r="V104" s="591"/>
      <c r="W104" s="580"/>
      <c r="X104" s="580"/>
      <c r="Y104" s="580"/>
      <c r="Z104" s="581"/>
      <c r="AA104" s="581"/>
      <c r="AB104" s="580"/>
      <c r="AC104" s="591"/>
      <c r="AD104" s="580"/>
      <c r="AE104" s="580"/>
      <c r="AF104" s="580"/>
      <c r="AG104" s="581"/>
      <c r="AH104" s="581"/>
      <c r="AI104" s="580"/>
      <c r="AJ104" s="591"/>
      <c r="AK104" s="580"/>
      <c r="AL104" s="580"/>
      <c r="AM104" s="580"/>
      <c r="AN104" s="581"/>
      <c r="AO104" s="581"/>
      <c r="AP104" s="580"/>
      <c r="AQ104" s="591"/>
      <c r="AR104" s="580"/>
      <c r="AS104" s="580"/>
      <c r="AT104" s="580"/>
      <c r="AU104" s="581"/>
      <c r="AV104" s="581"/>
      <c r="AW104" s="580"/>
      <c r="AX104" s="591"/>
      <c r="AY104" s="580"/>
      <c r="AZ104" s="580"/>
      <c r="BA104" s="580"/>
      <c r="BB104" s="581"/>
      <c r="BC104" s="581"/>
      <c r="BD104" s="580"/>
      <c r="BE104" s="591"/>
      <c r="BF104" s="580"/>
      <c r="BG104" s="580"/>
      <c r="BH104" s="580"/>
      <c r="BI104" s="581"/>
      <c r="BJ104" s="581"/>
      <c r="BK104" s="580"/>
      <c r="BL104" s="591"/>
      <c r="BM104" s="580"/>
      <c r="BN104" s="580"/>
      <c r="BO104" s="580"/>
      <c r="BP104" s="581"/>
      <c r="BQ104" s="581"/>
      <c r="BR104" s="580"/>
      <c r="BS104" s="591"/>
      <c r="BT104" s="580"/>
      <c r="BU104" s="580"/>
      <c r="BV104" s="580"/>
      <c r="BW104" s="581"/>
      <c r="BX104" s="581"/>
      <c r="BY104" s="580"/>
      <c r="BZ104" s="591"/>
      <c r="CA104" s="580"/>
      <c r="CB104" s="580"/>
      <c r="CC104" s="580"/>
      <c r="CD104" s="581"/>
      <c r="CE104" s="581"/>
      <c r="CF104" s="580"/>
      <c r="CG104" s="591"/>
      <c r="CH104" s="580"/>
      <c r="CI104" s="580"/>
      <c r="CJ104" s="580"/>
      <c r="CK104" s="581"/>
      <c r="CL104" s="581"/>
      <c r="CM104" s="580"/>
      <c r="CN104" s="591"/>
      <c r="CO104" s="580"/>
      <c r="CP104" s="580"/>
      <c r="CQ104" s="580"/>
      <c r="CR104" s="581"/>
      <c r="CS104" s="581"/>
      <c r="CT104" s="580"/>
      <c r="CU104" s="591"/>
      <c r="CV104" s="580"/>
      <c r="CW104" s="580"/>
      <c r="CX104" s="580"/>
      <c r="CY104" s="581"/>
      <c r="CZ104" s="581"/>
      <c r="DA104" s="580"/>
      <c r="DB104" s="591"/>
      <c r="DC104" s="580"/>
      <c r="DD104" s="580"/>
      <c r="DE104" s="580"/>
      <c r="DF104" s="581"/>
      <c r="DG104" s="581"/>
      <c r="DH104" s="580"/>
      <c r="DI104" s="591"/>
      <c r="DJ104" s="580"/>
      <c r="DK104" s="580"/>
      <c r="DL104" s="580"/>
      <c r="DM104" s="581"/>
      <c r="DN104" s="581"/>
      <c r="DO104" s="580"/>
      <c r="DP104" s="591"/>
      <c r="DQ104" s="580"/>
      <c r="DR104" s="580"/>
      <c r="DS104" s="580"/>
      <c r="DT104" s="581"/>
      <c r="DU104" s="581"/>
      <c r="DV104" s="580"/>
      <c r="DW104" s="591"/>
      <c r="DX104" s="580"/>
      <c r="DY104" s="580"/>
      <c r="DZ104" s="580"/>
      <c r="EA104" s="581"/>
      <c r="EB104" s="581"/>
      <c r="EC104" s="580"/>
      <c r="ED104" s="591"/>
      <c r="EE104" s="580"/>
      <c r="EF104" s="580"/>
      <c r="EG104" s="580"/>
      <c r="EH104" s="581"/>
      <c r="EI104" s="581"/>
      <c r="EJ104" s="580"/>
      <c r="EK104" s="591"/>
      <c r="EL104" s="580"/>
      <c r="EM104" s="580"/>
      <c r="EN104" s="580"/>
      <c r="EO104" s="581"/>
      <c r="EP104" s="581"/>
      <c r="EQ104" s="580"/>
      <c r="ER104" s="591"/>
      <c r="ES104" s="580"/>
      <c r="ET104" s="580"/>
      <c r="EU104" s="580"/>
      <c r="EV104" s="581"/>
      <c r="EW104" s="581"/>
      <c r="EX104" s="580"/>
      <c r="EY104" s="591"/>
      <c r="EZ104" s="580"/>
      <c r="FA104" s="580"/>
      <c r="FB104" s="580"/>
      <c r="FC104" s="581"/>
      <c r="FD104" s="581"/>
      <c r="FE104" s="580"/>
      <c r="FF104" s="591"/>
      <c r="FG104" s="580"/>
      <c r="FH104" s="580"/>
      <c r="FI104" s="580"/>
      <c r="FJ104" s="581"/>
      <c r="FK104" s="581"/>
      <c r="FL104" s="580"/>
      <c r="FM104" s="591"/>
      <c r="FN104" s="580"/>
      <c r="FO104" s="580"/>
      <c r="FP104" s="580"/>
      <c r="FQ104" s="581"/>
      <c r="FR104" s="581"/>
      <c r="FS104" s="580"/>
      <c r="FT104" s="591"/>
      <c r="FU104" s="580"/>
      <c r="FV104" s="580"/>
      <c r="FW104" s="580"/>
      <c r="FX104" s="581"/>
      <c r="FY104" s="581"/>
      <c r="FZ104" s="580"/>
      <c r="GA104" s="591"/>
      <c r="GB104" s="580"/>
      <c r="GC104" s="580"/>
      <c r="GD104" s="580"/>
      <c r="GE104" s="581"/>
      <c r="GF104" s="581"/>
      <c r="GG104" s="580"/>
      <c r="GH104" s="591"/>
      <c r="GI104" s="580"/>
      <c r="GJ104" s="580"/>
      <c r="GK104" s="580"/>
      <c r="GL104" s="581"/>
      <c r="GM104" s="581"/>
      <c r="GN104" s="580"/>
      <c r="GO104" s="591"/>
      <c r="GP104" s="580"/>
      <c r="GQ104" s="580"/>
      <c r="GR104" s="580"/>
      <c r="GS104" s="581"/>
      <c r="GT104" s="581"/>
      <c r="GU104" s="580"/>
      <c r="GV104" s="591"/>
      <c r="GW104" s="580"/>
      <c r="GX104" s="580"/>
      <c r="GY104" s="580"/>
      <c r="GZ104" s="581"/>
      <c r="HA104" s="581"/>
      <c r="HB104" s="580"/>
      <c r="HC104" s="591"/>
      <c r="HD104" s="580"/>
      <c r="HE104" s="580"/>
      <c r="HF104" s="580"/>
      <c r="HG104" s="581"/>
      <c r="HH104" s="581"/>
      <c r="HI104" s="580"/>
      <c r="HJ104" s="591"/>
      <c r="HK104" s="580"/>
      <c r="HL104" s="580"/>
      <c r="HM104" s="580"/>
      <c r="HN104" s="581"/>
      <c r="HO104" s="581"/>
      <c r="HP104" s="580"/>
      <c r="HQ104" s="591"/>
      <c r="HR104" s="580"/>
      <c r="HS104" s="580"/>
      <c r="HT104" s="580"/>
      <c r="HU104" s="581"/>
      <c r="HV104" s="581"/>
      <c r="HW104" s="580"/>
      <c r="HX104" s="591"/>
      <c r="HY104" s="580"/>
      <c r="HZ104" s="580"/>
      <c r="IA104" s="580"/>
      <c r="IB104" s="581"/>
      <c r="IC104" s="581"/>
      <c r="ID104" s="580"/>
      <c r="IE104" s="591"/>
      <c r="IF104" s="580"/>
      <c r="IG104" s="580"/>
      <c r="IH104" s="580"/>
      <c r="II104" s="581"/>
      <c r="IJ104" s="581"/>
      <c r="IK104" s="580"/>
      <c r="IL104" s="591"/>
      <c r="IM104" s="580"/>
      <c r="IN104" s="580"/>
      <c r="IO104" s="580"/>
      <c r="IP104" s="581"/>
      <c r="IQ104" s="581"/>
      <c r="IR104" s="580"/>
      <c r="IS104" s="591"/>
      <c r="IT104" s="580"/>
      <c r="IU104" s="580"/>
      <c r="IV104" s="580"/>
    </row>
    <row r="105" spans="1:256" ht="12.75">
      <c r="A105" s="505" t="s">
        <v>272</v>
      </c>
      <c r="B105" s="475">
        <v>127</v>
      </c>
      <c r="C105" s="475"/>
      <c r="D105" s="475"/>
      <c r="E105" s="506"/>
      <c r="F105" s="506"/>
      <c r="G105" s="475"/>
      <c r="H105" s="584"/>
      <c r="I105" s="585"/>
      <c r="J105" s="585"/>
      <c r="K105" s="585"/>
      <c r="L105" s="586"/>
      <c r="M105" s="586"/>
      <c r="N105" s="585"/>
      <c r="O105" s="584"/>
      <c r="P105" s="585"/>
      <c r="Q105" s="585"/>
      <c r="R105" s="585"/>
      <c r="S105" s="586"/>
      <c r="T105" s="586"/>
      <c r="U105" s="585"/>
      <c r="V105" s="584"/>
      <c r="W105" s="585"/>
      <c r="X105" s="585"/>
      <c r="Y105" s="585"/>
      <c r="Z105" s="586"/>
      <c r="AA105" s="586"/>
      <c r="AB105" s="585"/>
      <c r="AC105" s="584"/>
      <c r="AD105" s="585"/>
      <c r="AE105" s="585"/>
      <c r="AF105" s="585"/>
      <c r="AG105" s="586"/>
      <c r="AH105" s="586"/>
      <c r="AI105" s="585"/>
      <c r="AJ105" s="584"/>
      <c r="AK105" s="585"/>
      <c r="AL105" s="585"/>
      <c r="AM105" s="585"/>
      <c r="AN105" s="586"/>
      <c r="AO105" s="586"/>
      <c r="AP105" s="585"/>
      <c r="AQ105" s="584"/>
      <c r="AR105" s="585"/>
      <c r="AS105" s="585"/>
      <c r="AT105" s="585"/>
      <c r="AU105" s="586"/>
      <c r="AV105" s="586"/>
      <c r="AW105" s="585"/>
      <c r="AX105" s="584"/>
      <c r="AY105" s="585"/>
      <c r="AZ105" s="585"/>
      <c r="BA105" s="585"/>
      <c r="BB105" s="586"/>
      <c r="BC105" s="586"/>
      <c r="BD105" s="585"/>
      <c r="BE105" s="584"/>
      <c r="BF105" s="585"/>
      <c r="BG105" s="585"/>
      <c r="BH105" s="585"/>
      <c r="BI105" s="586"/>
      <c r="BJ105" s="586"/>
      <c r="BK105" s="585"/>
      <c r="BL105" s="584"/>
      <c r="BM105" s="585"/>
      <c r="BN105" s="585"/>
      <c r="BO105" s="585"/>
      <c r="BP105" s="586"/>
      <c r="BQ105" s="586"/>
      <c r="BR105" s="585"/>
      <c r="BS105" s="584"/>
      <c r="BT105" s="585"/>
      <c r="BU105" s="585"/>
      <c r="BV105" s="585"/>
      <c r="BW105" s="586"/>
      <c r="BX105" s="586"/>
      <c r="BY105" s="585"/>
      <c r="BZ105" s="584"/>
      <c r="CA105" s="585"/>
      <c r="CB105" s="585"/>
      <c r="CC105" s="585"/>
      <c r="CD105" s="586"/>
      <c r="CE105" s="586"/>
      <c r="CF105" s="585"/>
      <c r="CG105" s="584"/>
      <c r="CH105" s="585"/>
      <c r="CI105" s="585"/>
      <c r="CJ105" s="585"/>
      <c r="CK105" s="586"/>
      <c r="CL105" s="586"/>
      <c r="CM105" s="585"/>
      <c r="CN105" s="584"/>
      <c r="CO105" s="585"/>
      <c r="CP105" s="585"/>
      <c r="CQ105" s="585"/>
      <c r="CR105" s="586"/>
      <c r="CS105" s="586"/>
      <c r="CT105" s="585"/>
      <c r="CU105" s="584"/>
      <c r="CV105" s="585"/>
      <c r="CW105" s="585"/>
      <c r="CX105" s="585"/>
      <c r="CY105" s="586"/>
      <c r="CZ105" s="586"/>
      <c r="DA105" s="585"/>
      <c r="DB105" s="584"/>
      <c r="DC105" s="585"/>
      <c r="DD105" s="585"/>
      <c r="DE105" s="585"/>
      <c r="DF105" s="586"/>
      <c r="DG105" s="586"/>
      <c r="DH105" s="585"/>
      <c r="DI105" s="584"/>
      <c r="DJ105" s="585"/>
      <c r="DK105" s="585"/>
      <c r="DL105" s="585"/>
      <c r="DM105" s="586"/>
      <c r="DN105" s="586"/>
      <c r="DO105" s="585"/>
      <c r="DP105" s="584"/>
      <c r="DQ105" s="585"/>
      <c r="DR105" s="585"/>
      <c r="DS105" s="585"/>
      <c r="DT105" s="586"/>
      <c r="DU105" s="586"/>
      <c r="DV105" s="585"/>
      <c r="DW105" s="584"/>
      <c r="DX105" s="585"/>
      <c r="DY105" s="585"/>
      <c r="DZ105" s="585"/>
      <c r="EA105" s="586"/>
      <c r="EB105" s="586"/>
      <c r="EC105" s="585"/>
      <c r="ED105" s="584"/>
      <c r="EE105" s="585"/>
      <c r="EF105" s="585"/>
      <c r="EG105" s="585"/>
      <c r="EH105" s="586"/>
      <c r="EI105" s="586"/>
      <c r="EJ105" s="585"/>
      <c r="EK105" s="584"/>
      <c r="EL105" s="585"/>
      <c r="EM105" s="585"/>
      <c r="EN105" s="585"/>
      <c r="EO105" s="586"/>
      <c r="EP105" s="586"/>
      <c r="EQ105" s="585"/>
      <c r="ER105" s="584"/>
      <c r="ES105" s="585"/>
      <c r="ET105" s="585"/>
      <c r="EU105" s="585"/>
      <c r="EV105" s="586"/>
      <c r="EW105" s="586"/>
      <c r="EX105" s="585"/>
      <c r="EY105" s="584"/>
      <c r="EZ105" s="585"/>
      <c r="FA105" s="585"/>
      <c r="FB105" s="585"/>
      <c r="FC105" s="586"/>
      <c r="FD105" s="586"/>
      <c r="FE105" s="585"/>
      <c r="FF105" s="584"/>
      <c r="FG105" s="585"/>
      <c r="FH105" s="585"/>
      <c r="FI105" s="585"/>
      <c r="FJ105" s="586"/>
      <c r="FK105" s="586"/>
      <c r="FL105" s="585"/>
      <c r="FM105" s="584"/>
      <c r="FN105" s="585"/>
      <c r="FO105" s="585"/>
      <c r="FP105" s="585"/>
      <c r="FQ105" s="586"/>
      <c r="FR105" s="586"/>
      <c r="FS105" s="585"/>
      <c r="FT105" s="584"/>
      <c r="FU105" s="585"/>
      <c r="FV105" s="585"/>
      <c r="FW105" s="585"/>
      <c r="FX105" s="586"/>
      <c r="FY105" s="586"/>
      <c r="FZ105" s="585"/>
      <c r="GA105" s="584"/>
      <c r="GB105" s="585"/>
      <c r="GC105" s="585"/>
      <c r="GD105" s="585"/>
      <c r="GE105" s="586"/>
      <c r="GF105" s="586"/>
      <c r="GG105" s="585"/>
      <c r="GH105" s="584"/>
      <c r="GI105" s="585"/>
      <c r="GJ105" s="585"/>
      <c r="GK105" s="585"/>
      <c r="GL105" s="586"/>
      <c r="GM105" s="586"/>
      <c r="GN105" s="585"/>
      <c r="GO105" s="584"/>
      <c r="GP105" s="585"/>
      <c r="GQ105" s="585"/>
      <c r="GR105" s="585"/>
      <c r="GS105" s="586"/>
      <c r="GT105" s="586"/>
      <c r="GU105" s="585"/>
      <c r="GV105" s="584"/>
      <c r="GW105" s="585"/>
      <c r="GX105" s="585"/>
      <c r="GY105" s="585"/>
      <c r="GZ105" s="586"/>
      <c r="HA105" s="586"/>
      <c r="HB105" s="585"/>
      <c r="HC105" s="584"/>
      <c r="HD105" s="585"/>
      <c r="HE105" s="585"/>
      <c r="HF105" s="585"/>
      <c r="HG105" s="586"/>
      <c r="HH105" s="586"/>
      <c r="HI105" s="585"/>
      <c r="HJ105" s="584"/>
      <c r="HK105" s="585"/>
      <c r="HL105" s="585"/>
      <c r="HM105" s="585"/>
      <c r="HN105" s="586"/>
      <c r="HO105" s="586"/>
      <c r="HP105" s="585"/>
      <c r="HQ105" s="584"/>
      <c r="HR105" s="585"/>
      <c r="HS105" s="585"/>
      <c r="HT105" s="585"/>
      <c r="HU105" s="586"/>
      <c r="HV105" s="586"/>
      <c r="HW105" s="585"/>
      <c r="HX105" s="584"/>
      <c r="HY105" s="585"/>
      <c r="HZ105" s="585"/>
      <c r="IA105" s="585"/>
      <c r="IB105" s="586"/>
      <c r="IC105" s="586"/>
      <c r="ID105" s="585"/>
      <c r="IE105" s="584"/>
      <c r="IF105" s="585"/>
      <c r="IG105" s="585"/>
      <c r="IH105" s="585"/>
      <c r="II105" s="586"/>
      <c r="IJ105" s="586"/>
      <c r="IK105" s="585"/>
      <c r="IL105" s="584"/>
      <c r="IM105" s="585"/>
      <c r="IN105" s="585"/>
      <c r="IO105" s="585"/>
      <c r="IP105" s="586"/>
      <c r="IQ105" s="586"/>
      <c r="IR105" s="585"/>
      <c r="IS105" s="584"/>
      <c r="IT105" s="585"/>
      <c r="IU105" s="585"/>
      <c r="IV105" s="585"/>
    </row>
    <row r="106" spans="1:256" ht="12.75">
      <c r="A106" s="473" t="s">
        <v>269</v>
      </c>
      <c r="B106" s="507">
        <v>127</v>
      </c>
      <c r="C106" s="507"/>
      <c r="D106" s="507"/>
      <c r="E106" s="40"/>
      <c r="F106" s="40"/>
      <c r="G106" s="507"/>
      <c r="H106" s="587"/>
      <c r="I106" s="510"/>
      <c r="J106" s="510"/>
      <c r="K106" s="510"/>
      <c r="L106" s="588"/>
      <c r="M106" s="588"/>
      <c r="N106" s="510"/>
      <c r="O106" s="587"/>
      <c r="P106" s="510"/>
      <c r="Q106" s="510"/>
      <c r="R106" s="510"/>
      <c r="S106" s="588"/>
      <c r="T106" s="588"/>
      <c r="U106" s="510"/>
      <c r="V106" s="587"/>
      <c r="W106" s="510"/>
      <c r="X106" s="510"/>
      <c r="Y106" s="510"/>
      <c r="Z106" s="588"/>
      <c r="AA106" s="588"/>
      <c r="AB106" s="510"/>
      <c r="AC106" s="587"/>
      <c r="AD106" s="510"/>
      <c r="AE106" s="510"/>
      <c r="AF106" s="510"/>
      <c r="AG106" s="588"/>
      <c r="AH106" s="588"/>
      <c r="AI106" s="510"/>
      <c r="AJ106" s="587"/>
      <c r="AK106" s="510"/>
      <c r="AL106" s="510"/>
      <c r="AM106" s="510"/>
      <c r="AN106" s="588"/>
      <c r="AO106" s="588"/>
      <c r="AP106" s="510"/>
      <c r="AQ106" s="587"/>
      <c r="AR106" s="510"/>
      <c r="AS106" s="510"/>
      <c r="AT106" s="510"/>
      <c r="AU106" s="588"/>
      <c r="AV106" s="588"/>
      <c r="AW106" s="510"/>
      <c r="AX106" s="587"/>
      <c r="AY106" s="510"/>
      <c r="AZ106" s="510"/>
      <c r="BA106" s="510"/>
      <c r="BB106" s="588"/>
      <c r="BC106" s="588"/>
      <c r="BD106" s="510"/>
      <c r="BE106" s="587"/>
      <c r="BF106" s="510"/>
      <c r="BG106" s="510"/>
      <c r="BH106" s="510"/>
      <c r="BI106" s="588"/>
      <c r="BJ106" s="588"/>
      <c r="BK106" s="510"/>
      <c r="BL106" s="587"/>
      <c r="BM106" s="510"/>
      <c r="BN106" s="510"/>
      <c r="BO106" s="510"/>
      <c r="BP106" s="588"/>
      <c r="BQ106" s="588"/>
      <c r="BR106" s="510"/>
      <c r="BS106" s="587"/>
      <c r="BT106" s="510"/>
      <c r="BU106" s="510"/>
      <c r="BV106" s="510"/>
      <c r="BW106" s="588"/>
      <c r="BX106" s="588"/>
      <c r="BY106" s="510"/>
      <c r="BZ106" s="587"/>
      <c r="CA106" s="510"/>
      <c r="CB106" s="510"/>
      <c r="CC106" s="510"/>
      <c r="CD106" s="588"/>
      <c r="CE106" s="588"/>
      <c r="CF106" s="510"/>
      <c r="CG106" s="587"/>
      <c r="CH106" s="510"/>
      <c r="CI106" s="510"/>
      <c r="CJ106" s="510"/>
      <c r="CK106" s="588"/>
      <c r="CL106" s="588"/>
      <c r="CM106" s="510"/>
      <c r="CN106" s="587"/>
      <c r="CO106" s="510"/>
      <c r="CP106" s="510"/>
      <c r="CQ106" s="510"/>
      <c r="CR106" s="588"/>
      <c r="CS106" s="588"/>
      <c r="CT106" s="510"/>
      <c r="CU106" s="587"/>
      <c r="CV106" s="510"/>
      <c r="CW106" s="510"/>
      <c r="CX106" s="510"/>
      <c r="CY106" s="588"/>
      <c r="CZ106" s="588"/>
      <c r="DA106" s="510"/>
      <c r="DB106" s="587"/>
      <c r="DC106" s="510"/>
      <c r="DD106" s="510"/>
      <c r="DE106" s="510"/>
      <c r="DF106" s="588"/>
      <c r="DG106" s="588"/>
      <c r="DH106" s="510"/>
      <c r="DI106" s="587"/>
      <c r="DJ106" s="510"/>
      <c r="DK106" s="510"/>
      <c r="DL106" s="510"/>
      <c r="DM106" s="588"/>
      <c r="DN106" s="588"/>
      <c r="DO106" s="510"/>
      <c r="DP106" s="587"/>
      <c r="DQ106" s="510"/>
      <c r="DR106" s="510"/>
      <c r="DS106" s="510"/>
      <c r="DT106" s="588"/>
      <c r="DU106" s="588"/>
      <c r="DV106" s="510"/>
      <c r="DW106" s="587"/>
      <c r="DX106" s="510"/>
      <c r="DY106" s="510"/>
      <c r="DZ106" s="510"/>
      <c r="EA106" s="588"/>
      <c r="EB106" s="588"/>
      <c r="EC106" s="510"/>
      <c r="ED106" s="587"/>
      <c r="EE106" s="510"/>
      <c r="EF106" s="510"/>
      <c r="EG106" s="510"/>
      <c r="EH106" s="588"/>
      <c r="EI106" s="588"/>
      <c r="EJ106" s="510"/>
      <c r="EK106" s="587"/>
      <c r="EL106" s="510"/>
      <c r="EM106" s="510"/>
      <c r="EN106" s="510"/>
      <c r="EO106" s="588"/>
      <c r="EP106" s="588"/>
      <c r="EQ106" s="510"/>
      <c r="ER106" s="587"/>
      <c r="ES106" s="510"/>
      <c r="ET106" s="510"/>
      <c r="EU106" s="510"/>
      <c r="EV106" s="588"/>
      <c r="EW106" s="588"/>
      <c r="EX106" s="510"/>
      <c r="EY106" s="587"/>
      <c r="EZ106" s="510"/>
      <c r="FA106" s="510"/>
      <c r="FB106" s="510"/>
      <c r="FC106" s="588"/>
      <c r="FD106" s="588"/>
      <c r="FE106" s="510"/>
      <c r="FF106" s="587"/>
      <c r="FG106" s="510"/>
      <c r="FH106" s="510"/>
      <c r="FI106" s="510"/>
      <c r="FJ106" s="588"/>
      <c r="FK106" s="588"/>
      <c r="FL106" s="510"/>
      <c r="FM106" s="587"/>
      <c r="FN106" s="510"/>
      <c r="FO106" s="510"/>
      <c r="FP106" s="510"/>
      <c r="FQ106" s="588"/>
      <c r="FR106" s="588"/>
      <c r="FS106" s="510"/>
      <c r="FT106" s="587"/>
      <c r="FU106" s="510"/>
      <c r="FV106" s="510"/>
      <c r="FW106" s="510"/>
      <c r="FX106" s="588"/>
      <c r="FY106" s="588"/>
      <c r="FZ106" s="510"/>
      <c r="GA106" s="587"/>
      <c r="GB106" s="510"/>
      <c r="GC106" s="510"/>
      <c r="GD106" s="510"/>
      <c r="GE106" s="588"/>
      <c r="GF106" s="588"/>
      <c r="GG106" s="510"/>
      <c r="GH106" s="587"/>
      <c r="GI106" s="510"/>
      <c r="GJ106" s="510"/>
      <c r="GK106" s="510"/>
      <c r="GL106" s="588"/>
      <c r="GM106" s="588"/>
      <c r="GN106" s="510"/>
      <c r="GO106" s="587"/>
      <c r="GP106" s="510"/>
      <c r="GQ106" s="510"/>
      <c r="GR106" s="510"/>
      <c r="GS106" s="588"/>
      <c r="GT106" s="588"/>
      <c r="GU106" s="510"/>
      <c r="GV106" s="587"/>
      <c r="GW106" s="510"/>
      <c r="GX106" s="510"/>
      <c r="GY106" s="510"/>
      <c r="GZ106" s="588"/>
      <c r="HA106" s="588"/>
      <c r="HB106" s="510"/>
      <c r="HC106" s="587"/>
      <c r="HD106" s="510"/>
      <c r="HE106" s="510"/>
      <c r="HF106" s="510"/>
      <c r="HG106" s="588"/>
      <c r="HH106" s="588"/>
      <c r="HI106" s="510"/>
      <c r="HJ106" s="587"/>
      <c r="HK106" s="510"/>
      <c r="HL106" s="510"/>
      <c r="HM106" s="510"/>
      <c r="HN106" s="588"/>
      <c r="HO106" s="588"/>
      <c r="HP106" s="510"/>
      <c r="HQ106" s="587"/>
      <c r="HR106" s="510"/>
      <c r="HS106" s="510"/>
      <c r="HT106" s="510"/>
      <c r="HU106" s="588"/>
      <c r="HV106" s="588"/>
      <c r="HW106" s="510"/>
      <c r="HX106" s="587"/>
      <c r="HY106" s="510"/>
      <c r="HZ106" s="510"/>
      <c r="IA106" s="510"/>
      <c r="IB106" s="588"/>
      <c r="IC106" s="588"/>
      <c r="ID106" s="510"/>
      <c r="IE106" s="587"/>
      <c r="IF106" s="510"/>
      <c r="IG106" s="510"/>
      <c r="IH106" s="510"/>
      <c r="II106" s="588"/>
      <c r="IJ106" s="588"/>
      <c r="IK106" s="510"/>
      <c r="IL106" s="587"/>
      <c r="IM106" s="510"/>
      <c r="IN106" s="510"/>
      <c r="IO106" s="510"/>
      <c r="IP106" s="588"/>
      <c r="IQ106" s="588"/>
      <c r="IR106" s="510"/>
      <c r="IS106" s="587"/>
      <c r="IT106" s="510"/>
      <c r="IU106" s="510"/>
      <c r="IV106" s="510"/>
    </row>
    <row r="107" spans="1:256" ht="12.75">
      <c r="A107" s="505" t="s">
        <v>273</v>
      </c>
      <c r="B107" s="475">
        <v>13</v>
      </c>
      <c r="C107" s="475"/>
      <c r="D107" s="475"/>
      <c r="E107" s="506"/>
      <c r="F107" s="506"/>
      <c r="G107" s="475"/>
      <c r="H107" s="584"/>
      <c r="I107" s="585"/>
      <c r="J107" s="585"/>
      <c r="K107" s="585"/>
      <c r="L107" s="586"/>
      <c r="M107" s="586"/>
      <c r="N107" s="585"/>
      <c r="O107" s="584"/>
      <c r="P107" s="585"/>
      <c r="Q107" s="585"/>
      <c r="R107" s="585"/>
      <c r="S107" s="586"/>
      <c r="T107" s="586"/>
      <c r="U107" s="585"/>
      <c r="V107" s="584"/>
      <c r="W107" s="585"/>
      <c r="X107" s="585"/>
      <c r="Y107" s="585"/>
      <c r="Z107" s="586"/>
      <c r="AA107" s="586"/>
      <c r="AB107" s="585"/>
      <c r="AC107" s="584"/>
      <c r="AD107" s="585"/>
      <c r="AE107" s="585"/>
      <c r="AF107" s="585"/>
      <c r="AG107" s="586"/>
      <c r="AH107" s="586"/>
      <c r="AI107" s="585"/>
      <c r="AJ107" s="584"/>
      <c r="AK107" s="585"/>
      <c r="AL107" s="585"/>
      <c r="AM107" s="585"/>
      <c r="AN107" s="586"/>
      <c r="AO107" s="586"/>
      <c r="AP107" s="585"/>
      <c r="AQ107" s="584"/>
      <c r="AR107" s="585"/>
      <c r="AS107" s="585"/>
      <c r="AT107" s="585"/>
      <c r="AU107" s="586"/>
      <c r="AV107" s="586"/>
      <c r="AW107" s="585"/>
      <c r="AX107" s="584"/>
      <c r="AY107" s="585"/>
      <c r="AZ107" s="585"/>
      <c r="BA107" s="585"/>
      <c r="BB107" s="586"/>
      <c r="BC107" s="586"/>
      <c r="BD107" s="585"/>
      <c r="BE107" s="584"/>
      <c r="BF107" s="585"/>
      <c r="BG107" s="585"/>
      <c r="BH107" s="585"/>
      <c r="BI107" s="586"/>
      <c r="BJ107" s="586"/>
      <c r="BK107" s="585"/>
      <c r="BL107" s="584"/>
      <c r="BM107" s="585"/>
      <c r="BN107" s="585"/>
      <c r="BO107" s="585"/>
      <c r="BP107" s="586"/>
      <c r="BQ107" s="586"/>
      <c r="BR107" s="585"/>
      <c r="BS107" s="584"/>
      <c r="BT107" s="585"/>
      <c r="BU107" s="585"/>
      <c r="BV107" s="585"/>
      <c r="BW107" s="586"/>
      <c r="BX107" s="586"/>
      <c r="BY107" s="585"/>
      <c r="BZ107" s="584"/>
      <c r="CA107" s="585"/>
      <c r="CB107" s="585"/>
      <c r="CC107" s="585"/>
      <c r="CD107" s="586"/>
      <c r="CE107" s="586"/>
      <c r="CF107" s="585"/>
      <c r="CG107" s="584"/>
      <c r="CH107" s="585"/>
      <c r="CI107" s="585"/>
      <c r="CJ107" s="585"/>
      <c r="CK107" s="586"/>
      <c r="CL107" s="586"/>
      <c r="CM107" s="585"/>
      <c r="CN107" s="584"/>
      <c r="CO107" s="585"/>
      <c r="CP107" s="585"/>
      <c r="CQ107" s="585"/>
      <c r="CR107" s="586"/>
      <c r="CS107" s="586"/>
      <c r="CT107" s="585"/>
      <c r="CU107" s="584"/>
      <c r="CV107" s="585"/>
      <c r="CW107" s="585"/>
      <c r="CX107" s="585"/>
      <c r="CY107" s="586"/>
      <c r="CZ107" s="586"/>
      <c r="DA107" s="585"/>
      <c r="DB107" s="584"/>
      <c r="DC107" s="585"/>
      <c r="DD107" s="585"/>
      <c r="DE107" s="585"/>
      <c r="DF107" s="586"/>
      <c r="DG107" s="586"/>
      <c r="DH107" s="585"/>
      <c r="DI107" s="584"/>
      <c r="DJ107" s="585"/>
      <c r="DK107" s="585"/>
      <c r="DL107" s="585"/>
      <c r="DM107" s="586"/>
      <c r="DN107" s="586"/>
      <c r="DO107" s="585"/>
      <c r="DP107" s="584"/>
      <c r="DQ107" s="585"/>
      <c r="DR107" s="585"/>
      <c r="DS107" s="585"/>
      <c r="DT107" s="586"/>
      <c r="DU107" s="586"/>
      <c r="DV107" s="585"/>
      <c r="DW107" s="584"/>
      <c r="DX107" s="585"/>
      <c r="DY107" s="585"/>
      <c r="DZ107" s="585"/>
      <c r="EA107" s="586"/>
      <c r="EB107" s="586"/>
      <c r="EC107" s="585"/>
      <c r="ED107" s="584"/>
      <c r="EE107" s="585"/>
      <c r="EF107" s="585"/>
      <c r="EG107" s="585"/>
      <c r="EH107" s="586"/>
      <c r="EI107" s="586"/>
      <c r="EJ107" s="585"/>
      <c r="EK107" s="584"/>
      <c r="EL107" s="585"/>
      <c r="EM107" s="585"/>
      <c r="EN107" s="585"/>
      <c r="EO107" s="586"/>
      <c r="EP107" s="586"/>
      <c r="EQ107" s="585"/>
      <c r="ER107" s="584"/>
      <c r="ES107" s="585"/>
      <c r="ET107" s="585"/>
      <c r="EU107" s="585"/>
      <c r="EV107" s="586"/>
      <c r="EW107" s="586"/>
      <c r="EX107" s="585"/>
      <c r="EY107" s="584"/>
      <c r="EZ107" s="585"/>
      <c r="FA107" s="585"/>
      <c r="FB107" s="585"/>
      <c r="FC107" s="586"/>
      <c r="FD107" s="586"/>
      <c r="FE107" s="585"/>
      <c r="FF107" s="584"/>
      <c r="FG107" s="585"/>
      <c r="FH107" s="585"/>
      <c r="FI107" s="585"/>
      <c r="FJ107" s="586"/>
      <c r="FK107" s="586"/>
      <c r="FL107" s="585"/>
      <c r="FM107" s="584"/>
      <c r="FN107" s="585"/>
      <c r="FO107" s="585"/>
      <c r="FP107" s="585"/>
      <c r="FQ107" s="586"/>
      <c r="FR107" s="586"/>
      <c r="FS107" s="585"/>
      <c r="FT107" s="584"/>
      <c r="FU107" s="585"/>
      <c r="FV107" s="585"/>
      <c r="FW107" s="585"/>
      <c r="FX107" s="586"/>
      <c r="FY107" s="586"/>
      <c r="FZ107" s="585"/>
      <c r="GA107" s="584"/>
      <c r="GB107" s="585"/>
      <c r="GC107" s="585"/>
      <c r="GD107" s="585"/>
      <c r="GE107" s="586"/>
      <c r="GF107" s="586"/>
      <c r="GG107" s="585"/>
      <c r="GH107" s="584"/>
      <c r="GI107" s="585"/>
      <c r="GJ107" s="585"/>
      <c r="GK107" s="585"/>
      <c r="GL107" s="586"/>
      <c r="GM107" s="586"/>
      <c r="GN107" s="585"/>
      <c r="GO107" s="584"/>
      <c r="GP107" s="585"/>
      <c r="GQ107" s="585"/>
      <c r="GR107" s="585"/>
      <c r="GS107" s="586"/>
      <c r="GT107" s="586"/>
      <c r="GU107" s="585"/>
      <c r="GV107" s="584"/>
      <c r="GW107" s="585"/>
      <c r="GX107" s="585"/>
      <c r="GY107" s="585"/>
      <c r="GZ107" s="586"/>
      <c r="HA107" s="586"/>
      <c r="HB107" s="585"/>
      <c r="HC107" s="584"/>
      <c r="HD107" s="585"/>
      <c r="HE107" s="585"/>
      <c r="HF107" s="585"/>
      <c r="HG107" s="586"/>
      <c r="HH107" s="586"/>
      <c r="HI107" s="585"/>
      <c r="HJ107" s="584"/>
      <c r="HK107" s="585"/>
      <c r="HL107" s="585"/>
      <c r="HM107" s="585"/>
      <c r="HN107" s="586"/>
      <c r="HO107" s="586"/>
      <c r="HP107" s="585"/>
      <c r="HQ107" s="584"/>
      <c r="HR107" s="585"/>
      <c r="HS107" s="585"/>
      <c r="HT107" s="585"/>
      <c r="HU107" s="586"/>
      <c r="HV107" s="586"/>
      <c r="HW107" s="585"/>
      <c r="HX107" s="584"/>
      <c r="HY107" s="585"/>
      <c r="HZ107" s="585"/>
      <c r="IA107" s="585"/>
      <c r="IB107" s="586"/>
      <c r="IC107" s="586"/>
      <c r="ID107" s="585"/>
      <c r="IE107" s="584"/>
      <c r="IF107" s="585"/>
      <c r="IG107" s="585"/>
      <c r="IH107" s="585"/>
      <c r="II107" s="586"/>
      <c r="IJ107" s="586"/>
      <c r="IK107" s="585"/>
      <c r="IL107" s="584"/>
      <c r="IM107" s="585"/>
      <c r="IN107" s="585"/>
      <c r="IO107" s="585"/>
      <c r="IP107" s="586"/>
      <c r="IQ107" s="586"/>
      <c r="IR107" s="585"/>
      <c r="IS107" s="584"/>
      <c r="IT107" s="585"/>
      <c r="IU107" s="585"/>
      <c r="IV107" s="585"/>
    </row>
    <row r="108" spans="1:256" ht="12.75">
      <c r="A108" s="473" t="s">
        <v>269</v>
      </c>
      <c r="B108" s="507">
        <v>13</v>
      </c>
      <c r="C108" s="507"/>
      <c r="D108" s="507"/>
      <c r="E108" s="40"/>
      <c r="F108" s="40"/>
      <c r="G108" s="507"/>
      <c r="H108" s="587"/>
      <c r="I108" s="510"/>
      <c r="J108" s="510"/>
      <c r="K108" s="510"/>
      <c r="L108" s="588"/>
      <c r="M108" s="588"/>
      <c r="N108" s="510"/>
      <c r="O108" s="587"/>
      <c r="P108" s="510"/>
      <c r="Q108" s="510"/>
      <c r="R108" s="510"/>
      <c r="S108" s="588"/>
      <c r="T108" s="588"/>
      <c r="U108" s="510"/>
      <c r="V108" s="587"/>
      <c r="W108" s="510"/>
      <c r="X108" s="510"/>
      <c r="Y108" s="510"/>
      <c r="Z108" s="588"/>
      <c r="AA108" s="588"/>
      <c r="AB108" s="510"/>
      <c r="AC108" s="587"/>
      <c r="AD108" s="510"/>
      <c r="AE108" s="510"/>
      <c r="AF108" s="510"/>
      <c r="AG108" s="588"/>
      <c r="AH108" s="588"/>
      <c r="AI108" s="510"/>
      <c r="AJ108" s="587"/>
      <c r="AK108" s="510"/>
      <c r="AL108" s="510"/>
      <c r="AM108" s="510"/>
      <c r="AN108" s="588"/>
      <c r="AO108" s="588"/>
      <c r="AP108" s="510"/>
      <c r="AQ108" s="587"/>
      <c r="AR108" s="510"/>
      <c r="AS108" s="510"/>
      <c r="AT108" s="510"/>
      <c r="AU108" s="588"/>
      <c r="AV108" s="588"/>
      <c r="AW108" s="510"/>
      <c r="AX108" s="587"/>
      <c r="AY108" s="510"/>
      <c r="AZ108" s="510"/>
      <c r="BA108" s="510"/>
      <c r="BB108" s="588"/>
      <c r="BC108" s="588"/>
      <c r="BD108" s="510"/>
      <c r="BE108" s="587"/>
      <c r="BF108" s="510"/>
      <c r="BG108" s="510"/>
      <c r="BH108" s="510"/>
      <c r="BI108" s="588"/>
      <c r="BJ108" s="588"/>
      <c r="BK108" s="510"/>
      <c r="BL108" s="587"/>
      <c r="BM108" s="510"/>
      <c r="BN108" s="510"/>
      <c r="BO108" s="510"/>
      <c r="BP108" s="588"/>
      <c r="BQ108" s="588"/>
      <c r="BR108" s="510"/>
      <c r="BS108" s="587"/>
      <c r="BT108" s="510"/>
      <c r="BU108" s="510"/>
      <c r="BV108" s="510"/>
      <c r="BW108" s="588"/>
      <c r="BX108" s="588"/>
      <c r="BY108" s="510"/>
      <c r="BZ108" s="587"/>
      <c r="CA108" s="510"/>
      <c r="CB108" s="510"/>
      <c r="CC108" s="510"/>
      <c r="CD108" s="588"/>
      <c r="CE108" s="588"/>
      <c r="CF108" s="510"/>
      <c r="CG108" s="587"/>
      <c r="CH108" s="510"/>
      <c r="CI108" s="510"/>
      <c r="CJ108" s="510"/>
      <c r="CK108" s="588"/>
      <c r="CL108" s="588"/>
      <c r="CM108" s="510"/>
      <c r="CN108" s="587"/>
      <c r="CO108" s="510"/>
      <c r="CP108" s="510"/>
      <c r="CQ108" s="510"/>
      <c r="CR108" s="588"/>
      <c r="CS108" s="588"/>
      <c r="CT108" s="510"/>
      <c r="CU108" s="587"/>
      <c r="CV108" s="510"/>
      <c r="CW108" s="510"/>
      <c r="CX108" s="510"/>
      <c r="CY108" s="588"/>
      <c r="CZ108" s="588"/>
      <c r="DA108" s="510"/>
      <c r="DB108" s="587"/>
      <c r="DC108" s="510"/>
      <c r="DD108" s="510"/>
      <c r="DE108" s="510"/>
      <c r="DF108" s="588"/>
      <c r="DG108" s="588"/>
      <c r="DH108" s="510"/>
      <c r="DI108" s="587"/>
      <c r="DJ108" s="510"/>
      <c r="DK108" s="510"/>
      <c r="DL108" s="510"/>
      <c r="DM108" s="588"/>
      <c r="DN108" s="588"/>
      <c r="DO108" s="510"/>
      <c r="DP108" s="587"/>
      <c r="DQ108" s="510"/>
      <c r="DR108" s="510"/>
      <c r="DS108" s="510"/>
      <c r="DT108" s="588"/>
      <c r="DU108" s="588"/>
      <c r="DV108" s="510"/>
      <c r="DW108" s="587"/>
      <c r="DX108" s="510"/>
      <c r="DY108" s="510"/>
      <c r="DZ108" s="510"/>
      <c r="EA108" s="588"/>
      <c r="EB108" s="588"/>
      <c r="EC108" s="510"/>
      <c r="ED108" s="587"/>
      <c r="EE108" s="510"/>
      <c r="EF108" s="510"/>
      <c r="EG108" s="510"/>
      <c r="EH108" s="588"/>
      <c r="EI108" s="588"/>
      <c r="EJ108" s="510"/>
      <c r="EK108" s="587"/>
      <c r="EL108" s="510"/>
      <c r="EM108" s="510"/>
      <c r="EN108" s="510"/>
      <c r="EO108" s="588"/>
      <c r="EP108" s="588"/>
      <c r="EQ108" s="510"/>
      <c r="ER108" s="587"/>
      <c r="ES108" s="510"/>
      <c r="ET108" s="510"/>
      <c r="EU108" s="510"/>
      <c r="EV108" s="588"/>
      <c r="EW108" s="588"/>
      <c r="EX108" s="510"/>
      <c r="EY108" s="587"/>
      <c r="EZ108" s="510"/>
      <c r="FA108" s="510"/>
      <c r="FB108" s="510"/>
      <c r="FC108" s="588"/>
      <c r="FD108" s="588"/>
      <c r="FE108" s="510"/>
      <c r="FF108" s="587"/>
      <c r="FG108" s="510"/>
      <c r="FH108" s="510"/>
      <c r="FI108" s="510"/>
      <c r="FJ108" s="588"/>
      <c r="FK108" s="588"/>
      <c r="FL108" s="510"/>
      <c r="FM108" s="587"/>
      <c r="FN108" s="510"/>
      <c r="FO108" s="510"/>
      <c r="FP108" s="510"/>
      <c r="FQ108" s="588"/>
      <c r="FR108" s="588"/>
      <c r="FS108" s="510"/>
      <c r="FT108" s="587"/>
      <c r="FU108" s="510"/>
      <c r="FV108" s="510"/>
      <c r="FW108" s="510"/>
      <c r="FX108" s="588"/>
      <c r="FY108" s="588"/>
      <c r="FZ108" s="510"/>
      <c r="GA108" s="587"/>
      <c r="GB108" s="510"/>
      <c r="GC108" s="510"/>
      <c r="GD108" s="510"/>
      <c r="GE108" s="588"/>
      <c r="GF108" s="588"/>
      <c r="GG108" s="510"/>
      <c r="GH108" s="587"/>
      <c r="GI108" s="510"/>
      <c r="GJ108" s="510"/>
      <c r="GK108" s="510"/>
      <c r="GL108" s="588"/>
      <c r="GM108" s="588"/>
      <c r="GN108" s="510"/>
      <c r="GO108" s="587"/>
      <c r="GP108" s="510"/>
      <c r="GQ108" s="510"/>
      <c r="GR108" s="510"/>
      <c r="GS108" s="588"/>
      <c r="GT108" s="588"/>
      <c r="GU108" s="510"/>
      <c r="GV108" s="587"/>
      <c r="GW108" s="510"/>
      <c r="GX108" s="510"/>
      <c r="GY108" s="510"/>
      <c r="GZ108" s="588"/>
      <c r="HA108" s="588"/>
      <c r="HB108" s="510"/>
      <c r="HC108" s="587"/>
      <c r="HD108" s="510"/>
      <c r="HE108" s="510"/>
      <c r="HF108" s="510"/>
      <c r="HG108" s="588"/>
      <c r="HH108" s="588"/>
      <c r="HI108" s="510"/>
      <c r="HJ108" s="587"/>
      <c r="HK108" s="510"/>
      <c r="HL108" s="510"/>
      <c r="HM108" s="510"/>
      <c r="HN108" s="588"/>
      <c r="HO108" s="588"/>
      <c r="HP108" s="510"/>
      <c r="HQ108" s="587"/>
      <c r="HR108" s="510"/>
      <c r="HS108" s="510"/>
      <c r="HT108" s="510"/>
      <c r="HU108" s="588"/>
      <c r="HV108" s="588"/>
      <c r="HW108" s="510"/>
      <c r="HX108" s="587"/>
      <c r="HY108" s="510"/>
      <c r="HZ108" s="510"/>
      <c r="IA108" s="510"/>
      <c r="IB108" s="588"/>
      <c r="IC108" s="588"/>
      <c r="ID108" s="510"/>
      <c r="IE108" s="587"/>
      <c r="IF108" s="510"/>
      <c r="IG108" s="510"/>
      <c r="IH108" s="510"/>
      <c r="II108" s="588"/>
      <c r="IJ108" s="588"/>
      <c r="IK108" s="510"/>
      <c r="IL108" s="587"/>
      <c r="IM108" s="510"/>
      <c r="IN108" s="510"/>
      <c r="IO108" s="510"/>
      <c r="IP108" s="588"/>
      <c r="IQ108" s="588"/>
      <c r="IR108" s="510"/>
      <c r="IS108" s="587"/>
      <c r="IT108" s="510"/>
      <c r="IU108" s="510"/>
      <c r="IV108" s="510"/>
    </row>
    <row r="109" spans="1:256" ht="38.25">
      <c r="A109" s="465" t="s">
        <v>276</v>
      </c>
      <c r="B109" s="503">
        <v>4805</v>
      </c>
      <c r="C109" s="503">
        <v>540</v>
      </c>
      <c r="D109" s="503">
        <v>490</v>
      </c>
      <c r="E109" s="279">
        <v>10.197710718002082</v>
      </c>
      <c r="F109" s="279">
        <v>90.74074074074075</v>
      </c>
      <c r="G109" s="503">
        <v>490</v>
      </c>
      <c r="H109" s="574"/>
      <c r="I109" s="422"/>
      <c r="J109" s="422"/>
      <c r="K109" s="422"/>
      <c r="L109" s="576"/>
      <c r="M109" s="576"/>
      <c r="N109" s="422"/>
      <c r="O109" s="574"/>
      <c r="P109" s="422"/>
      <c r="Q109" s="422"/>
      <c r="R109" s="422"/>
      <c r="S109" s="576"/>
      <c r="T109" s="576"/>
      <c r="U109" s="422"/>
      <c r="V109" s="574"/>
      <c r="W109" s="422"/>
      <c r="X109" s="422"/>
      <c r="Y109" s="422"/>
      <c r="Z109" s="576"/>
      <c r="AA109" s="576"/>
      <c r="AB109" s="422"/>
      <c r="AC109" s="574"/>
      <c r="AD109" s="422"/>
      <c r="AE109" s="422"/>
      <c r="AF109" s="422"/>
      <c r="AG109" s="576"/>
      <c r="AH109" s="576"/>
      <c r="AI109" s="422"/>
      <c r="AJ109" s="574"/>
      <c r="AK109" s="422"/>
      <c r="AL109" s="422"/>
      <c r="AM109" s="422"/>
      <c r="AN109" s="576"/>
      <c r="AO109" s="576"/>
      <c r="AP109" s="422"/>
      <c r="AQ109" s="574"/>
      <c r="AR109" s="422"/>
      <c r="AS109" s="422"/>
      <c r="AT109" s="422"/>
      <c r="AU109" s="576"/>
      <c r="AV109" s="576"/>
      <c r="AW109" s="422"/>
      <c r="AX109" s="574"/>
      <c r="AY109" s="422"/>
      <c r="AZ109" s="422"/>
      <c r="BA109" s="422"/>
      <c r="BB109" s="576"/>
      <c r="BC109" s="576"/>
      <c r="BD109" s="422"/>
      <c r="BE109" s="574"/>
      <c r="BF109" s="422"/>
      <c r="BG109" s="422"/>
      <c r="BH109" s="422"/>
      <c r="BI109" s="576"/>
      <c r="BJ109" s="576"/>
      <c r="BK109" s="422"/>
      <c r="BL109" s="574"/>
      <c r="BM109" s="422"/>
      <c r="BN109" s="422"/>
      <c r="BO109" s="422"/>
      <c r="BP109" s="576"/>
      <c r="BQ109" s="576"/>
      <c r="BR109" s="422"/>
      <c r="BS109" s="574"/>
      <c r="BT109" s="422"/>
      <c r="BU109" s="422"/>
      <c r="BV109" s="422"/>
      <c r="BW109" s="576"/>
      <c r="BX109" s="576"/>
      <c r="BY109" s="422"/>
      <c r="BZ109" s="574"/>
      <c r="CA109" s="422"/>
      <c r="CB109" s="422"/>
      <c r="CC109" s="422"/>
      <c r="CD109" s="576"/>
      <c r="CE109" s="576"/>
      <c r="CF109" s="422"/>
      <c r="CG109" s="574"/>
      <c r="CH109" s="422"/>
      <c r="CI109" s="422"/>
      <c r="CJ109" s="422"/>
      <c r="CK109" s="576"/>
      <c r="CL109" s="576"/>
      <c r="CM109" s="422"/>
      <c r="CN109" s="574"/>
      <c r="CO109" s="422"/>
      <c r="CP109" s="422"/>
      <c r="CQ109" s="422"/>
      <c r="CR109" s="576"/>
      <c r="CS109" s="576"/>
      <c r="CT109" s="422"/>
      <c r="CU109" s="574"/>
      <c r="CV109" s="422"/>
      <c r="CW109" s="422"/>
      <c r="CX109" s="422"/>
      <c r="CY109" s="576"/>
      <c r="CZ109" s="576"/>
      <c r="DA109" s="422"/>
      <c r="DB109" s="574"/>
      <c r="DC109" s="422"/>
      <c r="DD109" s="422"/>
      <c r="DE109" s="422"/>
      <c r="DF109" s="576"/>
      <c r="DG109" s="576"/>
      <c r="DH109" s="422"/>
      <c r="DI109" s="574"/>
      <c r="DJ109" s="422"/>
      <c r="DK109" s="422"/>
      <c r="DL109" s="422"/>
      <c r="DM109" s="576"/>
      <c r="DN109" s="576"/>
      <c r="DO109" s="422"/>
      <c r="DP109" s="574"/>
      <c r="DQ109" s="422"/>
      <c r="DR109" s="422"/>
      <c r="DS109" s="422"/>
      <c r="DT109" s="576"/>
      <c r="DU109" s="576"/>
      <c r="DV109" s="422"/>
      <c r="DW109" s="574"/>
      <c r="DX109" s="422"/>
      <c r="DY109" s="422"/>
      <c r="DZ109" s="422"/>
      <c r="EA109" s="576"/>
      <c r="EB109" s="576"/>
      <c r="EC109" s="422"/>
      <c r="ED109" s="574"/>
      <c r="EE109" s="422"/>
      <c r="EF109" s="422"/>
      <c r="EG109" s="422"/>
      <c r="EH109" s="576"/>
      <c r="EI109" s="576"/>
      <c r="EJ109" s="422"/>
      <c r="EK109" s="574"/>
      <c r="EL109" s="422"/>
      <c r="EM109" s="422"/>
      <c r="EN109" s="422"/>
      <c r="EO109" s="576"/>
      <c r="EP109" s="576"/>
      <c r="EQ109" s="422"/>
      <c r="ER109" s="574"/>
      <c r="ES109" s="422"/>
      <c r="ET109" s="422"/>
      <c r="EU109" s="422"/>
      <c r="EV109" s="576"/>
      <c r="EW109" s="576"/>
      <c r="EX109" s="422"/>
      <c r="EY109" s="574"/>
      <c r="EZ109" s="422"/>
      <c r="FA109" s="422"/>
      <c r="FB109" s="422"/>
      <c r="FC109" s="576"/>
      <c r="FD109" s="576"/>
      <c r="FE109" s="422"/>
      <c r="FF109" s="574"/>
      <c r="FG109" s="422"/>
      <c r="FH109" s="422"/>
      <c r="FI109" s="422"/>
      <c r="FJ109" s="576"/>
      <c r="FK109" s="576"/>
      <c r="FL109" s="422"/>
      <c r="FM109" s="574"/>
      <c r="FN109" s="422"/>
      <c r="FO109" s="422"/>
      <c r="FP109" s="422"/>
      <c r="FQ109" s="576"/>
      <c r="FR109" s="576"/>
      <c r="FS109" s="422"/>
      <c r="FT109" s="574"/>
      <c r="FU109" s="422"/>
      <c r="FV109" s="422"/>
      <c r="FW109" s="422"/>
      <c r="FX109" s="576"/>
      <c r="FY109" s="576"/>
      <c r="FZ109" s="422"/>
      <c r="GA109" s="574"/>
      <c r="GB109" s="422"/>
      <c r="GC109" s="422"/>
      <c r="GD109" s="422"/>
      <c r="GE109" s="576"/>
      <c r="GF109" s="576"/>
      <c r="GG109" s="422"/>
      <c r="GH109" s="574"/>
      <c r="GI109" s="422"/>
      <c r="GJ109" s="422"/>
      <c r="GK109" s="422"/>
      <c r="GL109" s="576"/>
      <c r="GM109" s="576"/>
      <c r="GN109" s="422"/>
      <c r="GO109" s="574"/>
      <c r="GP109" s="422"/>
      <c r="GQ109" s="422"/>
      <c r="GR109" s="422"/>
      <c r="GS109" s="576"/>
      <c r="GT109" s="576"/>
      <c r="GU109" s="422"/>
      <c r="GV109" s="574"/>
      <c r="GW109" s="422"/>
      <c r="GX109" s="422"/>
      <c r="GY109" s="422"/>
      <c r="GZ109" s="576"/>
      <c r="HA109" s="576"/>
      <c r="HB109" s="422"/>
      <c r="HC109" s="574"/>
      <c r="HD109" s="422"/>
      <c r="HE109" s="422"/>
      <c r="HF109" s="422"/>
      <c r="HG109" s="576"/>
      <c r="HH109" s="576"/>
      <c r="HI109" s="422"/>
      <c r="HJ109" s="574"/>
      <c r="HK109" s="422"/>
      <c r="HL109" s="422"/>
      <c r="HM109" s="422"/>
      <c r="HN109" s="576"/>
      <c r="HO109" s="576"/>
      <c r="HP109" s="422"/>
      <c r="HQ109" s="574"/>
      <c r="HR109" s="422"/>
      <c r="HS109" s="422"/>
      <c r="HT109" s="422"/>
      <c r="HU109" s="576"/>
      <c r="HV109" s="576"/>
      <c r="HW109" s="422"/>
      <c r="HX109" s="574"/>
      <c r="HY109" s="422"/>
      <c r="HZ109" s="422"/>
      <c r="IA109" s="422"/>
      <c r="IB109" s="576"/>
      <c r="IC109" s="576"/>
      <c r="ID109" s="422"/>
      <c r="IE109" s="574"/>
      <c r="IF109" s="422"/>
      <c r="IG109" s="422"/>
      <c r="IH109" s="422"/>
      <c r="II109" s="576"/>
      <c r="IJ109" s="576"/>
      <c r="IK109" s="422"/>
      <c r="IL109" s="574"/>
      <c r="IM109" s="422"/>
      <c r="IN109" s="422"/>
      <c r="IO109" s="422"/>
      <c r="IP109" s="576"/>
      <c r="IQ109" s="576"/>
      <c r="IR109" s="422"/>
      <c r="IS109" s="574"/>
      <c r="IT109" s="422"/>
      <c r="IU109" s="422"/>
      <c r="IV109" s="422"/>
    </row>
    <row r="110" spans="1:256" ht="12.75">
      <c r="A110" s="504" t="s">
        <v>311</v>
      </c>
      <c r="B110" s="511">
        <v>1678</v>
      </c>
      <c r="C110" s="511">
        <v>540</v>
      </c>
      <c r="D110" s="511">
        <v>490</v>
      </c>
      <c r="E110" s="279">
        <v>29.201430274135877</v>
      </c>
      <c r="F110" s="279">
        <v>90.74074074074075</v>
      </c>
      <c r="G110" s="511">
        <v>490</v>
      </c>
      <c r="H110" s="577"/>
      <c r="I110" s="422"/>
      <c r="J110" s="422"/>
      <c r="K110" s="422"/>
      <c r="L110" s="576"/>
      <c r="M110" s="576"/>
      <c r="N110" s="422"/>
      <c r="O110" s="577"/>
      <c r="P110" s="422"/>
      <c r="Q110" s="422"/>
      <c r="R110" s="422"/>
      <c r="S110" s="576"/>
      <c r="T110" s="576"/>
      <c r="U110" s="422"/>
      <c r="V110" s="577"/>
      <c r="W110" s="422"/>
      <c r="X110" s="422"/>
      <c r="Y110" s="422"/>
      <c r="Z110" s="576"/>
      <c r="AA110" s="576"/>
      <c r="AB110" s="422"/>
      <c r="AC110" s="577"/>
      <c r="AD110" s="422"/>
      <c r="AE110" s="422"/>
      <c r="AF110" s="422"/>
      <c r="AG110" s="576"/>
      <c r="AH110" s="576"/>
      <c r="AI110" s="422"/>
      <c r="AJ110" s="577"/>
      <c r="AK110" s="422"/>
      <c r="AL110" s="422"/>
      <c r="AM110" s="422"/>
      <c r="AN110" s="576"/>
      <c r="AO110" s="576"/>
      <c r="AP110" s="422"/>
      <c r="AQ110" s="577"/>
      <c r="AR110" s="422"/>
      <c r="AS110" s="422"/>
      <c r="AT110" s="422"/>
      <c r="AU110" s="576"/>
      <c r="AV110" s="576"/>
      <c r="AW110" s="422"/>
      <c r="AX110" s="577"/>
      <c r="AY110" s="422"/>
      <c r="AZ110" s="422"/>
      <c r="BA110" s="422"/>
      <c r="BB110" s="576"/>
      <c r="BC110" s="576"/>
      <c r="BD110" s="422"/>
      <c r="BE110" s="577"/>
      <c r="BF110" s="422"/>
      <c r="BG110" s="422"/>
      <c r="BH110" s="422"/>
      <c r="BI110" s="576"/>
      <c r="BJ110" s="576"/>
      <c r="BK110" s="422"/>
      <c r="BL110" s="577"/>
      <c r="BM110" s="422"/>
      <c r="BN110" s="422"/>
      <c r="BO110" s="422"/>
      <c r="BP110" s="576"/>
      <c r="BQ110" s="576"/>
      <c r="BR110" s="422"/>
      <c r="BS110" s="577"/>
      <c r="BT110" s="422"/>
      <c r="BU110" s="422"/>
      <c r="BV110" s="422"/>
      <c r="BW110" s="576"/>
      <c r="BX110" s="576"/>
      <c r="BY110" s="422"/>
      <c r="BZ110" s="577"/>
      <c r="CA110" s="422"/>
      <c r="CB110" s="422"/>
      <c r="CC110" s="422"/>
      <c r="CD110" s="576"/>
      <c r="CE110" s="576"/>
      <c r="CF110" s="422"/>
      <c r="CG110" s="577"/>
      <c r="CH110" s="422"/>
      <c r="CI110" s="422"/>
      <c r="CJ110" s="422"/>
      <c r="CK110" s="576"/>
      <c r="CL110" s="576"/>
      <c r="CM110" s="422"/>
      <c r="CN110" s="577"/>
      <c r="CO110" s="422"/>
      <c r="CP110" s="422"/>
      <c r="CQ110" s="422"/>
      <c r="CR110" s="576"/>
      <c r="CS110" s="576"/>
      <c r="CT110" s="422"/>
      <c r="CU110" s="577"/>
      <c r="CV110" s="422"/>
      <c r="CW110" s="422"/>
      <c r="CX110" s="422"/>
      <c r="CY110" s="576"/>
      <c r="CZ110" s="576"/>
      <c r="DA110" s="422"/>
      <c r="DB110" s="577"/>
      <c r="DC110" s="422"/>
      <c r="DD110" s="422"/>
      <c r="DE110" s="422"/>
      <c r="DF110" s="576"/>
      <c r="DG110" s="576"/>
      <c r="DH110" s="422"/>
      <c r="DI110" s="577"/>
      <c r="DJ110" s="422"/>
      <c r="DK110" s="422"/>
      <c r="DL110" s="422"/>
      <c r="DM110" s="576"/>
      <c r="DN110" s="576"/>
      <c r="DO110" s="422"/>
      <c r="DP110" s="577"/>
      <c r="DQ110" s="422"/>
      <c r="DR110" s="422"/>
      <c r="DS110" s="422"/>
      <c r="DT110" s="576"/>
      <c r="DU110" s="576"/>
      <c r="DV110" s="422"/>
      <c r="DW110" s="577"/>
      <c r="DX110" s="422"/>
      <c r="DY110" s="422"/>
      <c r="DZ110" s="422"/>
      <c r="EA110" s="576"/>
      <c r="EB110" s="576"/>
      <c r="EC110" s="422"/>
      <c r="ED110" s="577"/>
      <c r="EE110" s="422"/>
      <c r="EF110" s="422"/>
      <c r="EG110" s="422"/>
      <c r="EH110" s="576"/>
      <c r="EI110" s="576"/>
      <c r="EJ110" s="422"/>
      <c r="EK110" s="577"/>
      <c r="EL110" s="422"/>
      <c r="EM110" s="422"/>
      <c r="EN110" s="422"/>
      <c r="EO110" s="576"/>
      <c r="EP110" s="576"/>
      <c r="EQ110" s="422"/>
      <c r="ER110" s="577"/>
      <c r="ES110" s="422"/>
      <c r="ET110" s="422"/>
      <c r="EU110" s="422"/>
      <c r="EV110" s="576"/>
      <c r="EW110" s="576"/>
      <c r="EX110" s="422"/>
      <c r="EY110" s="577"/>
      <c r="EZ110" s="422"/>
      <c r="FA110" s="422"/>
      <c r="FB110" s="422"/>
      <c r="FC110" s="576"/>
      <c r="FD110" s="576"/>
      <c r="FE110" s="422"/>
      <c r="FF110" s="577"/>
      <c r="FG110" s="422"/>
      <c r="FH110" s="422"/>
      <c r="FI110" s="422"/>
      <c r="FJ110" s="576"/>
      <c r="FK110" s="576"/>
      <c r="FL110" s="422"/>
      <c r="FM110" s="577"/>
      <c r="FN110" s="422"/>
      <c r="FO110" s="422"/>
      <c r="FP110" s="422"/>
      <c r="FQ110" s="576"/>
      <c r="FR110" s="576"/>
      <c r="FS110" s="422"/>
      <c r="FT110" s="577"/>
      <c r="FU110" s="422"/>
      <c r="FV110" s="422"/>
      <c r="FW110" s="422"/>
      <c r="FX110" s="576"/>
      <c r="FY110" s="576"/>
      <c r="FZ110" s="422"/>
      <c r="GA110" s="577"/>
      <c r="GB110" s="422"/>
      <c r="GC110" s="422"/>
      <c r="GD110" s="422"/>
      <c r="GE110" s="576"/>
      <c r="GF110" s="576"/>
      <c r="GG110" s="422"/>
      <c r="GH110" s="577"/>
      <c r="GI110" s="422"/>
      <c r="GJ110" s="422"/>
      <c r="GK110" s="422"/>
      <c r="GL110" s="576"/>
      <c r="GM110" s="576"/>
      <c r="GN110" s="422"/>
      <c r="GO110" s="577"/>
      <c r="GP110" s="422"/>
      <c r="GQ110" s="422"/>
      <c r="GR110" s="422"/>
      <c r="GS110" s="576"/>
      <c r="GT110" s="576"/>
      <c r="GU110" s="422"/>
      <c r="GV110" s="577"/>
      <c r="GW110" s="422"/>
      <c r="GX110" s="422"/>
      <c r="GY110" s="422"/>
      <c r="GZ110" s="576"/>
      <c r="HA110" s="576"/>
      <c r="HB110" s="422"/>
      <c r="HC110" s="577"/>
      <c r="HD110" s="422"/>
      <c r="HE110" s="422"/>
      <c r="HF110" s="422"/>
      <c r="HG110" s="576"/>
      <c r="HH110" s="576"/>
      <c r="HI110" s="422"/>
      <c r="HJ110" s="577"/>
      <c r="HK110" s="422"/>
      <c r="HL110" s="422"/>
      <c r="HM110" s="422"/>
      <c r="HN110" s="576"/>
      <c r="HO110" s="576"/>
      <c r="HP110" s="422"/>
      <c r="HQ110" s="577"/>
      <c r="HR110" s="422"/>
      <c r="HS110" s="422"/>
      <c r="HT110" s="422"/>
      <c r="HU110" s="576"/>
      <c r="HV110" s="576"/>
      <c r="HW110" s="422"/>
      <c r="HX110" s="577"/>
      <c r="HY110" s="422"/>
      <c r="HZ110" s="422"/>
      <c r="IA110" s="422"/>
      <c r="IB110" s="576"/>
      <c r="IC110" s="576"/>
      <c r="ID110" s="422"/>
      <c r="IE110" s="577"/>
      <c r="IF110" s="422"/>
      <c r="IG110" s="422"/>
      <c r="IH110" s="422"/>
      <c r="II110" s="576"/>
      <c r="IJ110" s="576"/>
      <c r="IK110" s="422"/>
      <c r="IL110" s="577"/>
      <c r="IM110" s="422"/>
      <c r="IN110" s="422"/>
      <c r="IO110" s="422"/>
      <c r="IP110" s="576"/>
      <c r="IQ110" s="576"/>
      <c r="IR110" s="422"/>
      <c r="IS110" s="577"/>
      <c r="IT110" s="422"/>
      <c r="IU110" s="422"/>
      <c r="IV110" s="422"/>
    </row>
    <row r="111" spans="1:256" ht="12.75">
      <c r="A111" s="471" t="s">
        <v>269</v>
      </c>
      <c r="B111" s="248">
        <v>208</v>
      </c>
      <c r="C111" s="248"/>
      <c r="D111" s="248"/>
      <c r="E111" s="279"/>
      <c r="F111" s="279"/>
      <c r="G111" s="248"/>
      <c r="H111" s="578"/>
      <c r="I111" s="580"/>
      <c r="J111" s="580"/>
      <c r="K111" s="580"/>
      <c r="L111" s="576"/>
      <c r="M111" s="576"/>
      <c r="N111" s="580"/>
      <c r="O111" s="578"/>
      <c r="P111" s="580"/>
      <c r="Q111" s="580"/>
      <c r="R111" s="580"/>
      <c r="S111" s="576"/>
      <c r="T111" s="576"/>
      <c r="U111" s="580"/>
      <c r="V111" s="578"/>
      <c r="W111" s="580"/>
      <c r="X111" s="580"/>
      <c r="Y111" s="580"/>
      <c r="Z111" s="576"/>
      <c r="AA111" s="576"/>
      <c r="AB111" s="580"/>
      <c r="AC111" s="578"/>
      <c r="AD111" s="580"/>
      <c r="AE111" s="580"/>
      <c r="AF111" s="580"/>
      <c r="AG111" s="576"/>
      <c r="AH111" s="576"/>
      <c r="AI111" s="580"/>
      <c r="AJ111" s="578"/>
      <c r="AK111" s="580"/>
      <c r="AL111" s="580"/>
      <c r="AM111" s="580"/>
      <c r="AN111" s="576"/>
      <c r="AO111" s="576"/>
      <c r="AP111" s="580"/>
      <c r="AQ111" s="578"/>
      <c r="AR111" s="580"/>
      <c r="AS111" s="580"/>
      <c r="AT111" s="580"/>
      <c r="AU111" s="576"/>
      <c r="AV111" s="576"/>
      <c r="AW111" s="580"/>
      <c r="AX111" s="578"/>
      <c r="AY111" s="580"/>
      <c r="AZ111" s="580"/>
      <c r="BA111" s="580"/>
      <c r="BB111" s="576"/>
      <c r="BC111" s="576"/>
      <c r="BD111" s="580"/>
      <c r="BE111" s="578"/>
      <c r="BF111" s="580"/>
      <c r="BG111" s="580"/>
      <c r="BH111" s="580"/>
      <c r="BI111" s="576"/>
      <c r="BJ111" s="576"/>
      <c r="BK111" s="580"/>
      <c r="BL111" s="578"/>
      <c r="BM111" s="580"/>
      <c r="BN111" s="580"/>
      <c r="BO111" s="580"/>
      <c r="BP111" s="576"/>
      <c r="BQ111" s="576"/>
      <c r="BR111" s="580"/>
      <c r="BS111" s="578"/>
      <c r="BT111" s="580"/>
      <c r="BU111" s="580"/>
      <c r="BV111" s="580"/>
      <c r="BW111" s="576"/>
      <c r="BX111" s="576"/>
      <c r="BY111" s="580"/>
      <c r="BZ111" s="578"/>
      <c r="CA111" s="580"/>
      <c r="CB111" s="580"/>
      <c r="CC111" s="580"/>
      <c r="CD111" s="576"/>
      <c r="CE111" s="576"/>
      <c r="CF111" s="580"/>
      <c r="CG111" s="578"/>
      <c r="CH111" s="580"/>
      <c r="CI111" s="580"/>
      <c r="CJ111" s="580"/>
      <c r="CK111" s="576"/>
      <c r="CL111" s="576"/>
      <c r="CM111" s="580"/>
      <c r="CN111" s="578"/>
      <c r="CO111" s="580"/>
      <c r="CP111" s="580"/>
      <c r="CQ111" s="580"/>
      <c r="CR111" s="576"/>
      <c r="CS111" s="576"/>
      <c r="CT111" s="580"/>
      <c r="CU111" s="578"/>
      <c r="CV111" s="580"/>
      <c r="CW111" s="580"/>
      <c r="CX111" s="580"/>
      <c r="CY111" s="576"/>
      <c r="CZ111" s="576"/>
      <c r="DA111" s="580"/>
      <c r="DB111" s="578"/>
      <c r="DC111" s="580"/>
      <c r="DD111" s="580"/>
      <c r="DE111" s="580"/>
      <c r="DF111" s="576"/>
      <c r="DG111" s="576"/>
      <c r="DH111" s="580"/>
      <c r="DI111" s="578"/>
      <c r="DJ111" s="580"/>
      <c r="DK111" s="580"/>
      <c r="DL111" s="580"/>
      <c r="DM111" s="576"/>
      <c r="DN111" s="576"/>
      <c r="DO111" s="580"/>
      <c r="DP111" s="578"/>
      <c r="DQ111" s="580"/>
      <c r="DR111" s="580"/>
      <c r="DS111" s="580"/>
      <c r="DT111" s="576"/>
      <c r="DU111" s="576"/>
      <c r="DV111" s="580"/>
      <c r="DW111" s="578"/>
      <c r="DX111" s="580"/>
      <c r="DY111" s="580"/>
      <c r="DZ111" s="580"/>
      <c r="EA111" s="576"/>
      <c r="EB111" s="576"/>
      <c r="EC111" s="580"/>
      <c r="ED111" s="578"/>
      <c r="EE111" s="580"/>
      <c r="EF111" s="580"/>
      <c r="EG111" s="580"/>
      <c r="EH111" s="576"/>
      <c r="EI111" s="576"/>
      <c r="EJ111" s="580"/>
      <c r="EK111" s="578"/>
      <c r="EL111" s="580"/>
      <c r="EM111" s="580"/>
      <c r="EN111" s="580"/>
      <c r="EO111" s="576"/>
      <c r="EP111" s="576"/>
      <c r="EQ111" s="580"/>
      <c r="ER111" s="578"/>
      <c r="ES111" s="580"/>
      <c r="ET111" s="580"/>
      <c r="EU111" s="580"/>
      <c r="EV111" s="576"/>
      <c r="EW111" s="576"/>
      <c r="EX111" s="580"/>
      <c r="EY111" s="578"/>
      <c r="EZ111" s="580"/>
      <c r="FA111" s="580"/>
      <c r="FB111" s="580"/>
      <c r="FC111" s="576"/>
      <c r="FD111" s="576"/>
      <c r="FE111" s="580"/>
      <c r="FF111" s="578"/>
      <c r="FG111" s="580"/>
      <c r="FH111" s="580"/>
      <c r="FI111" s="580"/>
      <c r="FJ111" s="576"/>
      <c r="FK111" s="576"/>
      <c r="FL111" s="580"/>
      <c r="FM111" s="578"/>
      <c r="FN111" s="580"/>
      <c r="FO111" s="580"/>
      <c r="FP111" s="580"/>
      <c r="FQ111" s="576"/>
      <c r="FR111" s="576"/>
      <c r="FS111" s="580"/>
      <c r="FT111" s="578"/>
      <c r="FU111" s="580"/>
      <c r="FV111" s="580"/>
      <c r="FW111" s="580"/>
      <c r="FX111" s="576"/>
      <c r="FY111" s="576"/>
      <c r="FZ111" s="580"/>
      <c r="GA111" s="578"/>
      <c r="GB111" s="580"/>
      <c r="GC111" s="580"/>
      <c r="GD111" s="580"/>
      <c r="GE111" s="576"/>
      <c r="GF111" s="576"/>
      <c r="GG111" s="580"/>
      <c r="GH111" s="578"/>
      <c r="GI111" s="580"/>
      <c r="GJ111" s="580"/>
      <c r="GK111" s="580"/>
      <c r="GL111" s="576"/>
      <c r="GM111" s="576"/>
      <c r="GN111" s="580"/>
      <c r="GO111" s="578"/>
      <c r="GP111" s="580"/>
      <c r="GQ111" s="580"/>
      <c r="GR111" s="580"/>
      <c r="GS111" s="576"/>
      <c r="GT111" s="576"/>
      <c r="GU111" s="580"/>
      <c r="GV111" s="578"/>
      <c r="GW111" s="580"/>
      <c r="GX111" s="580"/>
      <c r="GY111" s="580"/>
      <c r="GZ111" s="576"/>
      <c r="HA111" s="576"/>
      <c r="HB111" s="580"/>
      <c r="HC111" s="578"/>
      <c r="HD111" s="580"/>
      <c r="HE111" s="580"/>
      <c r="HF111" s="580"/>
      <c r="HG111" s="576"/>
      <c r="HH111" s="576"/>
      <c r="HI111" s="580"/>
      <c r="HJ111" s="578"/>
      <c r="HK111" s="580"/>
      <c r="HL111" s="580"/>
      <c r="HM111" s="580"/>
      <c r="HN111" s="576"/>
      <c r="HO111" s="576"/>
      <c r="HP111" s="580"/>
      <c r="HQ111" s="578"/>
      <c r="HR111" s="580"/>
      <c r="HS111" s="580"/>
      <c r="HT111" s="580"/>
      <c r="HU111" s="576"/>
      <c r="HV111" s="576"/>
      <c r="HW111" s="580"/>
      <c r="HX111" s="578"/>
      <c r="HY111" s="580"/>
      <c r="HZ111" s="580"/>
      <c r="IA111" s="580"/>
      <c r="IB111" s="576"/>
      <c r="IC111" s="576"/>
      <c r="ID111" s="580"/>
      <c r="IE111" s="578"/>
      <c r="IF111" s="580"/>
      <c r="IG111" s="580"/>
      <c r="IH111" s="580"/>
      <c r="II111" s="576"/>
      <c r="IJ111" s="576"/>
      <c r="IK111" s="580"/>
      <c r="IL111" s="578"/>
      <c r="IM111" s="580"/>
      <c r="IN111" s="580"/>
      <c r="IO111" s="580"/>
      <c r="IP111" s="576"/>
      <c r="IQ111" s="576"/>
      <c r="IR111" s="580"/>
      <c r="IS111" s="578"/>
      <c r="IT111" s="580"/>
      <c r="IU111" s="580"/>
      <c r="IV111" s="580"/>
    </row>
    <row r="112" spans="1:256" ht="12.75">
      <c r="A112" s="471" t="s">
        <v>270</v>
      </c>
      <c r="B112" s="248">
        <v>1470</v>
      </c>
      <c r="C112" s="32">
        <v>540</v>
      </c>
      <c r="D112" s="248">
        <v>490</v>
      </c>
      <c r="E112" s="16">
        <v>33.33333333333333</v>
      </c>
      <c r="F112" s="16">
        <v>90.74074074074075</v>
      </c>
      <c r="G112" s="248">
        <v>490</v>
      </c>
      <c r="H112" s="578"/>
      <c r="I112" s="580"/>
      <c r="J112" s="583"/>
      <c r="K112" s="580"/>
      <c r="L112" s="581"/>
      <c r="M112" s="581"/>
      <c r="N112" s="580"/>
      <c r="O112" s="578"/>
      <c r="P112" s="580"/>
      <c r="Q112" s="583"/>
      <c r="R112" s="580"/>
      <c r="S112" s="581"/>
      <c r="T112" s="581"/>
      <c r="U112" s="580"/>
      <c r="V112" s="578"/>
      <c r="W112" s="580"/>
      <c r="X112" s="583"/>
      <c r="Y112" s="580"/>
      <c r="Z112" s="581"/>
      <c r="AA112" s="581"/>
      <c r="AB112" s="580"/>
      <c r="AC112" s="578"/>
      <c r="AD112" s="580"/>
      <c r="AE112" s="583"/>
      <c r="AF112" s="580"/>
      <c r="AG112" s="581"/>
      <c r="AH112" s="581"/>
      <c r="AI112" s="580"/>
      <c r="AJ112" s="578"/>
      <c r="AK112" s="580"/>
      <c r="AL112" s="583"/>
      <c r="AM112" s="580"/>
      <c r="AN112" s="581"/>
      <c r="AO112" s="581"/>
      <c r="AP112" s="580"/>
      <c r="AQ112" s="578"/>
      <c r="AR112" s="580"/>
      <c r="AS112" s="583"/>
      <c r="AT112" s="580"/>
      <c r="AU112" s="581"/>
      <c r="AV112" s="581"/>
      <c r="AW112" s="580"/>
      <c r="AX112" s="578"/>
      <c r="AY112" s="580"/>
      <c r="AZ112" s="583"/>
      <c r="BA112" s="580"/>
      <c r="BB112" s="581"/>
      <c r="BC112" s="581"/>
      <c r="BD112" s="580"/>
      <c r="BE112" s="578"/>
      <c r="BF112" s="580"/>
      <c r="BG112" s="583"/>
      <c r="BH112" s="580"/>
      <c r="BI112" s="581"/>
      <c r="BJ112" s="581"/>
      <c r="BK112" s="580"/>
      <c r="BL112" s="578"/>
      <c r="BM112" s="580"/>
      <c r="BN112" s="583"/>
      <c r="BO112" s="580"/>
      <c r="BP112" s="581"/>
      <c r="BQ112" s="581"/>
      <c r="BR112" s="580"/>
      <c r="BS112" s="578"/>
      <c r="BT112" s="580"/>
      <c r="BU112" s="583"/>
      <c r="BV112" s="580"/>
      <c r="BW112" s="581"/>
      <c r="BX112" s="581"/>
      <c r="BY112" s="580"/>
      <c r="BZ112" s="578"/>
      <c r="CA112" s="580"/>
      <c r="CB112" s="583"/>
      <c r="CC112" s="580"/>
      <c r="CD112" s="581"/>
      <c r="CE112" s="581"/>
      <c r="CF112" s="580"/>
      <c r="CG112" s="578"/>
      <c r="CH112" s="580"/>
      <c r="CI112" s="583"/>
      <c r="CJ112" s="580"/>
      <c r="CK112" s="581"/>
      <c r="CL112" s="581"/>
      <c r="CM112" s="580"/>
      <c r="CN112" s="578"/>
      <c r="CO112" s="580"/>
      <c r="CP112" s="583"/>
      <c r="CQ112" s="580"/>
      <c r="CR112" s="581"/>
      <c r="CS112" s="581"/>
      <c r="CT112" s="580"/>
      <c r="CU112" s="578"/>
      <c r="CV112" s="580"/>
      <c r="CW112" s="583"/>
      <c r="CX112" s="580"/>
      <c r="CY112" s="581"/>
      <c r="CZ112" s="581"/>
      <c r="DA112" s="580"/>
      <c r="DB112" s="578"/>
      <c r="DC112" s="580"/>
      <c r="DD112" s="583"/>
      <c r="DE112" s="580"/>
      <c r="DF112" s="581"/>
      <c r="DG112" s="581"/>
      <c r="DH112" s="580"/>
      <c r="DI112" s="578"/>
      <c r="DJ112" s="580"/>
      <c r="DK112" s="583"/>
      <c r="DL112" s="580"/>
      <c r="DM112" s="581"/>
      <c r="DN112" s="581"/>
      <c r="DO112" s="580"/>
      <c r="DP112" s="578"/>
      <c r="DQ112" s="580"/>
      <c r="DR112" s="583"/>
      <c r="DS112" s="580"/>
      <c r="DT112" s="581"/>
      <c r="DU112" s="581"/>
      <c r="DV112" s="580"/>
      <c r="DW112" s="578"/>
      <c r="DX112" s="580"/>
      <c r="DY112" s="583"/>
      <c r="DZ112" s="580"/>
      <c r="EA112" s="581"/>
      <c r="EB112" s="581"/>
      <c r="EC112" s="580"/>
      <c r="ED112" s="578"/>
      <c r="EE112" s="580"/>
      <c r="EF112" s="583"/>
      <c r="EG112" s="580"/>
      <c r="EH112" s="581"/>
      <c r="EI112" s="581"/>
      <c r="EJ112" s="580"/>
      <c r="EK112" s="578"/>
      <c r="EL112" s="580"/>
      <c r="EM112" s="583"/>
      <c r="EN112" s="580"/>
      <c r="EO112" s="581"/>
      <c r="EP112" s="581"/>
      <c r="EQ112" s="580"/>
      <c r="ER112" s="578"/>
      <c r="ES112" s="580"/>
      <c r="ET112" s="583"/>
      <c r="EU112" s="580"/>
      <c r="EV112" s="581"/>
      <c r="EW112" s="581"/>
      <c r="EX112" s="580"/>
      <c r="EY112" s="578"/>
      <c r="EZ112" s="580"/>
      <c r="FA112" s="583"/>
      <c r="FB112" s="580"/>
      <c r="FC112" s="581"/>
      <c r="FD112" s="581"/>
      <c r="FE112" s="580"/>
      <c r="FF112" s="578"/>
      <c r="FG112" s="580"/>
      <c r="FH112" s="583"/>
      <c r="FI112" s="580"/>
      <c r="FJ112" s="581"/>
      <c r="FK112" s="581"/>
      <c r="FL112" s="580"/>
      <c r="FM112" s="578"/>
      <c r="FN112" s="580"/>
      <c r="FO112" s="583"/>
      <c r="FP112" s="580"/>
      <c r="FQ112" s="581"/>
      <c r="FR112" s="581"/>
      <c r="FS112" s="580"/>
      <c r="FT112" s="578"/>
      <c r="FU112" s="580"/>
      <c r="FV112" s="583"/>
      <c r="FW112" s="580"/>
      <c r="FX112" s="581"/>
      <c r="FY112" s="581"/>
      <c r="FZ112" s="580"/>
      <c r="GA112" s="578"/>
      <c r="GB112" s="580"/>
      <c r="GC112" s="583"/>
      <c r="GD112" s="580"/>
      <c r="GE112" s="581"/>
      <c r="GF112" s="581"/>
      <c r="GG112" s="580"/>
      <c r="GH112" s="578"/>
      <c r="GI112" s="580"/>
      <c r="GJ112" s="583"/>
      <c r="GK112" s="580"/>
      <c r="GL112" s="581"/>
      <c r="GM112" s="581"/>
      <c r="GN112" s="580"/>
      <c r="GO112" s="578"/>
      <c r="GP112" s="580"/>
      <c r="GQ112" s="583"/>
      <c r="GR112" s="580"/>
      <c r="GS112" s="581"/>
      <c r="GT112" s="581"/>
      <c r="GU112" s="580"/>
      <c r="GV112" s="578"/>
      <c r="GW112" s="580"/>
      <c r="GX112" s="583"/>
      <c r="GY112" s="580"/>
      <c r="GZ112" s="581"/>
      <c r="HA112" s="581"/>
      <c r="HB112" s="580"/>
      <c r="HC112" s="578"/>
      <c r="HD112" s="580"/>
      <c r="HE112" s="583"/>
      <c r="HF112" s="580"/>
      <c r="HG112" s="581"/>
      <c r="HH112" s="581"/>
      <c r="HI112" s="580"/>
      <c r="HJ112" s="578"/>
      <c r="HK112" s="580"/>
      <c r="HL112" s="583"/>
      <c r="HM112" s="580"/>
      <c r="HN112" s="581"/>
      <c r="HO112" s="581"/>
      <c r="HP112" s="580"/>
      <c r="HQ112" s="578"/>
      <c r="HR112" s="580"/>
      <c r="HS112" s="583"/>
      <c r="HT112" s="580"/>
      <c r="HU112" s="581"/>
      <c r="HV112" s="581"/>
      <c r="HW112" s="580"/>
      <c r="HX112" s="578"/>
      <c r="HY112" s="580"/>
      <c r="HZ112" s="583"/>
      <c r="IA112" s="580"/>
      <c r="IB112" s="581"/>
      <c r="IC112" s="581"/>
      <c r="ID112" s="580"/>
      <c r="IE112" s="578"/>
      <c r="IF112" s="580"/>
      <c r="IG112" s="583"/>
      <c r="IH112" s="580"/>
      <c r="II112" s="581"/>
      <c r="IJ112" s="581"/>
      <c r="IK112" s="580"/>
      <c r="IL112" s="578"/>
      <c r="IM112" s="580"/>
      <c r="IN112" s="583"/>
      <c r="IO112" s="580"/>
      <c r="IP112" s="581"/>
      <c r="IQ112" s="581"/>
      <c r="IR112" s="580"/>
      <c r="IS112" s="578"/>
      <c r="IT112" s="580"/>
      <c r="IU112" s="583"/>
      <c r="IV112" s="580"/>
    </row>
    <row r="113" spans="1:256" ht="12.75">
      <c r="A113" s="504" t="s">
        <v>277</v>
      </c>
      <c r="B113" s="503">
        <v>3127</v>
      </c>
      <c r="C113" s="503"/>
      <c r="D113" s="503"/>
      <c r="E113" s="279"/>
      <c r="F113" s="279"/>
      <c r="G113" s="503"/>
      <c r="H113" s="577"/>
      <c r="I113" s="422"/>
      <c r="J113" s="422"/>
      <c r="K113" s="422"/>
      <c r="L113" s="576"/>
      <c r="M113" s="576"/>
      <c r="N113" s="422"/>
      <c r="O113" s="577"/>
      <c r="P113" s="422"/>
      <c r="Q113" s="422"/>
      <c r="R113" s="422"/>
      <c r="S113" s="576"/>
      <c r="T113" s="576"/>
      <c r="U113" s="422"/>
      <c r="V113" s="577"/>
      <c r="W113" s="422"/>
      <c r="X113" s="422"/>
      <c r="Y113" s="422"/>
      <c r="Z113" s="576"/>
      <c r="AA113" s="576"/>
      <c r="AB113" s="422"/>
      <c r="AC113" s="577"/>
      <c r="AD113" s="422"/>
      <c r="AE113" s="422"/>
      <c r="AF113" s="422"/>
      <c r="AG113" s="576"/>
      <c r="AH113" s="576"/>
      <c r="AI113" s="422"/>
      <c r="AJ113" s="577"/>
      <c r="AK113" s="422"/>
      <c r="AL113" s="422"/>
      <c r="AM113" s="422"/>
      <c r="AN113" s="576"/>
      <c r="AO113" s="576"/>
      <c r="AP113" s="422"/>
      <c r="AQ113" s="577"/>
      <c r="AR113" s="422"/>
      <c r="AS113" s="422"/>
      <c r="AT113" s="422"/>
      <c r="AU113" s="576"/>
      <c r="AV113" s="576"/>
      <c r="AW113" s="422"/>
      <c r="AX113" s="577"/>
      <c r="AY113" s="422"/>
      <c r="AZ113" s="422"/>
      <c r="BA113" s="422"/>
      <c r="BB113" s="576"/>
      <c r="BC113" s="576"/>
      <c r="BD113" s="422"/>
      <c r="BE113" s="577"/>
      <c r="BF113" s="422"/>
      <c r="BG113" s="422"/>
      <c r="BH113" s="422"/>
      <c r="BI113" s="576"/>
      <c r="BJ113" s="576"/>
      <c r="BK113" s="422"/>
      <c r="BL113" s="577"/>
      <c r="BM113" s="422"/>
      <c r="BN113" s="422"/>
      <c r="BO113" s="422"/>
      <c r="BP113" s="576"/>
      <c r="BQ113" s="576"/>
      <c r="BR113" s="422"/>
      <c r="BS113" s="577"/>
      <c r="BT113" s="422"/>
      <c r="BU113" s="422"/>
      <c r="BV113" s="422"/>
      <c r="BW113" s="576"/>
      <c r="BX113" s="576"/>
      <c r="BY113" s="422"/>
      <c r="BZ113" s="577"/>
      <c r="CA113" s="422"/>
      <c r="CB113" s="422"/>
      <c r="CC113" s="422"/>
      <c r="CD113" s="576"/>
      <c r="CE113" s="576"/>
      <c r="CF113" s="422"/>
      <c r="CG113" s="577"/>
      <c r="CH113" s="422"/>
      <c r="CI113" s="422"/>
      <c r="CJ113" s="422"/>
      <c r="CK113" s="576"/>
      <c r="CL113" s="576"/>
      <c r="CM113" s="422"/>
      <c r="CN113" s="577"/>
      <c r="CO113" s="422"/>
      <c r="CP113" s="422"/>
      <c r="CQ113" s="422"/>
      <c r="CR113" s="576"/>
      <c r="CS113" s="576"/>
      <c r="CT113" s="422"/>
      <c r="CU113" s="577"/>
      <c r="CV113" s="422"/>
      <c r="CW113" s="422"/>
      <c r="CX113" s="422"/>
      <c r="CY113" s="576"/>
      <c r="CZ113" s="576"/>
      <c r="DA113" s="422"/>
      <c r="DB113" s="577"/>
      <c r="DC113" s="422"/>
      <c r="DD113" s="422"/>
      <c r="DE113" s="422"/>
      <c r="DF113" s="576"/>
      <c r="DG113" s="576"/>
      <c r="DH113" s="422"/>
      <c r="DI113" s="577"/>
      <c r="DJ113" s="422"/>
      <c r="DK113" s="422"/>
      <c r="DL113" s="422"/>
      <c r="DM113" s="576"/>
      <c r="DN113" s="576"/>
      <c r="DO113" s="422"/>
      <c r="DP113" s="577"/>
      <c r="DQ113" s="422"/>
      <c r="DR113" s="422"/>
      <c r="DS113" s="422"/>
      <c r="DT113" s="576"/>
      <c r="DU113" s="576"/>
      <c r="DV113" s="422"/>
      <c r="DW113" s="577"/>
      <c r="DX113" s="422"/>
      <c r="DY113" s="422"/>
      <c r="DZ113" s="422"/>
      <c r="EA113" s="576"/>
      <c r="EB113" s="576"/>
      <c r="EC113" s="422"/>
      <c r="ED113" s="577"/>
      <c r="EE113" s="422"/>
      <c r="EF113" s="422"/>
      <c r="EG113" s="422"/>
      <c r="EH113" s="576"/>
      <c r="EI113" s="576"/>
      <c r="EJ113" s="422"/>
      <c r="EK113" s="577"/>
      <c r="EL113" s="422"/>
      <c r="EM113" s="422"/>
      <c r="EN113" s="422"/>
      <c r="EO113" s="576"/>
      <c r="EP113" s="576"/>
      <c r="EQ113" s="422"/>
      <c r="ER113" s="577"/>
      <c r="ES113" s="422"/>
      <c r="ET113" s="422"/>
      <c r="EU113" s="422"/>
      <c r="EV113" s="576"/>
      <c r="EW113" s="576"/>
      <c r="EX113" s="422"/>
      <c r="EY113" s="577"/>
      <c r="EZ113" s="422"/>
      <c r="FA113" s="422"/>
      <c r="FB113" s="422"/>
      <c r="FC113" s="576"/>
      <c r="FD113" s="576"/>
      <c r="FE113" s="422"/>
      <c r="FF113" s="577"/>
      <c r="FG113" s="422"/>
      <c r="FH113" s="422"/>
      <c r="FI113" s="422"/>
      <c r="FJ113" s="576"/>
      <c r="FK113" s="576"/>
      <c r="FL113" s="422"/>
      <c r="FM113" s="577"/>
      <c r="FN113" s="422"/>
      <c r="FO113" s="422"/>
      <c r="FP113" s="422"/>
      <c r="FQ113" s="576"/>
      <c r="FR113" s="576"/>
      <c r="FS113" s="422"/>
      <c r="FT113" s="577"/>
      <c r="FU113" s="422"/>
      <c r="FV113" s="422"/>
      <c r="FW113" s="422"/>
      <c r="FX113" s="576"/>
      <c r="FY113" s="576"/>
      <c r="FZ113" s="422"/>
      <c r="GA113" s="577"/>
      <c r="GB113" s="422"/>
      <c r="GC113" s="422"/>
      <c r="GD113" s="422"/>
      <c r="GE113" s="576"/>
      <c r="GF113" s="576"/>
      <c r="GG113" s="422"/>
      <c r="GH113" s="577"/>
      <c r="GI113" s="422"/>
      <c r="GJ113" s="422"/>
      <c r="GK113" s="422"/>
      <c r="GL113" s="576"/>
      <c r="GM113" s="576"/>
      <c r="GN113" s="422"/>
      <c r="GO113" s="577"/>
      <c r="GP113" s="422"/>
      <c r="GQ113" s="422"/>
      <c r="GR113" s="422"/>
      <c r="GS113" s="576"/>
      <c r="GT113" s="576"/>
      <c r="GU113" s="422"/>
      <c r="GV113" s="577"/>
      <c r="GW113" s="422"/>
      <c r="GX113" s="422"/>
      <c r="GY113" s="422"/>
      <c r="GZ113" s="576"/>
      <c r="HA113" s="576"/>
      <c r="HB113" s="422"/>
      <c r="HC113" s="577"/>
      <c r="HD113" s="422"/>
      <c r="HE113" s="422"/>
      <c r="HF113" s="422"/>
      <c r="HG113" s="576"/>
      <c r="HH113" s="576"/>
      <c r="HI113" s="422"/>
      <c r="HJ113" s="577"/>
      <c r="HK113" s="422"/>
      <c r="HL113" s="422"/>
      <c r="HM113" s="422"/>
      <c r="HN113" s="576"/>
      <c r="HO113" s="576"/>
      <c r="HP113" s="422"/>
      <c r="HQ113" s="577"/>
      <c r="HR113" s="422"/>
      <c r="HS113" s="422"/>
      <c r="HT113" s="422"/>
      <c r="HU113" s="576"/>
      <c r="HV113" s="576"/>
      <c r="HW113" s="422"/>
      <c r="HX113" s="577"/>
      <c r="HY113" s="422"/>
      <c r="HZ113" s="422"/>
      <c r="IA113" s="422"/>
      <c r="IB113" s="576"/>
      <c r="IC113" s="576"/>
      <c r="ID113" s="422"/>
      <c r="IE113" s="577"/>
      <c r="IF113" s="422"/>
      <c r="IG113" s="422"/>
      <c r="IH113" s="422"/>
      <c r="II113" s="576"/>
      <c r="IJ113" s="576"/>
      <c r="IK113" s="422"/>
      <c r="IL113" s="577"/>
      <c r="IM113" s="422"/>
      <c r="IN113" s="422"/>
      <c r="IO113" s="422"/>
      <c r="IP113" s="576"/>
      <c r="IQ113" s="576"/>
      <c r="IR113" s="422"/>
      <c r="IS113" s="577"/>
      <c r="IT113" s="422"/>
      <c r="IU113" s="422"/>
      <c r="IV113" s="422"/>
    </row>
    <row r="114" spans="1:256" ht="12.75">
      <c r="A114" s="471" t="s">
        <v>269</v>
      </c>
      <c r="B114" s="248">
        <v>7</v>
      </c>
      <c r="C114" s="248"/>
      <c r="D114" s="248"/>
      <c r="E114" s="16"/>
      <c r="F114" s="16"/>
      <c r="G114" s="248"/>
      <c r="H114" s="578"/>
      <c r="I114" s="580"/>
      <c r="J114" s="580"/>
      <c r="K114" s="580"/>
      <c r="L114" s="581"/>
      <c r="M114" s="581"/>
      <c r="N114" s="580"/>
      <c r="O114" s="578"/>
      <c r="P114" s="580"/>
      <c r="Q114" s="580"/>
      <c r="R114" s="580"/>
      <c r="S114" s="581"/>
      <c r="T114" s="581"/>
      <c r="U114" s="580"/>
      <c r="V114" s="578"/>
      <c r="W114" s="580"/>
      <c r="X114" s="580"/>
      <c r="Y114" s="580"/>
      <c r="Z114" s="581"/>
      <c r="AA114" s="581"/>
      <c r="AB114" s="580"/>
      <c r="AC114" s="578"/>
      <c r="AD114" s="580"/>
      <c r="AE114" s="580"/>
      <c r="AF114" s="580"/>
      <c r="AG114" s="581"/>
      <c r="AH114" s="581"/>
      <c r="AI114" s="580"/>
      <c r="AJ114" s="578"/>
      <c r="AK114" s="580"/>
      <c r="AL114" s="580"/>
      <c r="AM114" s="580"/>
      <c r="AN114" s="581"/>
      <c r="AO114" s="581"/>
      <c r="AP114" s="580"/>
      <c r="AQ114" s="578"/>
      <c r="AR114" s="580"/>
      <c r="AS114" s="580"/>
      <c r="AT114" s="580"/>
      <c r="AU114" s="581"/>
      <c r="AV114" s="581"/>
      <c r="AW114" s="580"/>
      <c r="AX114" s="578"/>
      <c r="AY114" s="580"/>
      <c r="AZ114" s="580"/>
      <c r="BA114" s="580"/>
      <c r="BB114" s="581"/>
      <c r="BC114" s="581"/>
      <c r="BD114" s="580"/>
      <c r="BE114" s="578"/>
      <c r="BF114" s="580"/>
      <c r="BG114" s="580"/>
      <c r="BH114" s="580"/>
      <c r="BI114" s="581"/>
      <c r="BJ114" s="581"/>
      <c r="BK114" s="580"/>
      <c r="BL114" s="578"/>
      <c r="BM114" s="580"/>
      <c r="BN114" s="580"/>
      <c r="BO114" s="580"/>
      <c r="BP114" s="581"/>
      <c r="BQ114" s="581"/>
      <c r="BR114" s="580"/>
      <c r="BS114" s="578"/>
      <c r="BT114" s="580"/>
      <c r="BU114" s="580"/>
      <c r="BV114" s="580"/>
      <c r="BW114" s="581"/>
      <c r="BX114" s="581"/>
      <c r="BY114" s="580"/>
      <c r="BZ114" s="578"/>
      <c r="CA114" s="580"/>
      <c r="CB114" s="580"/>
      <c r="CC114" s="580"/>
      <c r="CD114" s="581"/>
      <c r="CE114" s="581"/>
      <c r="CF114" s="580"/>
      <c r="CG114" s="578"/>
      <c r="CH114" s="580"/>
      <c r="CI114" s="580"/>
      <c r="CJ114" s="580"/>
      <c r="CK114" s="581"/>
      <c r="CL114" s="581"/>
      <c r="CM114" s="580"/>
      <c r="CN114" s="578"/>
      <c r="CO114" s="580"/>
      <c r="CP114" s="580"/>
      <c r="CQ114" s="580"/>
      <c r="CR114" s="581"/>
      <c r="CS114" s="581"/>
      <c r="CT114" s="580"/>
      <c r="CU114" s="578"/>
      <c r="CV114" s="580"/>
      <c r="CW114" s="580"/>
      <c r="CX114" s="580"/>
      <c r="CY114" s="581"/>
      <c r="CZ114" s="581"/>
      <c r="DA114" s="580"/>
      <c r="DB114" s="578"/>
      <c r="DC114" s="580"/>
      <c r="DD114" s="580"/>
      <c r="DE114" s="580"/>
      <c r="DF114" s="581"/>
      <c r="DG114" s="581"/>
      <c r="DH114" s="580"/>
      <c r="DI114" s="578"/>
      <c r="DJ114" s="580"/>
      <c r="DK114" s="580"/>
      <c r="DL114" s="580"/>
      <c r="DM114" s="581"/>
      <c r="DN114" s="581"/>
      <c r="DO114" s="580"/>
      <c r="DP114" s="578"/>
      <c r="DQ114" s="580"/>
      <c r="DR114" s="580"/>
      <c r="DS114" s="580"/>
      <c r="DT114" s="581"/>
      <c r="DU114" s="581"/>
      <c r="DV114" s="580"/>
      <c r="DW114" s="578"/>
      <c r="DX114" s="580"/>
      <c r="DY114" s="580"/>
      <c r="DZ114" s="580"/>
      <c r="EA114" s="581"/>
      <c r="EB114" s="581"/>
      <c r="EC114" s="580"/>
      <c r="ED114" s="578"/>
      <c r="EE114" s="580"/>
      <c r="EF114" s="580"/>
      <c r="EG114" s="580"/>
      <c r="EH114" s="581"/>
      <c r="EI114" s="581"/>
      <c r="EJ114" s="580"/>
      <c r="EK114" s="578"/>
      <c r="EL114" s="580"/>
      <c r="EM114" s="580"/>
      <c r="EN114" s="580"/>
      <c r="EO114" s="581"/>
      <c r="EP114" s="581"/>
      <c r="EQ114" s="580"/>
      <c r="ER114" s="578"/>
      <c r="ES114" s="580"/>
      <c r="ET114" s="580"/>
      <c r="EU114" s="580"/>
      <c r="EV114" s="581"/>
      <c r="EW114" s="581"/>
      <c r="EX114" s="580"/>
      <c r="EY114" s="578"/>
      <c r="EZ114" s="580"/>
      <c r="FA114" s="580"/>
      <c r="FB114" s="580"/>
      <c r="FC114" s="581"/>
      <c r="FD114" s="581"/>
      <c r="FE114" s="580"/>
      <c r="FF114" s="578"/>
      <c r="FG114" s="580"/>
      <c r="FH114" s="580"/>
      <c r="FI114" s="580"/>
      <c r="FJ114" s="581"/>
      <c r="FK114" s="581"/>
      <c r="FL114" s="580"/>
      <c r="FM114" s="578"/>
      <c r="FN114" s="580"/>
      <c r="FO114" s="580"/>
      <c r="FP114" s="580"/>
      <c r="FQ114" s="581"/>
      <c r="FR114" s="581"/>
      <c r="FS114" s="580"/>
      <c r="FT114" s="578"/>
      <c r="FU114" s="580"/>
      <c r="FV114" s="580"/>
      <c r="FW114" s="580"/>
      <c r="FX114" s="581"/>
      <c r="FY114" s="581"/>
      <c r="FZ114" s="580"/>
      <c r="GA114" s="578"/>
      <c r="GB114" s="580"/>
      <c r="GC114" s="580"/>
      <c r="GD114" s="580"/>
      <c r="GE114" s="581"/>
      <c r="GF114" s="581"/>
      <c r="GG114" s="580"/>
      <c r="GH114" s="578"/>
      <c r="GI114" s="580"/>
      <c r="GJ114" s="580"/>
      <c r="GK114" s="580"/>
      <c r="GL114" s="581"/>
      <c r="GM114" s="581"/>
      <c r="GN114" s="580"/>
      <c r="GO114" s="578"/>
      <c r="GP114" s="580"/>
      <c r="GQ114" s="580"/>
      <c r="GR114" s="580"/>
      <c r="GS114" s="581"/>
      <c r="GT114" s="581"/>
      <c r="GU114" s="580"/>
      <c r="GV114" s="578"/>
      <c r="GW114" s="580"/>
      <c r="GX114" s="580"/>
      <c r="GY114" s="580"/>
      <c r="GZ114" s="581"/>
      <c r="HA114" s="581"/>
      <c r="HB114" s="580"/>
      <c r="HC114" s="578"/>
      <c r="HD114" s="580"/>
      <c r="HE114" s="580"/>
      <c r="HF114" s="580"/>
      <c r="HG114" s="581"/>
      <c r="HH114" s="581"/>
      <c r="HI114" s="580"/>
      <c r="HJ114" s="578"/>
      <c r="HK114" s="580"/>
      <c r="HL114" s="580"/>
      <c r="HM114" s="580"/>
      <c r="HN114" s="581"/>
      <c r="HO114" s="581"/>
      <c r="HP114" s="580"/>
      <c r="HQ114" s="578"/>
      <c r="HR114" s="580"/>
      <c r="HS114" s="580"/>
      <c r="HT114" s="580"/>
      <c r="HU114" s="581"/>
      <c r="HV114" s="581"/>
      <c r="HW114" s="580"/>
      <c r="HX114" s="578"/>
      <c r="HY114" s="580"/>
      <c r="HZ114" s="580"/>
      <c r="IA114" s="580"/>
      <c r="IB114" s="581"/>
      <c r="IC114" s="581"/>
      <c r="ID114" s="580"/>
      <c r="IE114" s="578"/>
      <c r="IF114" s="580"/>
      <c r="IG114" s="580"/>
      <c r="IH114" s="580"/>
      <c r="II114" s="581"/>
      <c r="IJ114" s="581"/>
      <c r="IK114" s="580"/>
      <c r="IL114" s="578"/>
      <c r="IM114" s="580"/>
      <c r="IN114" s="580"/>
      <c r="IO114" s="580"/>
      <c r="IP114" s="581"/>
      <c r="IQ114" s="581"/>
      <c r="IR114" s="580"/>
      <c r="IS114" s="578"/>
      <c r="IT114" s="580"/>
      <c r="IU114" s="580"/>
      <c r="IV114" s="580"/>
    </row>
    <row r="115" spans="1:256" ht="12.75">
      <c r="A115" s="471" t="s">
        <v>270</v>
      </c>
      <c r="B115" s="248">
        <v>3120</v>
      </c>
      <c r="C115" s="248"/>
      <c r="D115" s="248"/>
      <c r="E115" s="16"/>
      <c r="F115" s="16"/>
      <c r="G115" s="248"/>
      <c r="H115" s="578"/>
      <c r="I115" s="580"/>
      <c r="J115" s="580"/>
      <c r="K115" s="580"/>
      <c r="L115" s="581"/>
      <c r="M115" s="581"/>
      <c r="N115" s="580"/>
      <c r="O115" s="578"/>
      <c r="P115" s="580"/>
      <c r="Q115" s="580"/>
      <c r="R115" s="580"/>
      <c r="S115" s="581"/>
      <c r="T115" s="581"/>
      <c r="U115" s="580"/>
      <c r="V115" s="578"/>
      <c r="W115" s="580"/>
      <c r="X115" s="580"/>
      <c r="Y115" s="580"/>
      <c r="Z115" s="581"/>
      <c r="AA115" s="581"/>
      <c r="AB115" s="580"/>
      <c r="AC115" s="578"/>
      <c r="AD115" s="580"/>
      <c r="AE115" s="580"/>
      <c r="AF115" s="580"/>
      <c r="AG115" s="581"/>
      <c r="AH115" s="581"/>
      <c r="AI115" s="580"/>
      <c r="AJ115" s="578"/>
      <c r="AK115" s="580"/>
      <c r="AL115" s="580"/>
      <c r="AM115" s="580"/>
      <c r="AN115" s="581"/>
      <c r="AO115" s="581"/>
      <c r="AP115" s="580"/>
      <c r="AQ115" s="578"/>
      <c r="AR115" s="580"/>
      <c r="AS115" s="580"/>
      <c r="AT115" s="580"/>
      <c r="AU115" s="581"/>
      <c r="AV115" s="581"/>
      <c r="AW115" s="580"/>
      <c r="AX115" s="578"/>
      <c r="AY115" s="580"/>
      <c r="AZ115" s="580"/>
      <c r="BA115" s="580"/>
      <c r="BB115" s="581"/>
      <c r="BC115" s="581"/>
      <c r="BD115" s="580"/>
      <c r="BE115" s="578"/>
      <c r="BF115" s="580"/>
      <c r="BG115" s="580"/>
      <c r="BH115" s="580"/>
      <c r="BI115" s="581"/>
      <c r="BJ115" s="581"/>
      <c r="BK115" s="580"/>
      <c r="BL115" s="578"/>
      <c r="BM115" s="580"/>
      <c r="BN115" s="580"/>
      <c r="BO115" s="580"/>
      <c r="BP115" s="581"/>
      <c r="BQ115" s="581"/>
      <c r="BR115" s="580"/>
      <c r="BS115" s="578"/>
      <c r="BT115" s="580"/>
      <c r="BU115" s="580"/>
      <c r="BV115" s="580"/>
      <c r="BW115" s="581"/>
      <c r="BX115" s="581"/>
      <c r="BY115" s="580"/>
      <c r="BZ115" s="578"/>
      <c r="CA115" s="580"/>
      <c r="CB115" s="580"/>
      <c r="CC115" s="580"/>
      <c r="CD115" s="581"/>
      <c r="CE115" s="581"/>
      <c r="CF115" s="580"/>
      <c r="CG115" s="578"/>
      <c r="CH115" s="580"/>
      <c r="CI115" s="580"/>
      <c r="CJ115" s="580"/>
      <c r="CK115" s="581"/>
      <c r="CL115" s="581"/>
      <c r="CM115" s="580"/>
      <c r="CN115" s="578"/>
      <c r="CO115" s="580"/>
      <c r="CP115" s="580"/>
      <c r="CQ115" s="580"/>
      <c r="CR115" s="581"/>
      <c r="CS115" s="581"/>
      <c r="CT115" s="580"/>
      <c r="CU115" s="578"/>
      <c r="CV115" s="580"/>
      <c r="CW115" s="580"/>
      <c r="CX115" s="580"/>
      <c r="CY115" s="581"/>
      <c r="CZ115" s="581"/>
      <c r="DA115" s="580"/>
      <c r="DB115" s="578"/>
      <c r="DC115" s="580"/>
      <c r="DD115" s="580"/>
      <c r="DE115" s="580"/>
      <c r="DF115" s="581"/>
      <c r="DG115" s="581"/>
      <c r="DH115" s="580"/>
      <c r="DI115" s="578"/>
      <c r="DJ115" s="580"/>
      <c r="DK115" s="580"/>
      <c r="DL115" s="580"/>
      <c r="DM115" s="581"/>
      <c r="DN115" s="581"/>
      <c r="DO115" s="580"/>
      <c r="DP115" s="578"/>
      <c r="DQ115" s="580"/>
      <c r="DR115" s="580"/>
      <c r="DS115" s="580"/>
      <c r="DT115" s="581"/>
      <c r="DU115" s="581"/>
      <c r="DV115" s="580"/>
      <c r="DW115" s="578"/>
      <c r="DX115" s="580"/>
      <c r="DY115" s="580"/>
      <c r="DZ115" s="580"/>
      <c r="EA115" s="581"/>
      <c r="EB115" s="581"/>
      <c r="EC115" s="580"/>
      <c r="ED115" s="578"/>
      <c r="EE115" s="580"/>
      <c r="EF115" s="580"/>
      <c r="EG115" s="580"/>
      <c r="EH115" s="581"/>
      <c r="EI115" s="581"/>
      <c r="EJ115" s="580"/>
      <c r="EK115" s="578"/>
      <c r="EL115" s="580"/>
      <c r="EM115" s="580"/>
      <c r="EN115" s="580"/>
      <c r="EO115" s="581"/>
      <c r="EP115" s="581"/>
      <c r="EQ115" s="580"/>
      <c r="ER115" s="578"/>
      <c r="ES115" s="580"/>
      <c r="ET115" s="580"/>
      <c r="EU115" s="580"/>
      <c r="EV115" s="581"/>
      <c r="EW115" s="581"/>
      <c r="EX115" s="580"/>
      <c r="EY115" s="578"/>
      <c r="EZ115" s="580"/>
      <c r="FA115" s="580"/>
      <c r="FB115" s="580"/>
      <c r="FC115" s="581"/>
      <c r="FD115" s="581"/>
      <c r="FE115" s="580"/>
      <c r="FF115" s="578"/>
      <c r="FG115" s="580"/>
      <c r="FH115" s="580"/>
      <c r="FI115" s="580"/>
      <c r="FJ115" s="581"/>
      <c r="FK115" s="581"/>
      <c r="FL115" s="580"/>
      <c r="FM115" s="578"/>
      <c r="FN115" s="580"/>
      <c r="FO115" s="580"/>
      <c r="FP115" s="580"/>
      <c r="FQ115" s="581"/>
      <c r="FR115" s="581"/>
      <c r="FS115" s="580"/>
      <c r="FT115" s="578"/>
      <c r="FU115" s="580"/>
      <c r="FV115" s="580"/>
      <c r="FW115" s="580"/>
      <c r="FX115" s="581"/>
      <c r="FY115" s="581"/>
      <c r="FZ115" s="580"/>
      <c r="GA115" s="578"/>
      <c r="GB115" s="580"/>
      <c r="GC115" s="580"/>
      <c r="GD115" s="580"/>
      <c r="GE115" s="581"/>
      <c r="GF115" s="581"/>
      <c r="GG115" s="580"/>
      <c r="GH115" s="578"/>
      <c r="GI115" s="580"/>
      <c r="GJ115" s="580"/>
      <c r="GK115" s="580"/>
      <c r="GL115" s="581"/>
      <c r="GM115" s="581"/>
      <c r="GN115" s="580"/>
      <c r="GO115" s="578"/>
      <c r="GP115" s="580"/>
      <c r="GQ115" s="580"/>
      <c r="GR115" s="580"/>
      <c r="GS115" s="581"/>
      <c r="GT115" s="581"/>
      <c r="GU115" s="580"/>
      <c r="GV115" s="578"/>
      <c r="GW115" s="580"/>
      <c r="GX115" s="580"/>
      <c r="GY115" s="580"/>
      <c r="GZ115" s="581"/>
      <c r="HA115" s="581"/>
      <c r="HB115" s="580"/>
      <c r="HC115" s="578"/>
      <c r="HD115" s="580"/>
      <c r="HE115" s="580"/>
      <c r="HF115" s="580"/>
      <c r="HG115" s="581"/>
      <c r="HH115" s="581"/>
      <c r="HI115" s="580"/>
      <c r="HJ115" s="578"/>
      <c r="HK115" s="580"/>
      <c r="HL115" s="580"/>
      <c r="HM115" s="580"/>
      <c r="HN115" s="581"/>
      <c r="HO115" s="581"/>
      <c r="HP115" s="580"/>
      <c r="HQ115" s="578"/>
      <c r="HR115" s="580"/>
      <c r="HS115" s="580"/>
      <c r="HT115" s="580"/>
      <c r="HU115" s="581"/>
      <c r="HV115" s="581"/>
      <c r="HW115" s="580"/>
      <c r="HX115" s="578"/>
      <c r="HY115" s="580"/>
      <c r="HZ115" s="580"/>
      <c r="IA115" s="580"/>
      <c r="IB115" s="581"/>
      <c r="IC115" s="581"/>
      <c r="ID115" s="580"/>
      <c r="IE115" s="578"/>
      <c r="IF115" s="580"/>
      <c r="IG115" s="580"/>
      <c r="IH115" s="580"/>
      <c r="II115" s="581"/>
      <c r="IJ115" s="581"/>
      <c r="IK115" s="580"/>
      <c r="IL115" s="578"/>
      <c r="IM115" s="580"/>
      <c r="IN115" s="580"/>
      <c r="IO115" s="580"/>
      <c r="IP115" s="581"/>
      <c r="IQ115" s="581"/>
      <c r="IR115" s="580"/>
      <c r="IS115" s="578"/>
      <c r="IT115" s="580"/>
      <c r="IU115" s="580"/>
      <c r="IV115" s="580"/>
    </row>
    <row r="116" spans="1:256" ht="12.75">
      <c r="A116" s="509" t="s">
        <v>328</v>
      </c>
      <c r="B116" s="248">
        <v>4732</v>
      </c>
      <c r="C116" s="248">
        <v>540</v>
      </c>
      <c r="D116" s="248">
        <v>490</v>
      </c>
      <c r="E116" s="16">
        <v>10.355029585798817</v>
      </c>
      <c r="F116" s="16">
        <v>90.74074074074075</v>
      </c>
      <c r="G116" s="248">
        <v>490</v>
      </c>
      <c r="H116" s="591"/>
      <c r="I116" s="580"/>
      <c r="J116" s="580"/>
      <c r="K116" s="580"/>
      <c r="L116" s="581"/>
      <c r="M116" s="581"/>
      <c r="N116" s="580"/>
      <c r="O116" s="591"/>
      <c r="P116" s="580"/>
      <c r="Q116" s="580"/>
      <c r="R116" s="580"/>
      <c r="S116" s="581"/>
      <c r="T116" s="581"/>
      <c r="U116" s="580"/>
      <c r="V116" s="591"/>
      <c r="W116" s="580"/>
      <c r="X116" s="580"/>
      <c r="Y116" s="580"/>
      <c r="Z116" s="581"/>
      <c r="AA116" s="581"/>
      <c r="AB116" s="580"/>
      <c r="AC116" s="591"/>
      <c r="AD116" s="580"/>
      <c r="AE116" s="580"/>
      <c r="AF116" s="580"/>
      <c r="AG116" s="581"/>
      <c r="AH116" s="581"/>
      <c r="AI116" s="580"/>
      <c r="AJ116" s="591"/>
      <c r="AK116" s="580"/>
      <c r="AL116" s="580"/>
      <c r="AM116" s="580"/>
      <c r="AN116" s="581"/>
      <c r="AO116" s="581"/>
      <c r="AP116" s="580"/>
      <c r="AQ116" s="591"/>
      <c r="AR116" s="580"/>
      <c r="AS116" s="580"/>
      <c r="AT116" s="580"/>
      <c r="AU116" s="581"/>
      <c r="AV116" s="581"/>
      <c r="AW116" s="580"/>
      <c r="AX116" s="591"/>
      <c r="AY116" s="580"/>
      <c r="AZ116" s="580"/>
      <c r="BA116" s="580"/>
      <c r="BB116" s="581"/>
      <c r="BC116" s="581"/>
      <c r="BD116" s="580"/>
      <c r="BE116" s="591"/>
      <c r="BF116" s="580"/>
      <c r="BG116" s="580"/>
      <c r="BH116" s="580"/>
      <c r="BI116" s="581"/>
      <c r="BJ116" s="581"/>
      <c r="BK116" s="580"/>
      <c r="BL116" s="591"/>
      <c r="BM116" s="580"/>
      <c r="BN116" s="580"/>
      <c r="BO116" s="580"/>
      <c r="BP116" s="581"/>
      <c r="BQ116" s="581"/>
      <c r="BR116" s="580"/>
      <c r="BS116" s="591"/>
      <c r="BT116" s="580"/>
      <c r="BU116" s="580"/>
      <c r="BV116" s="580"/>
      <c r="BW116" s="581"/>
      <c r="BX116" s="581"/>
      <c r="BY116" s="580"/>
      <c r="BZ116" s="591"/>
      <c r="CA116" s="580"/>
      <c r="CB116" s="580"/>
      <c r="CC116" s="580"/>
      <c r="CD116" s="581"/>
      <c r="CE116" s="581"/>
      <c r="CF116" s="580"/>
      <c r="CG116" s="591"/>
      <c r="CH116" s="580"/>
      <c r="CI116" s="580"/>
      <c r="CJ116" s="580"/>
      <c r="CK116" s="581"/>
      <c r="CL116" s="581"/>
      <c r="CM116" s="580"/>
      <c r="CN116" s="591"/>
      <c r="CO116" s="580"/>
      <c r="CP116" s="580"/>
      <c r="CQ116" s="580"/>
      <c r="CR116" s="581"/>
      <c r="CS116" s="581"/>
      <c r="CT116" s="580"/>
      <c r="CU116" s="591"/>
      <c r="CV116" s="580"/>
      <c r="CW116" s="580"/>
      <c r="CX116" s="580"/>
      <c r="CY116" s="581"/>
      <c r="CZ116" s="581"/>
      <c r="DA116" s="580"/>
      <c r="DB116" s="591"/>
      <c r="DC116" s="580"/>
      <c r="DD116" s="580"/>
      <c r="DE116" s="580"/>
      <c r="DF116" s="581"/>
      <c r="DG116" s="581"/>
      <c r="DH116" s="580"/>
      <c r="DI116" s="591"/>
      <c r="DJ116" s="580"/>
      <c r="DK116" s="580"/>
      <c r="DL116" s="580"/>
      <c r="DM116" s="581"/>
      <c r="DN116" s="581"/>
      <c r="DO116" s="580"/>
      <c r="DP116" s="591"/>
      <c r="DQ116" s="580"/>
      <c r="DR116" s="580"/>
      <c r="DS116" s="580"/>
      <c r="DT116" s="581"/>
      <c r="DU116" s="581"/>
      <c r="DV116" s="580"/>
      <c r="DW116" s="591"/>
      <c r="DX116" s="580"/>
      <c r="DY116" s="580"/>
      <c r="DZ116" s="580"/>
      <c r="EA116" s="581"/>
      <c r="EB116" s="581"/>
      <c r="EC116" s="580"/>
      <c r="ED116" s="591"/>
      <c r="EE116" s="580"/>
      <c r="EF116" s="580"/>
      <c r="EG116" s="580"/>
      <c r="EH116" s="581"/>
      <c r="EI116" s="581"/>
      <c r="EJ116" s="580"/>
      <c r="EK116" s="591"/>
      <c r="EL116" s="580"/>
      <c r="EM116" s="580"/>
      <c r="EN116" s="580"/>
      <c r="EO116" s="581"/>
      <c r="EP116" s="581"/>
      <c r="EQ116" s="580"/>
      <c r="ER116" s="591"/>
      <c r="ES116" s="580"/>
      <c r="ET116" s="580"/>
      <c r="EU116" s="580"/>
      <c r="EV116" s="581"/>
      <c r="EW116" s="581"/>
      <c r="EX116" s="580"/>
      <c r="EY116" s="591"/>
      <c r="EZ116" s="580"/>
      <c r="FA116" s="580"/>
      <c r="FB116" s="580"/>
      <c r="FC116" s="581"/>
      <c r="FD116" s="581"/>
      <c r="FE116" s="580"/>
      <c r="FF116" s="591"/>
      <c r="FG116" s="580"/>
      <c r="FH116" s="580"/>
      <c r="FI116" s="580"/>
      <c r="FJ116" s="581"/>
      <c r="FK116" s="581"/>
      <c r="FL116" s="580"/>
      <c r="FM116" s="591"/>
      <c r="FN116" s="580"/>
      <c r="FO116" s="580"/>
      <c r="FP116" s="580"/>
      <c r="FQ116" s="581"/>
      <c r="FR116" s="581"/>
      <c r="FS116" s="580"/>
      <c r="FT116" s="591"/>
      <c r="FU116" s="580"/>
      <c r="FV116" s="580"/>
      <c r="FW116" s="580"/>
      <c r="FX116" s="581"/>
      <c r="FY116" s="581"/>
      <c r="FZ116" s="580"/>
      <c r="GA116" s="591"/>
      <c r="GB116" s="580"/>
      <c r="GC116" s="580"/>
      <c r="GD116" s="580"/>
      <c r="GE116" s="581"/>
      <c r="GF116" s="581"/>
      <c r="GG116" s="580"/>
      <c r="GH116" s="591"/>
      <c r="GI116" s="580"/>
      <c r="GJ116" s="580"/>
      <c r="GK116" s="580"/>
      <c r="GL116" s="581"/>
      <c r="GM116" s="581"/>
      <c r="GN116" s="580"/>
      <c r="GO116" s="591"/>
      <c r="GP116" s="580"/>
      <c r="GQ116" s="580"/>
      <c r="GR116" s="580"/>
      <c r="GS116" s="581"/>
      <c r="GT116" s="581"/>
      <c r="GU116" s="580"/>
      <c r="GV116" s="591"/>
      <c r="GW116" s="580"/>
      <c r="GX116" s="580"/>
      <c r="GY116" s="580"/>
      <c r="GZ116" s="581"/>
      <c r="HA116" s="581"/>
      <c r="HB116" s="580"/>
      <c r="HC116" s="591"/>
      <c r="HD116" s="580"/>
      <c r="HE116" s="580"/>
      <c r="HF116" s="580"/>
      <c r="HG116" s="581"/>
      <c r="HH116" s="581"/>
      <c r="HI116" s="580"/>
      <c r="HJ116" s="591"/>
      <c r="HK116" s="580"/>
      <c r="HL116" s="580"/>
      <c r="HM116" s="580"/>
      <c r="HN116" s="581"/>
      <c r="HO116" s="581"/>
      <c r="HP116" s="580"/>
      <c r="HQ116" s="591"/>
      <c r="HR116" s="580"/>
      <c r="HS116" s="580"/>
      <c r="HT116" s="580"/>
      <c r="HU116" s="581"/>
      <c r="HV116" s="581"/>
      <c r="HW116" s="580"/>
      <c r="HX116" s="591"/>
      <c r="HY116" s="580"/>
      <c r="HZ116" s="580"/>
      <c r="IA116" s="580"/>
      <c r="IB116" s="581"/>
      <c r="IC116" s="581"/>
      <c r="ID116" s="580"/>
      <c r="IE116" s="591"/>
      <c r="IF116" s="580"/>
      <c r="IG116" s="580"/>
      <c r="IH116" s="580"/>
      <c r="II116" s="581"/>
      <c r="IJ116" s="581"/>
      <c r="IK116" s="580"/>
      <c r="IL116" s="591"/>
      <c r="IM116" s="580"/>
      <c r="IN116" s="580"/>
      <c r="IO116" s="580"/>
      <c r="IP116" s="581"/>
      <c r="IQ116" s="581"/>
      <c r="IR116" s="580"/>
      <c r="IS116" s="591"/>
      <c r="IT116" s="580"/>
      <c r="IU116" s="580"/>
      <c r="IV116" s="580"/>
    </row>
    <row r="117" spans="1:256" ht="12.75">
      <c r="A117" s="505" t="s">
        <v>272</v>
      </c>
      <c r="B117" s="475">
        <v>1612</v>
      </c>
      <c r="C117" s="475">
        <v>540</v>
      </c>
      <c r="D117" s="475">
        <v>490</v>
      </c>
      <c r="E117" s="506">
        <v>30.3970223325062</v>
      </c>
      <c r="F117" s="506">
        <v>90.74074074074075</v>
      </c>
      <c r="G117" s="475">
        <v>490</v>
      </c>
      <c r="H117" s="584"/>
      <c r="I117" s="585"/>
      <c r="J117" s="585"/>
      <c r="K117" s="585"/>
      <c r="L117" s="586"/>
      <c r="M117" s="586"/>
      <c r="N117" s="585"/>
      <c r="O117" s="584"/>
      <c r="P117" s="585"/>
      <c r="Q117" s="585"/>
      <c r="R117" s="585"/>
      <c r="S117" s="586"/>
      <c r="T117" s="586"/>
      <c r="U117" s="585"/>
      <c r="V117" s="584"/>
      <c r="W117" s="585"/>
      <c r="X117" s="585"/>
      <c r="Y117" s="585"/>
      <c r="Z117" s="586"/>
      <c r="AA117" s="586"/>
      <c r="AB117" s="585"/>
      <c r="AC117" s="584"/>
      <c r="AD117" s="585"/>
      <c r="AE117" s="585"/>
      <c r="AF117" s="585"/>
      <c r="AG117" s="586"/>
      <c r="AH117" s="586"/>
      <c r="AI117" s="585"/>
      <c r="AJ117" s="584"/>
      <c r="AK117" s="585"/>
      <c r="AL117" s="585"/>
      <c r="AM117" s="585"/>
      <c r="AN117" s="586"/>
      <c r="AO117" s="586"/>
      <c r="AP117" s="585"/>
      <c r="AQ117" s="584"/>
      <c r="AR117" s="585"/>
      <c r="AS117" s="585"/>
      <c r="AT117" s="585"/>
      <c r="AU117" s="586"/>
      <c r="AV117" s="586"/>
      <c r="AW117" s="585"/>
      <c r="AX117" s="584"/>
      <c r="AY117" s="585"/>
      <c r="AZ117" s="585"/>
      <c r="BA117" s="585"/>
      <c r="BB117" s="586"/>
      <c r="BC117" s="586"/>
      <c r="BD117" s="585"/>
      <c r="BE117" s="584"/>
      <c r="BF117" s="585"/>
      <c r="BG117" s="585"/>
      <c r="BH117" s="585"/>
      <c r="BI117" s="586"/>
      <c r="BJ117" s="586"/>
      <c r="BK117" s="585"/>
      <c r="BL117" s="584"/>
      <c r="BM117" s="585"/>
      <c r="BN117" s="585"/>
      <c r="BO117" s="585"/>
      <c r="BP117" s="586"/>
      <c r="BQ117" s="586"/>
      <c r="BR117" s="585"/>
      <c r="BS117" s="584"/>
      <c r="BT117" s="585"/>
      <c r="BU117" s="585"/>
      <c r="BV117" s="585"/>
      <c r="BW117" s="586"/>
      <c r="BX117" s="586"/>
      <c r="BY117" s="585"/>
      <c r="BZ117" s="584"/>
      <c r="CA117" s="585"/>
      <c r="CB117" s="585"/>
      <c r="CC117" s="585"/>
      <c r="CD117" s="586"/>
      <c r="CE117" s="586"/>
      <c r="CF117" s="585"/>
      <c r="CG117" s="584"/>
      <c r="CH117" s="585"/>
      <c r="CI117" s="585"/>
      <c r="CJ117" s="585"/>
      <c r="CK117" s="586"/>
      <c r="CL117" s="586"/>
      <c r="CM117" s="585"/>
      <c r="CN117" s="584"/>
      <c r="CO117" s="585"/>
      <c r="CP117" s="585"/>
      <c r="CQ117" s="585"/>
      <c r="CR117" s="586"/>
      <c r="CS117" s="586"/>
      <c r="CT117" s="585"/>
      <c r="CU117" s="584"/>
      <c r="CV117" s="585"/>
      <c r="CW117" s="585"/>
      <c r="CX117" s="585"/>
      <c r="CY117" s="586"/>
      <c r="CZ117" s="586"/>
      <c r="DA117" s="585"/>
      <c r="DB117" s="584"/>
      <c r="DC117" s="585"/>
      <c r="DD117" s="585"/>
      <c r="DE117" s="585"/>
      <c r="DF117" s="586"/>
      <c r="DG117" s="586"/>
      <c r="DH117" s="585"/>
      <c r="DI117" s="584"/>
      <c r="DJ117" s="585"/>
      <c r="DK117" s="585"/>
      <c r="DL117" s="585"/>
      <c r="DM117" s="586"/>
      <c r="DN117" s="586"/>
      <c r="DO117" s="585"/>
      <c r="DP117" s="584"/>
      <c r="DQ117" s="585"/>
      <c r="DR117" s="585"/>
      <c r="DS117" s="585"/>
      <c r="DT117" s="586"/>
      <c r="DU117" s="586"/>
      <c r="DV117" s="585"/>
      <c r="DW117" s="584"/>
      <c r="DX117" s="585"/>
      <c r="DY117" s="585"/>
      <c r="DZ117" s="585"/>
      <c r="EA117" s="586"/>
      <c r="EB117" s="586"/>
      <c r="EC117" s="585"/>
      <c r="ED117" s="584"/>
      <c r="EE117" s="585"/>
      <c r="EF117" s="585"/>
      <c r="EG117" s="585"/>
      <c r="EH117" s="586"/>
      <c r="EI117" s="586"/>
      <c r="EJ117" s="585"/>
      <c r="EK117" s="584"/>
      <c r="EL117" s="585"/>
      <c r="EM117" s="585"/>
      <c r="EN117" s="585"/>
      <c r="EO117" s="586"/>
      <c r="EP117" s="586"/>
      <c r="EQ117" s="585"/>
      <c r="ER117" s="584"/>
      <c r="ES117" s="585"/>
      <c r="ET117" s="585"/>
      <c r="EU117" s="585"/>
      <c r="EV117" s="586"/>
      <c r="EW117" s="586"/>
      <c r="EX117" s="585"/>
      <c r="EY117" s="584"/>
      <c r="EZ117" s="585"/>
      <c r="FA117" s="585"/>
      <c r="FB117" s="585"/>
      <c r="FC117" s="586"/>
      <c r="FD117" s="586"/>
      <c r="FE117" s="585"/>
      <c r="FF117" s="584"/>
      <c r="FG117" s="585"/>
      <c r="FH117" s="585"/>
      <c r="FI117" s="585"/>
      <c r="FJ117" s="586"/>
      <c r="FK117" s="586"/>
      <c r="FL117" s="585"/>
      <c r="FM117" s="584"/>
      <c r="FN117" s="585"/>
      <c r="FO117" s="585"/>
      <c r="FP117" s="585"/>
      <c r="FQ117" s="586"/>
      <c r="FR117" s="586"/>
      <c r="FS117" s="585"/>
      <c r="FT117" s="584"/>
      <c r="FU117" s="585"/>
      <c r="FV117" s="585"/>
      <c r="FW117" s="585"/>
      <c r="FX117" s="586"/>
      <c r="FY117" s="586"/>
      <c r="FZ117" s="585"/>
      <c r="GA117" s="584"/>
      <c r="GB117" s="585"/>
      <c r="GC117" s="585"/>
      <c r="GD117" s="585"/>
      <c r="GE117" s="586"/>
      <c r="GF117" s="586"/>
      <c r="GG117" s="585"/>
      <c r="GH117" s="584"/>
      <c r="GI117" s="585"/>
      <c r="GJ117" s="585"/>
      <c r="GK117" s="585"/>
      <c r="GL117" s="586"/>
      <c r="GM117" s="586"/>
      <c r="GN117" s="585"/>
      <c r="GO117" s="584"/>
      <c r="GP117" s="585"/>
      <c r="GQ117" s="585"/>
      <c r="GR117" s="585"/>
      <c r="GS117" s="586"/>
      <c r="GT117" s="586"/>
      <c r="GU117" s="585"/>
      <c r="GV117" s="584"/>
      <c r="GW117" s="585"/>
      <c r="GX117" s="585"/>
      <c r="GY117" s="585"/>
      <c r="GZ117" s="586"/>
      <c r="HA117" s="586"/>
      <c r="HB117" s="585"/>
      <c r="HC117" s="584"/>
      <c r="HD117" s="585"/>
      <c r="HE117" s="585"/>
      <c r="HF117" s="585"/>
      <c r="HG117" s="586"/>
      <c r="HH117" s="586"/>
      <c r="HI117" s="585"/>
      <c r="HJ117" s="584"/>
      <c r="HK117" s="585"/>
      <c r="HL117" s="585"/>
      <c r="HM117" s="585"/>
      <c r="HN117" s="586"/>
      <c r="HO117" s="586"/>
      <c r="HP117" s="585"/>
      <c r="HQ117" s="584"/>
      <c r="HR117" s="585"/>
      <c r="HS117" s="585"/>
      <c r="HT117" s="585"/>
      <c r="HU117" s="586"/>
      <c r="HV117" s="586"/>
      <c r="HW117" s="585"/>
      <c r="HX117" s="584"/>
      <c r="HY117" s="585"/>
      <c r="HZ117" s="585"/>
      <c r="IA117" s="585"/>
      <c r="IB117" s="586"/>
      <c r="IC117" s="586"/>
      <c r="ID117" s="585"/>
      <c r="IE117" s="584"/>
      <c r="IF117" s="585"/>
      <c r="IG117" s="585"/>
      <c r="IH117" s="585"/>
      <c r="II117" s="586"/>
      <c r="IJ117" s="586"/>
      <c r="IK117" s="585"/>
      <c r="IL117" s="584"/>
      <c r="IM117" s="585"/>
      <c r="IN117" s="585"/>
      <c r="IO117" s="585"/>
      <c r="IP117" s="586"/>
      <c r="IQ117" s="586"/>
      <c r="IR117" s="585"/>
      <c r="IS117" s="584"/>
      <c r="IT117" s="585"/>
      <c r="IU117" s="585"/>
      <c r="IV117" s="585"/>
    </row>
    <row r="118" spans="1:256" ht="12.75">
      <c r="A118" s="473" t="s">
        <v>269</v>
      </c>
      <c r="B118" s="507">
        <v>142</v>
      </c>
      <c r="C118" s="507"/>
      <c r="D118" s="507"/>
      <c r="E118" s="40"/>
      <c r="F118" s="40"/>
      <c r="G118" s="507"/>
      <c r="H118" s="587"/>
      <c r="I118" s="510"/>
      <c r="J118" s="510"/>
      <c r="K118" s="510"/>
      <c r="L118" s="588"/>
      <c r="M118" s="588"/>
      <c r="N118" s="510"/>
      <c r="O118" s="587"/>
      <c r="P118" s="510"/>
      <c r="Q118" s="510"/>
      <c r="R118" s="510"/>
      <c r="S118" s="588"/>
      <c r="T118" s="588"/>
      <c r="U118" s="510"/>
      <c r="V118" s="587"/>
      <c r="W118" s="510"/>
      <c r="X118" s="510"/>
      <c r="Y118" s="510"/>
      <c r="Z118" s="588"/>
      <c r="AA118" s="588"/>
      <c r="AB118" s="510"/>
      <c r="AC118" s="587"/>
      <c r="AD118" s="510"/>
      <c r="AE118" s="510"/>
      <c r="AF118" s="510"/>
      <c r="AG118" s="588"/>
      <c r="AH118" s="588"/>
      <c r="AI118" s="510"/>
      <c r="AJ118" s="587"/>
      <c r="AK118" s="510"/>
      <c r="AL118" s="510"/>
      <c r="AM118" s="510"/>
      <c r="AN118" s="588"/>
      <c r="AO118" s="588"/>
      <c r="AP118" s="510"/>
      <c r="AQ118" s="587"/>
      <c r="AR118" s="510"/>
      <c r="AS118" s="510"/>
      <c r="AT118" s="510"/>
      <c r="AU118" s="588"/>
      <c r="AV118" s="588"/>
      <c r="AW118" s="510"/>
      <c r="AX118" s="587"/>
      <c r="AY118" s="510"/>
      <c r="AZ118" s="510"/>
      <c r="BA118" s="510"/>
      <c r="BB118" s="588"/>
      <c r="BC118" s="588"/>
      <c r="BD118" s="510"/>
      <c r="BE118" s="587"/>
      <c r="BF118" s="510"/>
      <c r="BG118" s="510"/>
      <c r="BH118" s="510"/>
      <c r="BI118" s="588"/>
      <c r="BJ118" s="588"/>
      <c r="BK118" s="510"/>
      <c r="BL118" s="587"/>
      <c r="BM118" s="510"/>
      <c r="BN118" s="510"/>
      <c r="BO118" s="510"/>
      <c r="BP118" s="588"/>
      <c r="BQ118" s="588"/>
      <c r="BR118" s="510"/>
      <c r="BS118" s="587"/>
      <c r="BT118" s="510"/>
      <c r="BU118" s="510"/>
      <c r="BV118" s="510"/>
      <c r="BW118" s="588"/>
      <c r="BX118" s="588"/>
      <c r="BY118" s="510"/>
      <c r="BZ118" s="587"/>
      <c r="CA118" s="510"/>
      <c r="CB118" s="510"/>
      <c r="CC118" s="510"/>
      <c r="CD118" s="588"/>
      <c r="CE118" s="588"/>
      <c r="CF118" s="510"/>
      <c r="CG118" s="587"/>
      <c r="CH118" s="510"/>
      <c r="CI118" s="510"/>
      <c r="CJ118" s="510"/>
      <c r="CK118" s="588"/>
      <c r="CL118" s="588"/>
      <c r="CM118" s="510"/>
      <c r="CN118" s="587"/>
      <c r="CO118" s="510"/>
      <c r="CP118" s="510"/>
      <c r="CQ118" s="510"/>
      <c r="CR118" s="588"/>
      <c r="CS118" s="588"/>
      <c r="CT118" s="510"/>
      <c r="CU118" s="587"/>
      <c r="CV118" s="510"/>
      <c r="CW118" s="510"/>
      <c r="CX118" s="510"/>
      <c r="CY118" s="588"/>
      <c r="CZ118" s="588"/>
      <c r="DA118" s="510"/>
      <c r="DB118" s="587"/>
      <c r="DC118" s="510"/>
      <c r="DD118" s="510"/>
      <c r="DE118" s="510"/>
      <c r="DF118" s="588"/>
      <c r="DG118" s="588"/>
      <c r="DH118" s="510"/>
      <c r="DI118" s="587"/>
      <c r="DJ118" s="510"/>
      <c r="DK118" s="510"/>
      <c r="DL118" s="510"/>
      <c r="DM118" s="588"/>
      <c r="DN118" s="588"/>
      <c r="DO118" s="510"/>
      <c r="DP118" s="587"/>
      <c r="DQ118" s="510"/>
      <c r="DR118" s="510"/>
      <c r="DS118" s="510"/>
      <c r="DT118" s="588"/>
      <c r="DU118" s="588"/>
      <c r="DV118" s="510"/>
      <c r="DW118" s="587"/>
      <c r="DX118" s="510"/>
      <c r="DY118" s="510"/>
      <c r="DZ118" s="510"/>
      <c r="EA118" s="588"/>
      <c r="EB118" s="588"/>
      <c r="EC118" s="510"/>
      <c r="ED118" s="587"/>
      <c r="EE118" s="510"/>
      <c r="EF118" s="510"/>
      <c r="EG118" s="510"/>
      <c r="EH118" s="588"/>
      <c r="EI118" s="588"/>
      <c r="EJ118" s="510"/>
      <c r="EK118" s="587"/>
      <c r="EL118" s="510"/>
      <c r="EM118" s="510"/>
      <c r="EN118" s="510"/>
      <c r="EO118" s="588"/>
      <c r="EP118" s="588"/>
      <c r="EQ118" s="510"/>
      <c r="ER118" s="587"/>
      <c r="ES118" s="510"/>
      <c r="ET118" s="510"/>
      <c r="EU118" s="510"/>
      <c r="EV118" s="588"/>
      <c r="EW118" s="588"/>
      <c r="EX118" s="510"/>
      <c r="EY118" s="587"/>
      <c r="EZ118" s="510"/>
      <c r="FA118" s="510"/>
      <c r="FB118" s="510"/>
      <c r="FC118" s="588"/>
      <c r="FD118" s="588"/>
      <c r="FE118" s="510"/>
      <c r="FF118" s="587"/>
      <c r="FG118" s="510"/>
      <c r="FH118" s="510"/>
      <c r="FI118" s="510"/>
      <c r="FJ118" s="588"/>
      <c r="FK118" s="588"/>
      <c r="FL118" s="510"/>
      <c r="FM118" s="587"/>
      <c r="FN118" s="510"/>
      <c r="FO118" s="510"/>
      <c r="FP118" s="510"/>
      <c r="FQ118" s="588"/>
      <c r="FR118" s="588"/>
      <c r="FS118" s="510"/>
      <c r="FT118" s="587"/>
      <c r="FU118" s="510"/>
      <c r="FV118" s="510"/>
      <c r="FW118" s="510"/>
      <c r="FX118" s="588"/>
      <c r="FY118" s="588"/>
      <c r="FZ118" s="510"/>
      <c r="GA118" s="587"/>
      <c r="GB118" s="510"/>
      <c r="GC118" s="510"/>
      <c r="GD118" s="510"/>
      <c r="GE118" s="588"/>
      <c r="GF118" s="588"/>
      <c r="GG118" s="510"/>
      <c r="GH118" s="587"/>
      <c r="GI118" s="510"/>
      <c r="GJ118" s="510"/>
      <c r="GK118" s="510"/>
      <c r="GL118" s="588"/>
      <c r="GM118" s="588"/>
      <c r="GN118" s="510"/>
      <c r="GO118" s="587"/>
      <c r="GP118" s="510"/>
      <c r="GQ118" s="510"/>
      <c r="GR118" s="510"/>
      <c r="GS118" s="588"/>
      <c r="GT118" s="588"/>
      <c r="GU118" s="510"/>
      <c r="GV118" s="587"/>
      <c r="GW118" s="510"/>
      <c r="GX118" s="510"/>
      <c r="GY118" s="510"/>
      <c r="GZ118" s="588"/>
      <c r="HA118" s="588"/>
      <c r="HB118" s="510"/>
      <c r="HC118" s="587"/>
      <c r="HD118" s="510"/>
      <c r="HE118" s="510"/>
      <c r="HF118" s="510"/>
      <c r="HG118" s="588"/>
      <c r="HH118" s="588"/>
      <c r="HI118" s="510"/>
      <c r="HJ118" s="587"/>
      <c r="HK118" s="510"/>
      <c r="HL118" s="510"/>
      <c r="HM118" s="510"/>
      <c r="HN118" s="588"/>
      <c r="HO118" s="588"/>
      <c r="HP118" s="510"/>
      <c r="HQ118" s="587"/>
      <c r="HR118" s="510"/>
      <c r="HS118" s="510"/>
      <c r="HT118" s="510"/>
      <c r="HU118" s="588"/>
      <c r="HV118" s="588"/>
      <c r="HW118" s="510"/>
      <c r="HX118" s="587"/>
      <c r="HY118" s="510"/>
      <c r="HZ118" s="510"/>
      <c r="IA118" s="510"/>
      <c r="IB118" s="588"/>
      <c r="IC118" s="588"/>
      <c r="ID118" s="510"/>
      <c r="IE118" s="587"/>
      <c r="IF118" s="510"/>
      <c r="IG118" s="510"/>
      <c r="IH118" s="510"/>
      <c r="II118" s="588"/>
      <c r="IJ118" s="588"/>
      <c r="IK118" s="510"/>
      <c r="IL118" s="587"/>
      <c r="IM118" s="510"/>
      <c r="IN118" s="510"/>
      <c r="IO118" s="510"/>
      <c r="IP118" s="588"/>
      <c r="IQ118" s="588"/>
      <c r="IR118" s="510"/>
      <c r="IS118" s="587"/>
      <c r="IT118" s="510"/>
      <c r="IU118" s="510"/>
      <c r="IV118" s="510"/>
    </row>
    <row r="119" spans="1:256" ht="12.75">
      <c r="A119" s="473" t="s">
        <v>270</v>
      </c>
      <c r="B119" s="507">
        <v>1470</v>
      </c>
      <c r="C119" s="507">
        <v>540</v>
      </c>
      <c r="D119" s="507">
        <v>490</v>
      </c>
      <c r="E119" s="40">
        <v>33.33333333333333</v>
      </c>
      <c r="F119" s="40">
        <v>90.74074074074075</v>
      </c>
      <c r="G119" s="507">
        <v>490</v>
      </c>
      <c r="H119" s="587"/>
      <c r="I119" s="510"/>
      <c r="J119" s="510"/>
      <c r="K119" s="510"/>
      <c r="L119" s="588"/>
      <c r="M119" s="588"/>
      <c r="N119" s="510"/>
      <c r="O119" s="587"/>
      <c r="P119" s="510"/>
      <c r="Q119" s="510"/>
      <c r="R119" s="510"/>
      <c r="S119" s="588"/>
      <c r="T119" s="588"/>
      <c r="U119" s="510"/>
      <c r="V119" s="587"/>
      <c r="W119" s="510"/>
      <c r="X119" s="510"/>
      <c r="Y119" s="510"/>
      <c r="Z119" s="588"/>
      <c r="AA119" s="588"/>
      <c r="AB119" s="510"/>
      <c r="AC119" s="587"/>
      <c r="AD119" s="510"/>
      <c r="AE119" s="510"/>
      <c r="AF119" s="510"/>
      <c r="AG119" s="588"/>
      <c r="AH119" s="588"/>
      <c r="AI119" s="510"/>
      <c r="AJ119" s="587"/>
      <c r="AK119" s="510"/>
      <c r="AL119" s="510"/>
      <c r="AM119" s="510"/>
      <c r="AN119" s="588"/>
      <c r="AO119" s="588"/>
      <c r="AP119" s="510"/>
      <c r="AQ119" s="587"/>
      <c r="AR119" s="510"/>
      <c r="AS119" s="510"/>
      <c r="AT119" s="510"/>
      <c r="AU119" s="588"/>
      <c r="AV119" s="588"/>
      <c r="AW119" s="510"/>
      <c r="AX119" s="587"/>
      <c r="AY119" s="510"/>
      <c r="AZ119" s="510"/>
      <c r="BA119" s="510"/>
      <c r="BB119" s="588"/>
      <c r="BC119" s="588"/>
      <c r="BD119" s="510"/>
      <c r="BE119" s="587"/>
      <c r="BF119" s="510"/>
      <c r="BG119" s="510"/>
      <c r="BH119" s="510"/>
      <c r="BI119" s="588"/>
      <c r="BJ119" s="588"/>
      <c r="BK119" s="510"/>
      <c r="BL119" s="587"/>
      <c r="BM119" s="510"/>
      <c r="BN119" s="510"/>
      <c r="BO119" s="510"/>
      <c r="BP119" s="588"/>
      <c r="BQ119" s="588"/>
      <c r="BR119" s="510"/>
      <c r="BS119" s="587"/>
      <c r="BT119" s="510"/>
      <c r="BU119" s="510"/>
      <c r="BV119" s="510"/>
      <c r="BW119" s="588"/>
      <c r="BX119" s="588"/>
      <c r="BY119" s="510"/>
      <c r="BZ119" s="587"/>
      <c r="CA119" s="510"/>
      <c r="CB119" s="510"/>
      <c r="CC119" s="510"/>
      <c r="CD119" s="588"/>
      <c r="CE119" s="588"/>
      <c r="CF119" s="510"/>
      <c r="CG119" s="587"/>
      <c r="CH119" s="510"/>
      <c r="CI119" s="510"/>
      <c r="CJ119" s="510"/>
      <c r="CK119" s="588"/>
      <c r="CL119" s="588"/>
      <c r="CM119" s="510"/>
      <c r="CN119" s="587"/>
      <c r="CO119" s="510"/>
      <c r="CP119" s="510"/>
      <c r="CQ119" s="510"/>
      <c r="CR119" s="588"/>
      <c r="CS119" s="588"/>
      <c r="CT119" s="510"/>
      <c r="CU119" s="587"/>
      <c r="CV119" s="510"/>
      <c r="CW119" s="510"/>
      <c r="CX119" s="510"/>
      <c r="CY119" s="588"/>
      <c r="CZ119" s="588"/>
      <c r="DA119" s="510"/>
      <c r="DB119" s="587"/>
      <c r="DC119" s="510"/>
      <c r="DD119" s="510"/>
      <c r="DE119" s="510"/>
      <c r="DF119" s="588"/>
      <c r="DG119" s="588"/>
      <c r="DH119" s="510"/>
      <c r="DI119" s="587"/>
      <c r="DJ119" s="510"/>
      <c r="DK119" s="510"/>
      <c r="DL119" s="510"/>
      <c r="DM119" s="588"/>
      <c r="DN119" s="588"/>
      <c r="DO119" s="510"/>
      <c r="DP119" s="587"/>
      <c r="DQ119" s="510"/>
      <c r="DR119" s="510"/>
      <c r="DS119" s="510"/>
      <c r="DT119" s="588"/>
      <c r="DU119" s="588"/>
      <c r="DV119" s="510"/>
      <c r="DW119" s="587"/>
      <c r="DX119" s="510"/>
      <c r="DY119" s="510"/>
      <c r="DZ119" s="510"/>
      <c r="EA119" s="588"/>
      <c r="EB119" s="588"/>
      <c r="EC119" s="510"/>
      <c r="ED119" s="587"/>
      <c r="EE119" s="510"/>
      <c r="EF119" s="510"/>
      <c r="EG119" s="510"/>
      <c r="EH119" s="588"/>
      <c r="EI119" s="588"/>
      <c r="EJ119" s="510"/>
      <c r="EK119" s="587"/>
      <c r="EL119" s="510"/>
      <c r="EM119" s="510"/>
      <c r="EN119" s="510"/>
      <c r="EO119" s="588"/>
      <c r="EP119" s="588"/>
      <c r="EQ119" s="510"/>
      <c r="ER119" s="587"/>
      <c r="ES119" s="510"/>
      <c r="ET119" s="510"/>
      <c r="EU119" s="510"/>
      <c r="EV119" s="588"/>
      <c r="EW119" s="588"/>
      <c r="EX119" s="510"/>
      <c r="EY119" s="587"/>
      <c r="EZ119" s="510"/>
      <c r="FA119" s="510"/>
      <c r="FB119" s="510"/>
      <c r="FC119" s="588"/>
      <c r="FD119" s="588"/>
      <c r="FE119" s="510"/>
      <c r="FF119" s="587"/>
      <c r="FG119" s="510"/>
      <c r="FH119" s="510"/>
      <c r="FI119" s="510"/>
      <c r="FJ119" s="588"/>
      <c r="FK119" s="588"/>
      <c r="FL119" s="510"/>
      <c r="FM119" s="587"/>
      <c r="FN119" s="510"/>
      <c r="FO119" s="510"/>
      <c r="FP119" s="510"/>
      <c r="FQ119" s="588"/>
      <c r="FR119" s="588"/>
      <c r="FS119" s="510"/>
      <c r="FT119" s="587"/>
      <c r="FU119" s="510"/>
      <c r="FV119" s="510"/>
      <c r="FW119" s="510"/>
      <c r="FX119" s="588"/>
      <c r="FY119" s="588"/>
      <c r="FZ119" s="510"/>
      <c r="GA119" s="587"/>
      <c r="GB119" s="510"/>
      <c r="GC119" s="510"/>
      <c r="GD119" s="510"/>
      <c r="GE119" s="588"/>
      <c r="GF119" s="588"/>
      <c r="GG119" s="510"/>
      <c r="GH119" s="587"/>
      <c r="GI119" s="510"/>
      <c r="GJ119" s="510"/>
      <c r="GK119" s="510"/>
      <c r="GL119" s="588"/>
      <c r="GM119" s="588"/>
      <c r="GN119" s="510"/>
      <c r="GO119" s="587"/>
      <c r="GP119" s="510"/>
      <c r="GQ119" s="510"/>
      <c r="GR119" s="510"/>
      <c r="GS119" s="588"/>
      <c r="GT119" s="588"/>
      <c r="GU119" s="510"/>
      <c r="GV119" s="587"/>
      <c r="GW119" s="510"/>
      <c r="GX119" s="510"/>
      <c r="GY119" s="510"/>
      <c r="GZ119" s="588"/>
      <c r="HA119" s="588"/>
      <c r="HB119" s="510"/>
      <c r="HC119" s="587"/>
      <c r="HD119" s="510"/>
      <c r="HE119" s="510"/>
      <c r="HF119" s="510"/>
      <c r="HG119" s="588"/>
      <c r="HH119" s="588"/>
      <c r="HI119" s="510"/>
      <c r="HJ119" s="587"/>
      <c r="HK119" s="510"/>
      <c r="HL119" s="510"/>
      <c r="HM119" s="510"/>
      <c r="HN119" s="588"/>
      <c r="HO119" s="588"/>
      <c r="HP119" s="510"/>
      <c r="HQ119" s="587"/>
      <c r="HR119" s="510"/>
      <c r="HS119" s="510"/>
      <c r="HT119" s="510"/>
      <c r="HU119" s="588"/>
      <c r="HV119" s="588"/>
      <c r="HW119" s="510"/>
      <c r="HX119" s="587"/>
      <c r="HY119" s="510"/>
      <c r="HZ119" s="510"/>
      <c r="IA119" s="510"/>
      <c r="IB119" s="588"/>
      <c r="IC119" s="588"/>
      <c r="ID119" s="510"/>
      <c r="IE119" s="587"/>
      <c r="IF119" s="510"/>
      <c r="IG119" s="510"/>
      <c r="IH119" s="510"/>
      <c r="II119" s="588"/>
      <c r="IJ119" s="588"/>
      <c r="IK119" s="510"/>
      <c r="IL119" s="587"/>
      <c r="IM119" s="510"/>
      <c r="IN119" s="510"/>
      <c r="IO119" s="510"/>
      <c r="IP119" s="588"/>
      <c r="IQ119" s="588"/>
      <c r="IR119" s="510"/>
      <c r="IS119" s="587"/>
      <c r="IT119" s="510"/>
      <c r="IU119" s="510"/>
      <c r="IV119" s="510"/>
    </row>
    <row r="120" spans="1:256" ht="12.75">
      <c r="A120" s="505" t="s">
        <v>278</v>
      </c>
      <c r="B120" s="475">
        <v>3120</v>
      </c>
      <c r="C120" s="475"/>
      <c r="D120" s="475"/>
      <c r="E120" s="506"/>
      <c r="F120" s="506"/>
      <c r="G120" s="475"/>
      <c r="H120" s="584"/>
      <c r="I120" s="585"/>
      <c r="J120" s="585"/>
      <c r="K120" s="585"/>
      <c r="L120" s="586"/>
      <c r="M120" s="586"/>
      <c r="N120" s="585"/>
      <c r="O120" s="584"/>
      <c r="P120" s="585"/>
      <c r="Q120" s="585"/>
      <c r="R120" s="585"/>
      <c r="S120" s="586"/>
      <c r="T120" s="586"/>
      <c r="U120" s="585"/>
      <c r="V120" s="584"/>
      <c r="W120" s="585"/>
      <c r="X120" s="585"/>
      <c r="Y120" s="585"/>
      <c r="Z120" s="586"/>
      <c r="AA120" s="586"/>
      <c r="AB120" s="585"/>
      <c r="AC120" s="584"/>
      <c r="AD120" s="585"/>
      <c r="AE120" s="585"/>
      <c r="AF120" s="585"/>
      <c r="AG120" s="586"/>
      <c r="AH120" s="586"/>
      <c r="AI120" s="585"/>
      <c r="AJ120" s="584"/>
      <c r="AK120" s="585"/>
      <c r="AL120" s="585"/>
      <c r="AM120" s="585"/>
      <c r="AN120" s="586"/>
      <c r="AO120" s="586"/>
      <c r="AP120" s="585"/>
      <c r="AQ120" s="584"/>
      <c r="AR120" s="585"/>
      <c r="AS120" s="585"/>
      <c r="AT120" s="585"/>
      <c r="AU120" s="586"/>
      <c r="AV120" s="586"/>
      <c r="AW120" s="585"/>
      <c r="AX120" s="584"/>
      <c r="AY120" s="585"/>
      <c r="AZ120" s="585"/>
      <c r="BA120" s="585"/>
      <c r="BB120" s="586"/>
      <c r="BC120" s="586"/>
      <c r="BD120" s="585"/>
      <c r="BE120" s="584"/>
      <c r="BF120" s="585"/>
      <c r="BG120" s="585"/>
      <c r="BH120" s="585"/>
      <c r="BI120" s="586"/>
      <c r="BJ120" s="586"/>
      <c r="BK120" s="585"/>
      <c r="BL120" s="584"/>
      <c r="BM120" s="585"/>
      <c r="BN120" s="585"/>
      <c r="BO120" s="585"/>
      <c r="BP120" s="586"/>
      <c r="BQ120" s="586"/>
      <c r="BR120" s="585"/>
      <c r="BS120" s="584"/>
      <c r="BT120" s="585"/>
      <c r="BU120" s="585"/>
      <c r="BV120" s="585"/>
      <c r="BW120" s="586"/>
      <c r="BX120" s="586"/>
      <c r="BY120" s="585"/>
      <c r="BZ120" s="584"/>
      <c r="CA120" s="585"/>
      <c r="CB120" s="585"/>
      <c r="CC120" s="585"/>
      <c r="CD120" s="586"/>
      <c r="CE120" s="586"/>
      <c r="CF120" s="585"/>
      <c r="CG120" s="584"/>
      <c r="CH120" s="585"/>
      <c r="CI120" s="585"/>
      <c r="CJ120" s="585"/>
      <c r="CK120" s="586"/>
      <c r="CL120" s="586"/>
      <c r="CM120" s="585"/>
      <c r="CN120" s="584"/>
      <c r="CO120" s="585"/>
      <c r="CP120" s="585"/>
      <c r="CQ120" s="585"/>
      <c r="CR120" s="586"/>
      <c r="CS120" s="586"/>
      <c r="CT120" s="585"/>
      <c r="CU120" s="584"/>
      <c r="CV120" s="585"/>
      <c r="CW120" s="585"/>
      <c r="CX120" s="585"/>
      <c r="CY120" s="586"/>
      <c r="CZ120" s="586"/>
      <c r="DA120" s="585"/>
      <c r="DB120" s="584"/>
      <c r="DC120" s="585"/>
      <c r="DD120" s="585"/>
      <c r="DE120" s="585"/>
      <c r="DF120" s="586"/>
      <c r="DG120" s="586"/>
      <c r="DH120" s="585"/>
      <c r="DI120" s="584"/>
      <c r="DJ120" s="585"/>
      <c r="DK120" s="585"/>
      <c r="DL120" s="585"/>
      <c r="DM120" s="586"/>
      <c r="DN120" s="586"/>
      <c r="DO120" s="585"/>
      <c r="DP120" s="584"/>
      <c r="DQ120" s="585"/>
      <c r="DR120" s="585"/>
      <c r="DS120" s="585"/>
      <c r="DT120" s="586"/>
      <c r="DU120" s="586"/>
      <c r="DV120" s="585"/>
      <c r="DW120" s="584"/>
      <c r="DX120" s="585"/>
      <c r="DY120" s="585"/>
      <c r="DZ120" s="585"/>
      <c r="EA120" s="586"/>
      <c r="EB120" s="586"/>
      <c r="EC120" s="585"/>
      <c r="ED120" s="584"/>
      <c r="EE120" s="585"/>
      <c r="EF120" s="585"/>
      <c r="EG120" s="585"/>
      <c r="EH120" s="586"/>
      <c r="EI120" s="586"/>
      <c r="EJ120" s="585"/>
      <c r="EK120" s="584"/>
      <c r="EL120" s="585"/>
      <c r="EM120" s="585"/>
      <c r="EN120" s="585"/>
      <c r="EO120" s="586"/>
      <c r="EP120" s="586"/>
      <c r="EQ120" s="585"/>
      <c r="ER120" s="584"/>
      <c r="ES120" s="585"/>
      <c r="ET120" s="585"/>
      <c r="EU120" s="585"/>
      <c r="EV120" s="586"/>
      <c r="EW120" s="586"/>
      <c r="EX120" s="585"/>
      <c r="EY120" s="584"/>
      <c r="EZ120" s="585"/>
      <c r="FA120" s="585"/>
      <c r="FB120" s="585"/>
      <c r="FC120" s="586"/>
      <c r="FD120" s="586"/>
      <c r="FE120" s="585"/>
      <c r="FF120" s="584"/>
      <c r="FG120" s="585"/>
      <c r="FH120" s="585"/>
      <c r="FI120" s="585"/>
      <c r="FJ120" s="586"/>
      <c r="FK120" s="586"/>
      <c r="FL120" s="585"/>
      <c r="FM120" s="584"/>
      <c r="FN120" s="585"/>
      <c r="FO120" s="585"/>
      <c r="FP120" s="585"/>
      <c r="FQ120" s="586"/>
      <c r="FR120" s="586"/>
      <c r="FS120" s="585"/>
      <c r="FT120" s="584"/>
      <c r="FU120" s="585"/>
      <c r="FV120" s="585"/>
      <c r="FW120" s="585"/>
      <c r="FX120" s="586"/>
      <c r="FY120" s="586"/>
      <c r="FZ120" s="585"/>
      <c r="GA120" s="584"/>
      <c r="GB120" s="585"/>
      <c r="GC120" s="585"/>
      <c r="GD120" s="585"/>
      <c r="GE120" s="586"/>
      <c r="GF120" s="586"/>
      <c r="GG120" s="585"/>
      <c r="GH120" s="584"/>
      <c r="GI120" s="585"/>
      <c r="GJ120" s="585"/>
      <c r="GK120" s="585"/>
      <c r="GL120" s="586"/>
      <c r="GM120" s="586"/>
      <c r="GN120" s="585"/>
      <c r="GO120" s="584"/>
      <c r="GP120" s="585"/>
      <c r="GQ120" s="585"/>
      <c r="GR120" s="585"/>
      <c r="GS120" s="586"/>
      <c r="GT120" s="586"/>
      <c r="GU120" s="585"/>
      <c r="GV120" s="584"/>
      <c r="GW120" s="585"/>
      <c r="GX120" s="585"/>
      <c r="GY120" s="585"/>
      <c r="GZ120" s="586"/>
      <c r="HA120" s="586"/>
      <c r="HB120" s="585"/>
      <c r="HC120" s="584"/>
      <c r="HD120" s="585"/>
      <c r="HE120" s="585"/>
      <c r="HF120" s="585"/>
      <c r="HG120" s="586"/>
      <c r="HH120" s="586"/>
      <c r="HI120" s="585"/>
      <c r="HJ120" s="584"/>
      <c r="HK120" s="585"/>
      <c r="HL120" s="585"/>
      <c r="HM120" s="585"/>
      <c r="HN120" s="586"/>
      <c r="HO120" s="586"/>
      <c r="HP120" s="585"/>
      <c r="HQ120" s="584"/>
      <c r="HR120" s="585"/>
      <c r="HS120" s="585"/>
      <c r="HT120" s="585"/>
      <c r="HU120" s="586"/>
      <c r="HV120" s="586"/>
      <c r="HW120" s="585"/>
      <c r="HX120" s="584"/>
      <c r="HY120" s="585"/>
      <c r="HZ120" s="585"/>
      <c r="IA120" s="585"/>
      <c r="IB120" s="586"/>
      <c r="IC120" s="586"/>
      <c r="ID120" s="585"/>
      <c r="IE120" s="584"/>
      <c r="IF120" s="585"/>
      <c r="IG120" s="585"/>
      <c r="IH120" s="585"/>
      <c r="II120" s="586"/>
      <c r="IJ120" s="586"/>
      <c r="IK120" s="585"/>
      <c r="IL120" s="584"/>
      <c r="IM120" s="585"/>
      <c r="IN120" s="585"/>
      <c r="IO120" s="585"/>
      <c r="IP120" s="586"/>
      <c r="IQ120" s="586"/>
      <c r="IR120" s="585"/>
      <c r="IS120" s="584"/>
      <c r="IT120" s="585"/>
      <c r="IU120" s="585"/>
      <c r="IV120" s="585"/>
    </row>
    <row r="121" spans="1:256" ht="12.75">
      <c r="A121" s="473" t="s">
        <v>270</v>
      </c>
      <c r="B121" s="507">
        <v>3120</v>
      </c>
      <c r="C121" s="507"/>
      <c r="D121" s="507"/>
      <c r="E121" s="40"/>
      <c r="F121" s="40"/>
      <c r="G121" s="507"/>
      <c r="H121" s="587"/>
      <c r="I121" s="510"/>
      <c r="J121" s="510"/>
      <c r="K121" s="510"/>
      <c r="L121" s="588"/>
      <c r="M121" s="588"/>
      <c r="N121" s="510"/>
      <c r="O121" s="587"/>
      <c r="P121" s="510"/>
      <c r="Q121" s="510"/>
      <c r="R121" s="510"/>
      <c r="S121" s="588"/>
      <c r="T121" s="588"/>
      <c r="U121" s="510"/>
      <c r="V121" s="587"/>
      <c r="W121" s="510"/>
      <c r="X121" s="510"/>
      <c r="Y121" s="510"/>
      <c r="Z121" s="588"/>
      <c r="AA121" s="588"/>
      <c r="AB121" s="510"/>
      <c r="AC121" s="587"/>
      <c r="AD121" s="510"/>
      <c r="AE121" s="510"/>
      <c r="AF121" s="510"/>
      <c r="AG121" s="588"/>
      <c r="AH121" s="588"/>
      <c r="AI121" s="510"/>
      <c r="AJ121" s="587"/>
      <c r="AK121" s="510"/>
      <c r="AL121" s="510"/>
      <c r="AM121" s="510"/>
      <c r="AN121" s="588"/>
      <c r="AO121" s="588"/>
      <c r="AP121" s="510"/>
      <c r="AQ121" s="587"/>
      <c r="AR121" s="510"/>
      <c r="AS121" s="510"/>
      <c r="AT121" s="510"/>
      <c r="AU121" s="588"/>
      <c r="AV121" s="588"/>
      <c r="AW121" s="510"/>
      <c r="AX121" s="587"/>
      <c r="AY121" s="510"/>
      <c r="AZ121" s="510"/>
      <c r="BA121" s="510"/>
      <c r="BB121" s="588"/>
      <c r="BC121" s="588"/>
      <c r="BD121" s="510"/>
      <c r="BE121" s="587"/>
      <c r="BF121" s="510"/>
      <c r="BG121" s="510"/>
      <c r="BH121" s="510"/>
      <c r="BI121" s="588"/>
      <c r="BJ121" s="588"/>
      <c r="BK121" s="510"/>
      <c r="BL121" s="587"/>
      <c r="BM121" s="510"/>
      <c r="BN121" s="510"/>
      <c r="BO121" s="510"/>
      <c r="BP121" s="588"/>
      <c r="BQ121" s="588"/>
      <c r="BR121" s="510"/>
      <c r="BS121" s="587"/>
      <c r="BT121" s="510"/>
      <c r="BU121" s="510"/>
      <c r="BV121" s="510"/>
      <c r="BW121" s="588"/>
      <c r="BX121" s="588"/>
      <c r="BY121" s="510"/>
      <c r="BZ121" s="587"/>
      <c r="CA121" s="510"/>
      <c r="CB121" s="510"/>
      <c r="CC121" s="510"/>
      <c r="CD121" s="588"/>
      <c r="CE121" s="588"/>
      <c r="CF121" s="510"/>
      <c r="CG121" s="587"/>
      <c r="CH121" s="510"/>
      <c r="CI121" s="510"/>
      <c r="CJ121" s="510"/>
      <c r="CK121" s="588"/>
      <c r="CL121" s="588"/>
      <c r="CM121" s="510"/>
      <c r="CN121" s="587"/>
      <c r="CO121" s="510"/>
      <c r="CP121" s="510"/>
      <c r="CQ121" s="510"/>
      <c r="CR121" s="588"/>
      <c r="CS121" s="588"/>
      <c r="CT121" s="510"/>
      <c r="CU121" s="587"/>
      <c r="CV121" s="510"/>
      <c r="CW121" s="510"/>
      <c r="CX121" s="510"/>
      <c r="CY121" s="588"/>
      <c r="CZ121" s="588"/>
      <c r="DA121" s="510"/>
      <c r="DB121" s="587"/>
      <c r="DC121" s="510"/>
      <c r="DD121" s="510"/>
      <c r="DE121" s="510"/>
      <c r="DF121" s="588"/>
      <c r="DG121" s="588"/>
      <c r="DH121" s="510"/>
      <c r="DI121" s="587"/>
      <c r="DJ121" s="510"/>
      <c r="DK121" s="510"/>
      <c r="DL121" s="510"/>
      <c r="DM121" s="588"/>
      <c r="DN121" s="588"/>
      <c r="DO121" s="510"/>
      <c r="DP121" s="587"/>
      <c r="DQ121" s="510"/>
      <c r="DR121" s="510"/>
      <c r="DS121" s="510"/>
      <c r="DT121" s="588"/>
      <c r="DU121" s="588"/>
      <c r="DV121" s="510"/>
      <c r="DW121" s="587"/>
      <c r="DX121" s="510"/>
      <c r="DY121" s="510"/>
      <c r="DZ121" s="510"/>
      <c r="EA121" s="588"/>
      <c r="EB121" s="588"/>
      <c r="EC121" s="510"/>
      <c r="ED121" s="587"/>
      <c r="EE121" s="510"/>
      <c r="EF121" s="510"/>
      <c r="EG121" s="510"/>
      <c r="EH121" s="588"/>
      <c r="EI121" s="588"/>
      <c r="EJ121" s="510"/>
      <c r="EK121" s="587"/>
      <c r="EL121" s="510"/>
      <c r="EM121" s="510"/>
      <c r="EN121" s="510"/>
      <c r="EO121" s="588"/>
      <c r="EP121" s="588"/>
      <c r="EQ121" s="510"/>
      <c r="ER121" s="587"/>
      <c r="ES121" s="510"/>
      <c r="ET121" s="510"/>
      <c r="EU121" s="510"/>
      <c r="EV121" s="588"/>
      <c r="EW121" s="588"/>
      <c r="EX121" s="510"/>
      <c r="EY121" s="587"/>
      <c r="EZ121" s="510"/>
      <c r="FA121" s="510"/>
      <c r="FB121" s="510"/>
      <c r="FC121" s="588"/>
      <c r="FD121" s="588"/>
      <c r="FE121" s="510"/>
      <c r="FF121" s="587"/>
      <c r="FG121" s="510"/>
      <c r="FH121" s="510"/>
      <c r="FI121" s="510"/>
      <c r="FJ121" s="588"/>
      <c r="FK121" s="588"/>
      <c r="FL121" s="510"/>
      <c r="FM121" s="587"/>
      <c r="FN121" s="510"/>
      <c r="FO121" s="510"/>
      <c r="FP121" s="510"/>
      <c r="FQ121" s="588"/>
      <c r="FR121" s="588"/>
      <c r="FS121" s="510"/>
      <c r="FT121" s="587"/>
      <c r="FU121" s="510"/>
      <c r="FV121" s="510"/>
      <c r="FW121" s="510"/>
      <c r="FX121" s="588"/>
      <c r="FY121" s="588"/>
      <c r="FZ121" s="510"/>
      <c r="GA121" s="587"/>
      <c r="GB121" s="510"/>
      <c r="GC121" s="510"/>
      <c r="GD121" s="510"/>
      <c r="GE121" s="588"/>
      <c r="GF121" s="588"/>
      <c r="GG121" s="510"/>
      <c r="GH121" s="587"/>
      <c r="GI121" s="510"/>
      <c r="GJ121" s="510"/>
      <c r="GK121" s="510"/>
      <c r="GL121" s="588"/>
      <c r="GM121" s="588"/>
      <c r="GN121" s="510"/>
      <c r="GO121" s="587"/>
      <c r="GP121" s="510"/>
      <c r="GQ121" s="510"/>
      <c r="GR121" s="510"/>
      <c r="GS121" s="588"/>
      <c r="GT121" s="588"/>
      <c r="GU121" s="510"/>
      <c r="GV121" s="587"/>
      <c r="GW121" s="510"/>
      <c r="GX121" s="510"/>
      <c r="GY121" s="510"/>
      <c r="GZ121" s="588"/>
      <c r="HA121" s="588"/>
      <c r="HB121" s="510"/>
      <c r="HC121" s="587"/>
      <c r="HD121" s="510"/>
      <c r="HE121" s="510"/>
      <c r="HF121" s="510"/>
      <c r="HG121" s="588"/>
      <c r="HH121" s="588"/>
      <c r="HI121" s="510"/>
      <c r="HJ121" s="587"/>
      <c r="HK121" s="510"/>
      <c r="HL121" s="510"/>
      <c r="HM121" s="510"/>
      <c r="HN121" s="588"/>
      <c r="HO121" s="588"/>
      <c r="HP121" s="510"/>
      <c r="HQ121" s="587"/>
      <c r="HR121" s="510"/>
      <c r="HS121" s="510"/>
      <c r="HT121" s="510"/>
      <c r="HU121" s="588"/>
      <c r="HV121" s="588"/>
      <c r="HW121" s="510"/>
      <c r="HX121" s="587"/>
      <c r="HY121" s="510"/>
      <c r="HZ121" s="510"/>
      <c r="IA121" s="510"/>
      <c r="IB121" s="588"/>
      <c r="IC121" s="588"/>
      <c r="ID121" s="510"/>
      <c r="IE121" s="587"/>
      <c r="IF121" s="510"/>
      <c r="IG121" s="510"/>
      <c r="IH121" s="510"/>
      <c r="II121" s="588"/>
      <c r="IJ121" s="588"/>
      <c r="IK121" s="510"/>
      <c r="IL121" s="587"/>
      <c r="IM121" s="510"/>
      <c r="IN121" s="510"/>
      <c r="IO121" s="510"/>
      <c r="IP121" s="588"/>
      <c r="IQ121" s="588"/>
      <c r="IR121" s="510"/>
      <c r="IS121" s="587"/>
      <c r="IT121" s="510"/>
      <c r="IU121" s="510"/>
      <c r="IV121" s="510"/>
    </row>
    <row r="122" spans="1:256" ht="12.75">
      <c r="A122" s="509" t="s">
        <v>329</v>
      </c>
      <c r="B122" s="248">
        <v>73</v>
      </c>
      <c r="C122" s="248"/>
      <c r="D122" s="248"/>
      <c r="E122" s="16"/>
      <c r="F122" s="16"/>
      <c r="G122" s="248"/>
      <c r="H122" s="591"/>
      <c r="I122" s="580"/>
      <c r="J122" s="580"/>
      <c r="K122" s="580"/>
      <c r="L122" s="581"/>
      <c r="M122" s="581"/>
      <c r="N122" s="580"/>
      <c r="O122" s="591"/>
      <c r="P122" s="580"/>
      <c r="Q122" s="580"/>
      <c r="R122" s="580"/>
      <c r="S122" s="581"/>
      <c r="T122" s="581"/>
      <c r="U122" s="580"/>
      <c r="V122" s="591"/>
      <c r="W122" s="580"/>
      <c r="X122" s="580"/>
      <c r="Y122" s="580"/>
      <c r="Z122" s="581"/>
      <c r="AA122" s="581"/>
      <c r="AB122" s="580"/>
      <c r="AC122" s="591"/>
      <c r="AD122" s="580"/>
      <c r="AE122" s="580"/>
      <c r="AF122" s="580"/>
      <c r="AG122" s="581"/>
      <c r="AH122" s="581"/>
      <c r="AI122" s="580"/>
      <c r="AJ122" s="591"/>
      <c r="AK122" s="580"/>
      <c r="AL122" s="580"/>
      <c r="AM122" s="580"/>
      <c r="AN122" s="581"/>
      <c r="AO122" s="581"/>
      <c r="AP122" s="580"/>
      <c r="AQ122" s="591"/>
      <c r="AR122" s="580"/>
      <c r="AS122" s="580"/>
      <c r="AT122" s="580"/>
      <c r="AU122" s="581"/>
      <c r="AV122" s="581"/>
      <c r="AW122" s="580"/>
      <c r="AX122" s="591"/>
      <c r="AY122" s="580"/>
      <c r="AZ122" s="580"/>
      <c r="BA122" s="580"/>
      <c r="BB122" s="581"/>
      <c r="BC122" s="581"/>
      <c r="BD122" s="580"/>
      <c r="BE122" s="591"/>
      <c r="BF122" s="580"/>
      <c r="BG122" s="580"/>
      <c r="BH122" s="580"/>
      <c r="BI122" s="581"/>
      <c r="BJ122" s="581"/>
      <c r="BK122" s="580"/>
      <c r="BL122" s="591"/>
      <c r="BM122" s="580"/>
      <c r="BN122" s="580"/>
      <c r="BO122" s="580"/>
      <c r="BP122" s="581"/>
      <c r="BQ122" s="581"/>
      <c r="BR122" s="580"/>
      <c r="BS122" s="591"/>
      <c r="BT122" s="580"/>
      <c r="BU122" s="580"/>
      <c r="BV122" s="580"/>
      <c r="BW122" s="581"/>
      <c r="BX122" s="581"/>
      <c r="BY122" s="580"/>
      <c r="BZ122" s="591"/>
      <c r="CA122" s="580"/>
      <c r="CB122" s="580"/>
      <c r="CC122" s="580"/>
      <c r="CD122" s="581"/>
      <c r="CE122" s="581"/>
      <c r="CF122" s="580"/>
      <c r="CG122" s="591"/>
      <c r="CH122" s="580"/>
      <c r="CI122" s="580"/>
      <c r="CJ122" s="580"/>
      <c r="CK122" s="581"/>
      <c r="CL122" s="581"/>
      <c r="CM122" s="580"/>
      <c r="CN122" s="591"/>
      <c r="CO122" s="580"/>
      <c r="CP122" s="580"/>
      <c r="CQ122" s="580"/>
      <c r="CR122" s="581"/>
      <c r="CS122" s="581"/>
      <c r="CT122" s="580"/>
      <c r="CU122" s="591"/>
      <c r="CV122" s="580"/>
      <c r="CW122" s="580"/>
      <c r="CX122" s="580"/>
      <c r="CY122" s="581"/>
      <c r="CZ122" s="581"/>
      <c r="DA122" s="580"/>
      <c r="DB122" s="591"/>
      <c r="DC122" s="580"/>
      <c r="DD122" s="580"/>
      <c r="DE122" s="580"/>
      <c r="DF122" s="581"/>
      <c r="DG122" s="581"/>
      <c r="DH122" s="580"/>
      <c r="DI122" s="591"/>
      <c r="DJ122" s="580"/>
      <c r="DK122" s="580"/>
      <c r="DL122" s="580"/>
      <c r="DM122" s="581"/>
      <c r="DN122" s="581"/>
      <c r="DO122" s="580"/>
      <c r="DP122" s="591"/>
      <c r="DQ122" s="580"/>
      <c r="DR122" s="580"/>
      <c r="DS122" s="580"/>
      <c r="DT122" s="581"/>
      <c r="DU122" s="581"/>
      <c r="DV122" s="580"/>
      <c r="DW122" s="591"/>
      <c r="DX122" s="580"/>
      <c r="DY122" s="580"/>
      <c r="DZ122" s="580"/>
      <c r="EA122" s="581"/>
      <c r="EB122" s="581"/>
      <c r="EC122" s="580"/>
      <c r="ED122" s="591"/>
      <c r="EE122" s="580"/>
      <c r="EF122" s="580"/>
      <c r="EG122" s="580"/>
      <c r="EH122" s="581"/>
      <c r="EI122" s="581"/>
      <c r="EJ122" s="580"/>
      <c r="EK122" s="591"/>
      <c r="EL122" s="580"/>
      <c r="EM122" s="580"/>
      <c r="EN122" s="580"/>
      <c r="EO122" s="581"/>
      <c r="EP122" s="581"/>
      <c r="EQ122" s="580"/>
      <c r="ER122" s="591"/>
      <c r="ES122" s="580"/>
      <c r="ET122" s="580"/>
      <c r="EU122" s="580"/>
      <c r="EV122" s="581"/>
      <c r="EW122" s="581"/>
      <c r="EX122" s="580"/>
      <c r="EY122" s="591"/>
      <c r="EZ122" s="580"/>
      <c r="FA122" s="580"/>
      <c r="FB122" s="580"/>
      <c r="FC122" s="581"/>
      <c r="FD122" s="581"/>
      <c r="FE122" s="580"/>
      <c r="FF122" s="591"/>
      <c r="FG122" s="580"/>
      <c r="FH122" s="580"/>
      <c r="FI122" s="580"/>
      <c r="FJ122" s="581"/>
      <c r="FK122" s="581"/>
      <c r="FL122" s="580"/>
      <c r="FM122" s="591"/>
      <c r="FN122" s="580"/>
      <c r="FO122" s="580"/>
      <c r="FP122" s="580"/>
      <c r="FQ122" s="581"/>
      <c r="FR122" s="581"/>
      <c r="FS122" s="580"/>
      <c r="FT122" s="591"/>
      <c r="FU122" s="580"/>
      <c r="FV122" s="580"/>
      <c r="FW122" s="580"/>
      <c r="FX122" s="581"/>
      <c r="FY122" s="581"/>
      <c r="FZ122" s="580"/>
      <c r="GA122" s="591"/>
      <c r="GB122" s="580"/>
      <c r="GC122" s="580"/>
      <c r="GD122" s="580"/>
      <c r="GE122" s="581"/>
      <c r="GF122" s="581"/>
      <c r="GG122" s="580"/>
      <c r="GH122" s="591"/>
      <c r="GI122" s="580"/>
      <c r="GJ122" s="580"/>
      <c r="GK122" s="580"/>
      <c r="GL122" s="581"/>
      <c r="GM122" s="581"/>
      <c r="GN122" s="580"/>
      <c r="GO122" s="591"/>
      <c r="GP122" s="580"/>
      <c r="GQ122" s="580"/>
      <c r="GR122" s="580"/>
      <c r="GS122" s="581"/>
      <c r="GT122" s="581"/>
      <c r="GU122" s="580"/>
      <c r="GV122" s="591"/>
      <c r="GW122" s="580"/>
      <c r="GX122" s="580"/>
      <c r="GY122" s="580"/>
      <c r="GZ122" s="581"/>
      <c r="HA122" s="581"/>
      <c r="HB122" s="580"/>
      <c r="HC122" s="591"/>
      <c r="HD122" s="580"/>
      <c r="HE122" s="580"/>
      <c r="HF122" s="580"/>
      <c r="HG122" s="581"/>
      <c r="HH122" s="581"/>
      <c r="HI122" s="580"/>
      <c r="HJ122" s="591"/>
      <c r="HK122" s="580"/>
      <c r="HL122" s="580"/>
      <c r="HM122" s="580"/>
      <c r="HN122" s="581"/>
      <c r="HO122" s="581"/>
      <c r="HP122" s="580"/>
      <c r="HQ122" s="591"/>
      <c r="HR122" s="580"/>
      <c r="HS122" s="580"/>
      <c r="HT122" s="580"/>
      <c r="HU122" s="581"/>
      <c r="HV122" s="581"/>
      <c r="HW122" s="580"/>
      <c r="HX122" s="591"/>
      <c r="HY122" s="580"/>
      <c r="HZ122" s="580"/>
      <c r="IA122" s="580"/>
      <c r="IB122" s="581"/>
      <c r="IC122" s="581"/>
      <c r="ID122" s="580"/>
      <c r="IE122" s="591"/>
      <c r="IF122" s="580"/>
      <c r="IG122" s="580"/>
      <c r="IH122" s="580"/>
      <c r="II122" s="581"/>
      <c r="IJ122" s="581"/>
      <c r="IK122" s="580"/>
      <c r="IL122" s="591"/>
      <c r="IM122" s="580"/>
      <c r="IN122" s="580"/>
      <c r="IO122" s="580"/>
      <c r="IP122" s="581"/>
      <c r="IQ122" s="581"/>
      <c r="IR122" s="580"/>
      <c r="IS122" s="591"/>
      <c r="IT122" s="580"/>
      <c r="IU122" s="580"/>
      <c r="IV122" s="580"/>
    </row>
    <row r="123" spans="1:256" ht="12.75">
      <c r="A123" s="505" t="s">
        <v>272</v>
      </c>
      <c r="B123" s="475">
        <v>66</v>
      </c>
      <c r="C123" s="475"/>
      <c r="D123" s="475"/>
      <c r="E123" s="506"/>
      <c r="F123" s="475"/>
      <c r="G123" s="475"/>
      <c r="H123" s="584"/>
      <c r="I123" s="585"/>
      <c r="J123" s="585"/>
      <c r="K123" s="585"/>
      <c r="L123" s="586"/>
      <c r="M123" s="585"/>
      <c r="N123" s="585"/>
      <c r="O123" s="584"/>
      <c r="P123" s="585"/>
      <c r="Q123" s="585"/>
      <c r="R123" s="585"/>
      <c r="S123" s="586"/>
      <c r="T123" s="585"/>
      <c r="U123" s="585"/>
      <c r="V123" s="584"/>
      <c r="W123" s="585"/>
      <c r="X123" s="585"/>
      <c r="Y123" s="585"/>
      <c r="Z123" s="586"/>
      <c r="AA123" s="585"/>
      <c r="AB123" s="585"/>
      <c r="AC123" s="584"/>
      <c r="AD123" s="585"/>
      <c r="AE123" s="585"/>
      <c r="AF123" s="585"/>
      <c r="AG123" s="586"/>
      <c r="AH123" s="585"/>
      <c r="AI123" s="585"/>
      <c r="AJ123" s="584"/>
      <c r="AK123" s="585"/>
      <c r="AL123" s="585"/>
      <c r="AM123" s="585"/>
      <c r="AN123" s="586"/>
      <c r="AO123" s="585"/>
      <c r="AP123" s="585"/>
      <c r="AQ123" s="584"/>
      <c r="AR123" s="585"/>
      <c r="AS123" s="585"/>
      <c r="AT123" s="585"/>
      <c r="AU123" s="586"/>
      <c r="AV123" s="585"/>
      <c r="AW123" s="585"/>
      <c r="AX123" s="584"/>
      <c r="AY123" s="585"/>
      <c r="AZ123" s="585"/>
      <c r="BA123" s="585"/>
      <c r="BB123" s="586"/>
      <c r="BC123" s="585"/>
      <c r="BD123" s="585"/>
      <c r="BE123" s="584"/>
      <c r="BF123" s="585"/>
      <c r="BG123" s="585"/>
      <c r="BH123" s="585"/>
      <c r="BI123" s="586"/>
      <c r="BJ123" s="585"/>
      <c r="BK123" s="585"/>
      <c r="BL123" s="584"/>
      <c r="BM123" s="585"/>
      <c r="BN123" s="585"/>
      <c r="BO123" s="585"/>
      <c r="BP123" s="586"/>
      <c r="BQ123" s="585"/>
      <c r="BR123" s="585"/>
      <c r="BS123" s="584"/>
      <c r="BT123" s="585"/>
      <c r="BU123" s="585"/>
      <c r="BV123" s="585"/>
      <c r="BW123" s="586"/>
      <c r="BX123" s="585"/>
      <c r="BY123" s="585"/>
      <c r="BZ123" s="584"/>
      <c r="CA123" s="585"/>
      <c r="CB123" s="585"/>
      <c r="CC123" s="585"/>
      <c r="CD123" s="586"/>
      <c r="CE123" s="585"/>
      <c r="CF123" s="585"/>
      <c r="CG123" s="584"/>
      <c r="CH123" s="585"/>
      <c r="CI123" s="585"/>
      <c r="CJ123" s="585"/>
      <c r="CK123" s="586"/>
      <c r="CL123" s="585"/>
      <c r="CM123" s="585"/>
      <c r="CN123" s="584"/>
      <c r="CO123" s="585"/>
      <c r="CP123" s="585"/>
      <c r="CQ123" s="585"/>
      <c r="CR123" s="586"/>
      <c r="CS123" s="585"/>
      <c r="CT123" s="585"/>
      <c r="CU123" s="584"/>
      <c r="CV123" s="585"/>
      <c r="CW123" s="585"/>
      <c r="CX123" s="585"/>
      <c r="CY123" s="586"/>
      <c r="CZ123" s="585"/>
      <c r="DA123" s="585"/>
      <c r="DB123" s="584"/>
      <c r="DC123" s="585"/>
      <c r="DD123" s="585"/>
      <c r="DE123" s="585"/>
      <c r="DF123" s="586"/>
      <c r="DG123" s="585"/>
      <c r="DH123" s="585"/>
      <c r="DI123" s="584"/>
      <c r="DJ123" s="585"/>
      <c r="DK123" s="585"/>
      <c r="DL123" s="585"/>
      <c r="DM123" s="586"/>
      <c r="DN123" s="585"/>
      <c r="DO123" s="585"/>
      <c r="DP123" s="584"/>
      <c r="DQ123" s="585"/>
      <c r="DR123" s="585"/>
      <c r="DS123" s="585"/>
      <c r="DT123" s="586"/>
      <c r="DU123" s="585"/>
      <c r="DV123" s="585"/>
      <c r="DW123" s="584"/>
      <c r="DX123" s="585"/>
      <c r="DY123" s="585"/>
      <c r="DZ123" s="585"/>
      <c r="EA123" s="586"/>
      <c r="EB123" s="585"/>
      <c r="EC123" s="585"/>
      <c r="ED123" s="584"/>
      <c r="EE123" s="585"/>
      <c r="EF123" s="585"/>
      <c r="EG123" s="585"/>
      <c r="EH123" s="586"/>
      <c r="EI123" s="585"/>
      <c r="EJ123" s="585"/>
      <c r="EK123" s="584"/>
      <c r="EL123" s="585"/>
      <c r="EM123" s="585"/>
      <c r="EN123" s="585"/>
      <c r="EO123" s="586"/>
      <c r="EP123" s="585"/>
      <c r="EQ123" s="585"/>
      <c r="ER123" s="584"/>
      <c r="ES123" s="585"/>
      <c r="ET123" s="585"/>
      <c r="EU123" s="585"/>
      <c r="EV123" s="586"/>
      <c r="EW123" s="585"/>
      <c r="EX123" s="585"/>
      <c r="EY123" s="584"/>
      <c r="EZ123" s="585"/>
      <c r="FA123" s="585"/>
      <c r="FB123" s="585"/>
      <c r="FC123" s="586"/>
      <c r="FD123" s="585"/>
      <c r="FE123" s="585"/>
      <c r="FF123" s="584"/>
      <c r="FG123" s="585"/>
      <c r="FH123" s="585"/>
      <c r="FI123" s="585"/>
      <c r="FJ123" s="586"/>
      <c r="FK123" s="585"/>
      <c r="FL123" s="585"/>
      <c r="FM123" s="584"/>
      <c r="FN123" s="585"/>
      <c r="FO123" s="585"/>
      <c r="FP123" s="585"/>
      <c r="FQ123" s="586"/>
      <c r="FR123" s="585"/>
      <c r="FS123" s="585"/>
      <c r="FT123" s="584"/>
      <c r="FU123" s="585"/>
      <c r="FV123" s="585"/>
      <c r="FW123" s="585"/>
      <c r="FX123" s="586"/>
      <c r="FY123" s="585"/>
      <c r="FZ123" s="585"/>
      <c r="GA123" s="584"/>
      <c r="GB123" s="585"/>
      <c r="GC123" s="585"/>
      <c r="GD123" s="585"/>
      <c r="GE123" s="586"/>
      <c r="GF123" s="585"/>
      <c r="GG123" s="585"/>
      <c r="GH123" s="584"/>
      <c r="GI123" s="585"/>
      <c r="GJ123" s="585"/>
      <c r="GK123" s="585"/>
      <c r="GL123" s="586"/>
      <c r="GM123" s="585"/>
      <c r="GN123" s="585"/>
      <c r="GO123" s="584"/>
      <c r="GP123" s="585"/>
      <c r="GQ123" s="585"/>
      <c r="GR123" s="585"/>
      <c r="GS123" s="586"/>
      <c r="GT123" s="585"/>
      <c r="GU123" s="585"/>
      <c r="GV123" s="584"/>
      <c r="GW123" s="585"/>
      <c r="GX123" s="585"/>
      <c r="GY123" s="585"/>
      <c r="GZ123" s="586"/>
      <c r="HA123" s="585"/>
      <c r="HB123" s="585"/>
      <c r="HC123" s="584"/>
      <c r="HD123" s="585"/>
      <c r="HE123" s="585"/>
      <c r="HF123" s="585"/>
      <c r="HG123" s="586"/>
      <c r="HH123" s="585"/>
      <c r="HI123" s="585"/>
      <c r="HJ123" s="584"/>
      <c r="HK123" s="585"/>
      <c r="HL123" s="585"/>
      <c r="HM123" s="585"/>
      <c r="HN123" s="586"/>
      <c r="HO123" s="585"/>
      <c r="HP123" s="585"/>
      <c r="HQ123" s="584"/>
      <c r="HR123" s="585"/>
      <c r="HS123" s="585"/>
      <c r="HT123" s="585"/>
      <c r="HU123" s="586"/>
      <c r="HV123" s="585"/>
      <c r="HW123" s="585"/>
      <c r="HX123" s="584"/>
      <c r="HY123" s="585"/>
      <c r="HZ123" s="585"/>
      <c r="IA123" s="585"/>
      <c r="IB123" s="586"/>
      <c r="IC123" s="585"/>
      <c r="ID123" s="585"/>
      <c r="IE123" s="584"/>
      <c r="IF123" s="585"/>
      <c r="IG123" s="585"/>
      <c r="IH123" s="585"/>
      <c r="II123" s="586"/>
      <c r="IJ123" s="585"/>
      <c r="IK123" s="585"/>
      <c r="IL123" s="584"/>
      <c r="IM123" s="585"/>
      <c r="IN123" s="585"/>
      <c r="IO123" s="585"/>
      <c r="IP123" s="586"/>
      <c r="IQ123" s="585"/>
      <c r="IR123" s="585"/>
      <c r="IS123" s="584"/>
      <c r="IT123" s="585"/>
      <c r="IU123" s="585"/>
      <c r="IV123" s="585"/>
    </row>
    <row r="124" spans="1:256" ht="12.75">
      <c r="A124" s="473" t="s">
        <v>269</v>
      </c>
      <c r="B124" s="507">
        <v>66</v>
      </c>
      <c r="C124" s="507"/>
      <c r="D124" s="507"/>
      <c r="E124" s="40"/>
      <c r="F124" s="40"/>
      <c r="G124" s="507"/>
      <c r="H124" s="587"/>
      <c r="I124" s="510"/>
      <c r="J124" s="510"/>
      <c r="K124" s="510"/>
      <c r="L124" s="588"/>
      <c r="M124" s="588"/>
      <c r="N124" s="510"/>
      <c r="O124" s="587"/>
      <c r="P124" s="510"/>
      <c r="Q124" s="510"/>
      <c r="R124" s="510"/>
      <c r="S124" s="588"/>
      <c r="T124" s="588"/>
      <c r="U124" s="510"/>
      <c r="V124" s="587"/>
      <c r="W124" s="510"/>
      <c r="X124" s="510"/>
      <c r="Y124" s="510"/>
      <c r="Z124" s="588"/>
      <c r="AA124" s="588"/>
      <c r="AB124" s="510"/>
      <c r="AC124" s="587"/>
      <c r="AD124" s="510"/>
      <c r="AE124" s="510"/>
      <c r="AF124" s="510"/>
      <c r="AG124" s="588"/>
      <c r="AH124" s="588"/>
      <c r="AI124" s="510"/>
      <c r="AJ124" s="587"/>
      <c r="AK124" s="510"/>
      <c r="AL124" s="510"/>
      <c r="AM124" s="510"/>
      <c r="AN124" s="588"/>
      <c r="AO124" s="588"/>
      <c r="AP124" s="510"/>
      <c r="AQ124" s="587"/>
      <c r="AR124" s="510"/>
      <c r="AS124" s="510"/>
      <c r="AT124" s="510"/>
      <c r="AU124" s="588"/>
      <c r="AV124" s="588"/>
      <c r="AW124" s="510"/>
      <c r="AX124" s="587"/>
      <c r="AY124" s="510"/>
      <c r="AZ124" s="510"/>
      <c r="BA124" s="510"/>
      <c r="BB124" s="588"/>
      <c r="BC124" s="588"/>
      <c r="BD124" s="510"/>
      <c r="BE124" s="587"/>
      <c r="BF124" s="510"/>
      <c r="BG124" s="510"/>
      <c r="BH124" s="510"/>
      <c r="BI124" s="588"/>
      <c r="BJ124" s="588"/>
      <c r="BK124" s="510"/>
      <c r="BL124" s="587"/>
      <c r="BM124" s="510"/>
      <c r="BN124" s="510"/>
      <c r="BO124" s="510"/>
      <c r="BP124" s="588"/>
      <c r="BQ124" s="588"/>
      <c r="BR124" s="510"/>
      <c r="BS124" s="587"/>
      <c r="BT124" s="510"/>
      <c r="BU124" s="510"/>
      <c r="BV124" s="510"/>
      <c r="BW124" s="588"/>
      <c r="BX124" s="588"/>
      <c r="BY124" s="510"/>
      <c r="BZ124" s="587"/>
      <c r="CA124" s="510"/>
      <c r="CB124" s="510"/>
      <c r="CC124" s="510"/>
      <c r="CD124" s="588"/>
      <c r="CE124" s="588"/>
      <c r="CF124" s="510"/>
      <c r="CG124" s="587"/>
      <c r="CH124" s="510"/>
      <c r="CI124" s="510"/>
      <c r="CJ124" s="510"/>
      <c r="CK124" s="588"/>
      <c r="CL124" s="588"/>
      <c r="CM124" s="510"/>
      <c r="CN124" s="587"/>
      <c r="CO124" s="510"/>
      <c r="CP124" s="510"/>
      <c r="CQ124" s="510"/>
      <c r="CR124" s="588"/>
      <c r="CS124" s="588"/>
      <c r="CT124" s="510"/>
      <c r="CU124" s="587"/>
      <c r="CV124" s="510"/>
      <c r="CW124" s="510"/>
      <c r="CX124" s="510"/>
      <c r="CY124" s="588"/>
      <c r="CZ124" s="588"/>
      <c r="DA124" s="510"/>
      <c r="DB124" s="587"/>
      <c r="DC124" s="510"/>
      <c r="DD124" s="510"/>
      <c r="DE124" s="510"/>
      <c r="DF124" s="588"/>
      <c r="DG124" s="588"/>
      <c r="DH124" s="510"/>
      <c r="DI124" s="587"/>
      <c r="DJ124" s="510"/>
      <c r="DK124" s="510"/>
      <c r="DL124" s="510"/>
      <c r="DM124" s="588"/>
      <c r="DN124" s="588"/>
      <c r="DO124" s="510"/>
      <c r="DP124" s="587"/>
      <c r="DQ124" s="510"/>
      <c r="DR124" s="510"/>
      <c r="DS124" s="510"/>
      <c r="DT124" s="588"/>
      <c r="DU124" s="588"/>
      <c r="DV124" s="510"/>
      <c r="DW124" s="587"/>
      <c r="DX124" s="510"/>
      <c r="DY124" s="510"/>
      <c r="DZ124" s="510"/>
      <c r="EA124" s="588"/>
      <c r="EB124" s="588"/>
      <c r="EC124" s="510"/>
      <c r="ED124" s="587"/>
      <c r="EE124" s="510"/>
      <c r="EF124" s="510"/>
      <c r="EG124" s="510"/>
      <c r="EH124" s="588"/>
      <c r="EI124" s="588"/>
      <c r="EJ124" s="510"/>
      <c r="EK124" s="587"/>
      <c r="EL124" s="510"/>
      <c r="EM124" s="510"/>
      <c r="EN124" s="510"/>
      <c r="EO124" s="588"/>
      <c r="EP124" s="588"/>
      <c r="EQ124" s="510"/>
      <c r="ER124" s="587"/>
      <c r="ES124" s="510"/>
      <c r="ET124" s="510"/>
      <c r="EU124" s="510"/>
      <c r="EV124" s="588"/>
      <c r="EW124" s="588"/>
      <c r="EX124" s="510"/>
      <c r="EY124" s="587"/>
      <c r="EZ124" s="510"/>
      <c r="FA124" s="510"/>
      <c r="FB124" s="510"/>
      <c r="FC124" s="588"/>
      <c r="FD124" s="588"/>
      <c r="FE124" s="510"/>
      <c r="FF124" s="587"/>
      <c r="FG124" s="510"/>
      <c r="FH124" s="510"/>
      <c r="FI124" s="510"/>
      <c r="FJ124" s="588"/>
      <c r="FK124" s="588"/>
      <c r="FL124" s="510"/>
      <c r="FM124" s="587"/>
      <c r="FN124" s="510"/>
      <c r="FO124" s="510"/>
      <c r="FP124" s="510"/>
      <c r="FQ124" s="588"/>
      <c r="FR124" s="588"/>
      <c r="FS124" s="510"/>
      <c r="FT124" s="587"/>
      <c r="FU124" s="510"/>
      <c r="FV124" s="510"/>
      <c r="FW124" s="510"/>
      <c r="FX124" s="588"/>
      <c r="FY124" s="588"/>
      <c r="FZ124" s="510"/>
      <c r="GA124" s="587"/>
      <c r="GB124" s="510"/>
      <c r="GC124" s="510"/>
      <c r="GD124" s="510"/>
      <c r="GE124" s="588"/>
      <c r="GF124" s="588"/>
      <c r="GG124" s="510"/>
      <c r="GH124" s="587"/>
      <c r="GI124" s="510"/>
      <c r="GJ124" s="510"/>
      <c r="GK124" s="510"/>
      <c r="GL124" s="588"/>
      <c r="GM124" s="588"/>
      <c r="GN124" s="510"/>
      <c r="GO124" s="587"/>
      <c r="GP124" s="510"/>
      <c r="GQ124" s="510"/>
      <c r="GR124" s="510"/>
      <c r="GS124" s="588"/>
      <c r="GT124" s="588"/>
      <c r="GU124" s="510"/>
      <c r="GV124" s="587"/>
      <c r="GW124" s="510"/>
      <c r="GX124" s="510"/>
      <c r="GY124" s="510"/>
      <c r="GZ124" s="588"/>
      <c r="HA124" s="588"/>
      <c r="HB124" s="510"/>
      <c r="HC124" s="587"/>
      <c r="HD124" s="510"/>
      <c r="HE124" s="510"/>
      <c r="HF124" s="510"/>
      <c r="HG124" s="588"/>
      <c r="HH124" s="588"/>
      <c r="HI124" s="510"/>
      <c r="HJ124" s="587"/>
      <c r="HK124" s="510"/>
      <c r="HL124" s="510"/>
      <c r="HM124" s="510"/>
      <c r="HN124" s="588"/>
      <c r="HO124" s="588"/>
      <c r="HP124" s="510"/>
      <c r="HQ124" s="587"/>
      <c r="HR124" s="510"/>
      <c r="HS124" s="510"/>
      <c r="HT124" s="510"/>
      <c r="HU124" s="588"/>
      <c r="HV124" s="588"/>
      <c r="HW124" s="510"/>
      <c r="HX124" s="587"/>
      <c r="HY124" s="510"/>
      <c r="HZ124" s="510"/>
      <c r="IA124" s="510"/>
      <c r="IB124" s="588"/>
      <c r="IC124" s="588"/>
      <c r="ID124" s="510"/>
      <c r="IE124" s="587"/>
      <c r="IF124" s="510"/>
      <c r="IG124" s="510"/>
      <c r="IH124" s="510"/>
      <c r="II124" s="588"/>
      <c r="IJ124" s="588"/>
      <c r="IK124" s="510"/>
      <c r="IL124" s="587"/>
      <c r="IM124" s="510"/>
      <c r="IN124" s="510"/>
      <c r="IO124" s="510"/>
      <c r="IP124" s="588"/>
      <c r="IQ124" s="588"/>
      <c r="IR124" s="510"/>
      <c r="IS124" s="587"/>
      <c r="IT124" s="510"/>
      <c r="IU124" s="510"/>
      <c r="IV124" s="510"/>
    </row>
    <row r="125" spans="1:256" ht="12.75">
      <c r="A125" s="505" t="s">
        <v>278</v>
      </c>
      <c r="B125" s="475">
        <v>7</v>
      </c>
      <c r="C125" s="475"/>
      <c r="D125" s="475"/>
      <c r="E125" s="506"/>
      <c r="F125" s="475"/>
      <c r="G125" s="475"/>
      <c r="H125" s="584"/>
      <c r="I125" s="585"/>
      <c r="J125" s="585"/>
      <c r="K125" s="585"/>
      <c r="L125" s="586"/>
      <c r="M125" s="585"/>
      <c r="N125" s="585"/>
      <c r="O125" s="584"/>
      <c r="P125" s="585"/>
      <c r="Q125" s="585"/>
      <c r="R125" s="585"/>
      <c r="S125" s="586"/>
      <c r="T125" s="585"/>
      <c r="U125" s="585"/>
      <c r="V125" s="584"/>
      <c r="W125" s="585"/>
      <c r="X125" s="585"/>
      <c r="Y125" s="585"/>
      <c r="Z125" s="586"/>
      <c r="AA125" s="585"/>
      <c r="AB125" s="585"/>
      <c r="AC125" s="584"/>
      <c r="AD125" s="585"/>
      <c r="AE125" s="585"/>
      <c r="AF125" s="585"/>
      <c r="AG125" s="586"/>
      <c r="AH125" s="585"/>
      <c r="AI125" s="585"/>
      <c r="AJ125" s="584"/>
      <c r="AK125" s="585"/>
      <c r="AL125" s="585"/>
      <c r="AM125" s="585"/>
      <c r="AN125" s="586"/>
      <c r="AO125" s="585"/>
      <c r="AP125" s="585"/>
      <c r="AQ125" s="584"/>
      <c r="AR125" s="585"/>
      <c r="AS125" s="585"/>
      <c r="AT125" s="585"/>
      <c r="AU125" s="586"/>
      <c r="AV125" s="585"/>
      <c r="AW125" s="585"/>
      <c r="AX125" s="584"/>
      <c r="AY125" s="585"/>
      <c r="AZ125" s="585"/>
      <c r="BA125" s="585"/>
      <c r="BB125" s="586"/>
      <c r="BC125" s="585"/>
      <c r="BD125" s="585"/>
      <c r="BE125" s="584"/>
      <c r="BF125" s="585"/>
      <c r="BG125" s="585"/>
      <c r="BH125" s="585"/>
      <c r="BI125" s="586"/>
      <c r="BJ125" s="585"/>
      <c r="BK125" s="585"/>
      <c r="BL125" s="584"/>
      <c r="BM125" s="585"/>
      <c r="BN125" s="585"/>
      <c r="BO125" s="585"/>
      <c r="BP125" s="586"/>
      <c r="BQ125" s="585"/>
      <c r="BR125" s="585"/>
      <c r="BS125" s="584"/>
      <c r="BT125" s="585"/>
      <c r="BU125" s="585"/>
      <c r="BV125" s="585"/>
      <c r="BW125" s="586"/>
      <c r="BX125" s="585"/>
      <c r="BY125" s="585"/>
      <c r="BZ125" s="584"/>
      <c r="CA125" s="585"/>
      <c r="CB125" s="585"/>
      <c r="CC125" s="585"/>
      <c r="CD125" s="586"/>
      <c r="CE125" s="585"/>
      <c r="CF125" s="585"/>
      <c r="CG125" s="584"/>
      <c r="CH125" s="585"/>
      <c r="CI125" s="585"/>
      <c r="CJ125" s="585"/>
      <c r="CK125" s="586"/>
      <c r="CL125" s="585"/>
      <c r="CM125" s="585"/>
      <c r="CN125" s="584"/>
      <c r="CO125" s="585"/>
      <c r="CP125" s="585"/>
      <c r="CQ125" s="585"/>
      <c r="CR125" s="586"/>
      <c r="CS125" s="585"/>
      <c r="CT125" s="585"/>
      <c r="CU125" s="584"/>
      <c r="CV125" s="585"/>
      <c r="CW125" s="585"/>
      <c r="CX125" s="585"/>
      <c r="CY125" s="586"/>
      <c r="CZ125" s="585"/>
      <c r="DA125" s="585"/>
      <c r="DB125" s="584"/>
      <c r="DC125" s="585"/>
      <c r="DD125" s="585"/>
      <c r="DE125" s="585"/>
      <c r="DF125" s="586"/>
      <c r="DG125" s="585"/>
      <c r="DH125" s="585"/>
      <c r="DI125" s="584"/>
      <c r="DJ125" s="585"/>
      <c r="DK125" s="585"/>
      <c r="DL125" s="585"/>
      <c r="DM125" s="586"/>
      <c r="DN125" s="585"/>
      <c r="DO125" s="585"/>
      <c r="DP125" s="584"/>
      <c r="DQ125" s="585"/>
      <c r="DR125" s="585"/>
      <c r="DS125" s="585"/>
      <c r="DT125" s="586"/>
      <c r="DU125" s="585"/>
      <c r="DV125" s="585"/>
      <c r="DW125" s="584"/>
      <c r="DX125" s="585"/>
      <c r="DY125" s="585"/>
      <c r="DZ125" s="585"/>
      <c r="EA125" s="586"/>
      <c r="EB125" s="585"/>
      <c r="EC125" s="585"/>
      <c r="ED125" s="584"/>
      <c r="EE125" s="585"/>
      <c r="EF125" s="585"/>
      <c r="EG125" s="585"/>
      <c r="EH125" s="586"/>
      <c r="EI125" s="585"/>
      <c r="EJ125" s="585"/>
      <c r="EK125" s="584"/>
      <c r="EL125" s="585"/>
      <c r="EM125" s="585"/>
      <c r="EN125" s="585"/>
      <c r="EO125" s="586"/>
      <c r="EP125" s="585"/>
      <c r="EQ125" s="585"/>
      <c r="ER125" s="584"/>
      <c r="ES125" s="585"/>
      <c r="ET125" s="585"/>
      <c r="EU125" s="585"/>
      <c r="EV125" s="586"/>
      <c r="EW125" s="585"/>
      <c r="EX125" s="585"/>
      <c r="EY125" s="584"/>
      <c r="EZ125" s="585"/>
      <c r="FA125" s="585"/>
      <c r="FB125" s="585"/>
      <c r="FC125" s="586"/>
      <c r="FD125" s="585"/>
      <c r="FE125" s="585"/>
      <c r="FF125" s="584"/>
      <c r="FG125" s="585"/>
      <c r="FH125" s="585"/>
      <c r="FI125" s="585"/>
      <c r="FJ125" s="586"/>
      <c r="FK125" s="585"/>
      <c r="FL125" s="585"/>
      <c r="FM125" s="584"/>
      <c r="FN125" s="585"/>
      <c r="FO125" s="585"/>
      <c r="FP125" s="585"/>
      <c r="FQ125" s="586"/>
      <c r="FR125" s="585"/>
      <c r="FS125" s="585"/>
      <c r="FT125" s="584"/>
      <c r="FU125" s="585"/>
      <c r="FV125" s="585"/>
      <c r="FW125" s="585"/>
      <c r="FX125" s="586"/>
      <c r="FY125" s="585"/>
      <c r="FZ125" s="585"/>
      <c r="GA125" s="584"/>
      <c r="GB125" s="585"/>
      <c r="GC125" s="585"/>
      <c r="GD125" s="585"/>
      <c r="GE125" s="586"/>
      <c r="GF125" s="585"/>
      <c r="GG125" s="585"/>
      <c r="GH125" s="584"/>
      <c r="GI125" s="585"/>
      <c r="GJ125" s="585"/>
      <c r="GK125" s="585"/>
      <c r="GL125" s="586"/>
      <c r="GM125" s="585"/>
      <c r="GN125" s="585"/>
      <c r="GO125" s="584"/>
      <c r="GP125" s="585"/>
      <c r="GQ125" s="585"/>
      <c r="GR125" s="585"/>
      <c r="GS125" s="586"/>
      <c r="GT125" s="585"/>
      <c r="GU125" s="585"/>
      <c r="GV125" s="584"/>
      <c r="GW125" s="585"/>
      <c r="GX125" s="585"/>
      <c r="GY125" s="585"/>
      <c r="GZ125" s="586"/>
      <c r="HA125" s="585"/>
      <c r="HB125" s="585"/>
      <c r="HC125" s="584"/>
      <c r="HD125" s="585"/>
      <c r="HE125" s="585"/>
      <c r="HF125" s="585"/>
      <c r="HG125" s="586"/>
      <c r="HH125" s="585"/>
      <c r="HI125" s="585"/>
      <c r="HJ125" s="584"/>
      <c r="HK125" s="585"/>
      <c r="HL125" s="585"/>
      <c r="HM125" s="585"/>
      <c r="HN125" s="586"/>
      <c r="HO125" s="585"/>
      <c r="HP125" s="585"/>
      <c r="HQ125" s="584"/>
      <c r="HR125" s="585"/>
      <c r="HS125" s="585"/>
      <c r="HT125" s="585"/>
      <c r="HU125" s="586"/>
      <c r="HV125" s="585"/>
      <c r="HW125" s="585"/>
      <c r="HX125" s="584"/>
      <c r="HY125" s="585"/>
      <c r="HZ125" s="585"/>
      <c r="IA125" s="585"/>
      <c r="IB125" s="586"/>
      <c r="IC125" s="585"/>
      <c r="ID125" s="585"/>
      <c r="IE125" s="584"/>
      <c r="IF125" s="585"/>
      <c r="IG125" s="585"/>
      <c r="IH125" s="585"/>
      <c r="II125" s="586"/>
      <c r="IJ125" s="585"/>
      <c r="IK125" s="585"/>
      <c r="IL125" s="584"/>
      <c r="IM125" s="585"/>
      <c r="IN125" s="585"/>
      <c r="IO125" s="585"/>
      <c r="IP125" s="586"/>
      <c r="IQ125" s="585"/>
      <c r="IR125" s="585"/>
      <c r="IS125" s="584"/>
      <c r="IT125" s="585"/>
      <c r="IU125" s="585"/>
      <c r="IV125" s="585"/>
    </row>
    <row r="126" spans="1:256" ht="12.75">
      <c r="A126" s="473" t="s">
        <v>269</v>
      </c>
      <c r="B126" s="507">
        <v>7</v>
      </c>
      <c r="C126" s="507"/>
      <c r="D126" s="507"/>
      <c r="E126" s="40"/>
      <c r="F126" s="40"/>
      <c r="G126" s="507"/>
      <c r="H126" s="587"/>
      <c r="I126" s="510"/>
      <c r="J126" s="510"/>
      <c r="K126" s="510"/>
      <c r="L126" s="588"/>
      <c r="M126" s="588"/>
      <c r="N126" s="510"/>
      <c r="O126" s="587"/>
      <c r="P126" s="510"/>
      <c r="Q126" s="510"/>
      <c r="R126" s="510"/>
      <c r="S126" s="588"/>
      <c r="T126" s="588"/>
      <c r="U126" s="510"/>
      <c r="V126" s="587"/>
      <c r="W126" s="510"/>
      <c r="X126" s="510"/>
      <c r="Y126" s="510"/>
      <c r="Z126" s="588"/>
      <c r="AA126" s="588"/>
      <c r="AB126" s="510"/>
      <c r="AC126" s="587"/>
      <c r="AD126" s="510"/>
      <c r="AE126" s="510"/>
      <c r="AF126" s="510"/>
      <c r="AG126" s="588"/>
      <c r="AH126" s="588"/>
      <c r="AI126" s="510"/>
      <c r="AJ126" s="587"/>
      <c r="AK126" s="510"/>
      <c r="AL126" s="510"/>
      <c r="AM126" s="510"/>
      <c r="AN126" s="588"/>
      <c r="AO126" s="588"/>
      <c r="AP126" s="510"/>
      <c r="AQ126" s="587"/>
      <c r="AR126" s="510"/>
      <c r="AS126" s="510"/>
      <c r="AT126" s="510"/>
      <c r="AU126" s="588"/>
      <c r="AV126" s="588"/>
      <c r="AW126" s="510"/>
      <c r="AX126" s="587"/>
      <c r="AY126" s="510"/>
      <c r="AZ126" s="510"/>
      <c r="BA126" s="510"/>
      <c r="BB126" s="588"/>
      <c r="BC126" s="588"/>
      <c r="BD126" s="510"/>
      <c r="BE126" s="587"/>
      <c r="BF126" s="510"/>
      <c r="BG126" s="510"/>
      <c r="BH126" s="510"/>
      <c r="BI126" s="588"/>
      <c r="BJ126" s="588"/>
      <c r="BK126" s="510"/>
      <c r="BL126" s="587"/>
      <c r="BM126" s="510"/>
      <c r="BN126" s="510"/>
      <c r="BO126" s="510"/>
      <c r="BP126" s="588"/>
      <c r="BQ126" s="588"/>
      <c r="BR126" s="510"/>
      <c r="BS126" s="587"/>
      <c r="BT126" s="510"/>
      <c r="BU126" s="510"/>
      <c r="BV126" s="510"/>
      <c r="BW126" s="588"/>
      <c r="BX126" s="588"/>
      <c r="BY126" s="510"/>
      <c r="BZ126" s="587"/>
      <c r="CA126" s="510"/>
      <c r="CB126" s="510"/>
      <c r="CC126" s="510"/>
      <c r="CD126" s="588"/>
      <c r="CE126" s="588"/>
      <c r="CF126" s="510"/>
      <c r="CG126" s="587"/>
      <c r="CH126" s="510"/>
      <c r="CI126" s="510"/>
      <c r="CJ126" s="510"/>
      <c r="CK126" s="588"/>
      <c r="CL126" s="588"/>
      <c r="CM126" s="510"/>
      <c r="CN126" s="587"/>
      <c r="CO126" s="510"/>
      <c r="CP126" s="510"/>
      <c r="CQ126" s="510"/>
      <c r="CR126" s="588"/>
      <c r="CS126" s="588"/>
      <c r="CT126" s="510"/>
      <c r="CU126" s="587"/>
      <c r="CV126" s="510"/>
      <c r="CW126" s="510"/>
      <c r="CX126" s="510"/>
      <c r="CY126" s="588"/>
      <c r="CZ126" s="588"/>
      <c r="DA126" s="510"/>
      <c r="DB126" s="587"/>
      <c r="DC126" s="510"/>
      <c r="DD126" s="510"/>
      <c r="DE126" s="510"/>
      <c r="DF126" s="588"/>
      <c r="DG126" s="588"/>
      <c r="DH126" s="510"/>
      <c r="DI126" s="587"/>
      <c r="DJ126" s="510"/>
      <c r="DK126" s="510"/>
      <c r="DL126" s="510"/>
      <c r="DM126" s="588"/>
      <c r="DN126" s="588"/>
      <c r="DO126" s="510"/>
      <c r="DP126" s="587"/>
      <c r="DQ126" s="510"/>
      <c r="DR126" s="510"/>
      <c r="DS126" s="510"/>
      <c r="DT126" s="588"/>
      <c r="DU126" s="588"/>
      <c r="DV126" s="510"/>
      <c r="DW126" s="587"/>
      <c r="DX126" s="510"/>
      <c r="DY126" s="510"/>
      <c r="DZ126" s="510"/>
      <c r="EA126" s="588"/>
      <c r="EB126" s="588"/>
      <c r="EC126" s="510"/>
      <c r="ED126" s="587"/>
      <c r="EE126" s="510"/>
      <c r="EF126" s="510"/>
      <c r="EG126" s="510"/>
      <c r="EH126" s="588"/>
      <c r="EI126" s="588"/>
      <c r="EJ126" s="510"/>
      <c r="EK126" s="587"/>
      <c r="EL126" s="510"/>
      <c r="EM126" s="510"/>
      <c r="EN126" s="510"/>
      <c r="EO126" s="588"/>
      <c r="EP126" s="588"/>
      <c r="EQ126" s="510"/>
      <c r="ER126" s="587"/>
      <c r="ES126" s="510"/>
      <c r="ET126" s="510"/>
      <c r="EU126" s="510"/>
      <c r="EV126" s="588"/>
      <c r="EW126" s="588"/>
      <c r="EX126" s="510"/>
      <c r="EY126" s="587"/>
      <c r="EZ126" s="510"/>
      <c r="FA126" s="510"/>
      <c r="FB126" s="510"/>
      <c r="FC126" s="588"/>
      <c r="FD126" s="588"/>
      <c r="FE126" s="510"/>
      <c r="FF126" s="587"/>
      <c r="FG126" s="510"/>
      <c r="FH126" s="510"/>
      <c r="FI126" s="510"/>
      <c r="FJ126" s="588"/>
      <c r="FK126" s="588"/>
      <c r="FL126" s="510"/>
      <c r="FM126" s="587"/>
      <c r="FN126" s="510"/>
      <c r="FO126" s="510"/>
      <c r="FP126" s="510"/>
      <c r="FQ126" s="588"/>
      <c r="FR126" s="588"/>
      <c r="FS126" s="510"/>
      <c r="FT126" s="587"/>
      <c r="FU126" s="510"/>
      <c r="FV126" s="510"/>
      <c r="FW126" s="510"/>
      <c r="FX126" s="588"/>
      <c r="FY126" s="588"/>
      <c r="FZ126" s="510"/>
      <c r="GA126" s="587"/>
      <c r="GB126" s="510"/>
      <c r="GC126" s="510"/>
      <c r="GD126" s="510"/>
      <c r="GE126" s="588"/>
      <c r="GF126" s="588"/>
      <c r="GG126" s="510"/>
      <c r="GH126" s="587"/>
      <c r="GI126" s="510"/>
      <c r="GJ126" s="510"/>
      <c r="GK126" s="510"/>
      <c r="GL126" s="588"/>
      <c r="GM126" s="588"/>
      <c r="GN126" s="510"/>
      <c r="GO126" s="587"/>
      <c r="GP126" s="510"/>
      <c r="GQ126" s="510"/>
      <c r="GR126" s="510"/>
      <c r="GS126" s="588"/>
      <c r="GT126" s="588"/>
      <c r="GU126" s="510"/>
      <c r="GV126" s="587"/>
      <c r="GW126" s="510"/>
      <c r="GX126" s="510"/>
      <c r="GY126" s="510"/>
      <c r="GZ126" s="588"/>
      <c r="HA126" s="588"/>
      <c r="HB126" s="510"/>
      <c r="HC126" s="587"/>
      <c r="HD126" s="510"/>
      <c r="HE126" s="510"/>
      <c r="HF126" s="510"/>
      <c r="HG126" s="588"/>
      <c r="HH126" s="588"/>
      <c r="HI126" s="510"/>
      <c r="HJ126" s="587"/>
      <c r="HK126" s="510"/>
      <c r="HL126" s="510"/>
      <c r="HM126" s="510"/>
      <c r="HN126" s="588"/>
      <c r="HO126" s="588"/>
      <c r="HP126" s="510"/>
      <c r="HQ126" s="587"/>
      <c r="HR126" s="510"/>
      <c r="HS126" s="510"/>
      <c r="HT126" s="510"/>
      <c r="HU126" s="588"/>
      <c r="HV126" s="588"/>
      <c r="HW126" s="510"/>
      <c r="HX126" s="587"/>
      <c r="HY126" s="510"/>
      <c r="HZ126" s="510"/>
      <c r="IA126" s="510"/>
      <c r="IB126" s="588"/>
      <c r="IC126" s="588"/>
      <c r="ID126" s="510"/>
      <c r="IE126" s="587"/>
      <c r="IF126" s="510"/>
      <c r="IG126" s="510"/>
      <c r="IH126" s="510"/>
      <c r="II126" s="588"/>
      <c r="IJ126" s="588"/>
      <c r="IK126" s="510"/>
      <c r="IL126" s="587"/>
      <c r="IM126" s="510"/>
      <c r="IN126" s="510"/>
      <c r="IO126" s="510"/>
      <c r="IP126" s="588"/>
      <c r="IQ126" s="588"/>
      <c r="IR126" s="510"/>
      <c r="IS126" s="587"/>
      <c r="IT126" s="510"/>
      <c r="IU126" s="510"/>
      <c r="IV126" s="510"/>
    </row>
    <row r="127" spans="1:256" ht="12.75">
      <c r="A127" s="504" t="s">
        <v>279</v>
      </c>
      <c r="B127" s="594" t="s">
        <v>772</v>
      </c>
      <c r="C127" s="594" t="s">
        <v>772</v>
      </c>
      <c r="D127" s="475"/>
      <c r="E127" s="594" t="s">
        <v>772</v>
      </c>
      <c r="F127" s="594" t="s">
        <v>772</v>
      </c>
      <c r="G127" s="503"/>
      <c r="H127" s="577"/>
      <c r="I127" s="592"/>
      <c r="J127" s="592"/>
      <c r="K127" s="422"/>
      <c r="L127" s="592"/>
      <c r="M127" s="592"/>
      <c r="N127" s="422"/>
      <c r="O127" s="577"/>
      <c r="P127" s="592"/>
      <c r="Q127" s="592"/>
      <c r="R127" s="422"/>
      <c r="S127" s="592"/>
      <c r="T127" s="592"/>
      <c r="U127" s="422"/>
      <c r="V127" s="577"/>
      <c r="W127" s="592"/>
      <c r="X127" s="592"/>
      <c r="Y127" s="422"/>
      <c r="Z127" s="592"/>
      <c r="AA127" s="592"/>
      <c r="AB127" s="422"/>
      <c r="AC127" s="577"/>
      <c r="AD127" s="592"/>
      <c r="AE127" s="592"/>
      <c r="AF127" s="422"/>
      <c r="AG127" s="592"/>
      <c r="AH127" s="592"/>
      <c r="AI127" s="422"/>
      <c r="AJ127" s="577"/>
      <c r="AK127" s="592"/>
      <c r="AL127" s="592"/>
      <c r="AM127" s="422"/>
      <c r="AN127" s="592"/>
      <c r="AO127" s="592"/>
      <c r="AP127" s="422"/>
      <c r="AQ127" s="577"/>
      <c r="AR127" s="592"/>
      <c r="AS127" s="592"/>
      <c r="AT127" s="422"/>
      <c r="AU127" s="592"/>
      <c r="AV127" s="592"/>
      <c r="AW127" s="422"/>
      <c r="AX127" s="577"/>
      <c r="AY127" s="592"/>
      <c r="AZ127" s="592"/>
      <c r="BA127" s="422"/>
      <c r="BB127" s="592"/>
      <c r="BC127" s="592"/>
      <c r="BD127" s="422"/>
      <c r="BE127" s="577"/>
      <c r="BF127" s="592"/>
      <c r="BG127" s="592"/>
      <c r="BH127" s="422"/>
      <c r="BI127" s="592"/>
      <c r="BJ127" s="592"/>
      <c r="BK127" s="422"/>
      <c r="BL127" s="577"/>
      <c r="BM127" s="592"/>
      <c r="BN127" s="592"/>
      <c r="BO127" s="422"/>
      <c r="BP127" s="592"/>
      <c r="BQ127" s="592"/>
      <c r="BR127" s="422"/>
      <c r="BS127" s="577"/>
      <c r="BT127" s="592"/>
      <c r="BU127" s="592"/>
      <c r="BV127" s="422"/>
      <c r="BW127" s="592"/>
      <c r="BX127" s="592"/>
      <c r="BY127" s="422"/>
      <c r="BZ127" s="577"/>
      <c r="CA127" s="592"/>
      <c r="CB127" s="592"/>
      <c r="CC127" s="422"/>
      <c r="CD127" s="592"/>
      <c r="CE127" s="592"/>
      <c r="CF127" s="422"/>
      <c r="CG127" s="577"/>
      <c r="CH127" s="592"/>
      <c r="CI127" s="592"/>
      <c r="CJ127" s="422"/>
      <c r="CK127" s="592"/>
      <c r="CL127" s="592"/>
      <c r="CM127" s="422"/>
      <c r="CN127" s="577"/>
      <c r="CO127" s="592"/>
      <c r="CP127" s="592"/>
      <c r="CQ127" s="422"/>
      <c r="CR127" s="592"/>
      <c r="CS127" s="592"/>
      <c r="CT127" s="422"/>
      <c r="CU127" s="577"/>
      <c r="CV127" s="592"/>
      <c r="CW127" s="592"/>
      <c r="CX127" s="422"/>
      <c r="CY127" s="592"/>
      <c r="CZ127" s="592"/>
      <c r="DA127" s="422"/>
      <c r="DB127" s="577"/>
      <c r="DC127" s="592"/>
      <c r="DD127" s="592"/>
      <c r="DE127" s="422"/>
      <c r="DF127" s="592"/>
      <c r="DG127" s="592"/>
      <c r="DH127" s="422"/>
      <c r="DI127" s="577"/>
      <c r="DJ127" s="592"/>
      <c r="DK127" s="592"/>
      <c r="DL127" s="422"/>
      <c r="DM127" s="592"/>
      <c r="DN127" s="592"/>
      <c r="DO127" s="422"/>
      <c r="DP127" s="577"/>
      <c r="DQ127" s="592"/>
      <c r="DR127" s="592"/>
      <c r="DS127" s="422"/>
      <c r="DT127" s="592"/>
      <c r="DU127" s="592"/>
      <c r="DV127" s="422"/>
      <c r="DW127" s="577"/>
      <c r="DX127" s="592"/>
      <c r="DY127" s="592"/>
      <c r="DZ127" s="422"/>
      <c r="EA127" s="592"/>
      <c r="EB127" s="592"/>
      <c r="EC127" s="422"/>
      <c r="ED127" s="577"/>
      <c r="EE127" s="592"/>
      <c r="EF127" s="592"/>
      <c r="EG127" s="422"/>
      <c r="EH127" s="592"/>
      <c r="EI127" s="592"/>
      <c r="EJ127" s="422"/>
      <c r="EK127" s="577"/>
      <c r="EL127" s="592"/>
      <c r="EM127" s="592"/>
      <c r="EN127" s="422"/>
      <c r="EO127" s="592"/>
      <c r="EP127" s="592"/>
      <c r="EQ127" s="422"/>
      <c r="ER127" s="577"/>
      <c r="ES127" s="592"/>
      <c r="ET127" s="592"/>
      <c r="EU127" s="422"/>
      <c r="EV127" s="592"/>
      <c r="EW127" s="592"/>
      <c r="EX127" s="422"/>
      <c r="EY127" s="577"/>
      <c r="EZ127" s="592"/>
      <c r="FA127" s="592"/>
      <c r="FB127" s="422"/>
      <c r="FC127" s="592"/>
      <c r="FD127" s="592"/>
      <c r="FE127" s="422"/>
      <c r="FF127" s="577"/>
      <c r="FG127" s="592"/>
      <c r="FH127" s="592"/>
      <c r="FI127" s="422"/>
      <c r="FJ127" s="592"/>
      <c r="FK127" s="592"/>
      <c r="FL127" s="422"/>
      <c r="FM127" s="577"/>
      <c r="FN127" s="592"/>
      <c r="FO127" s="592"/>
      <c r="FP127" s="422"/>
      <c r="FQ127" s="592"/>
      <c r="FR127" s="592"/>
      <c r="FS127" s="422"/>
      <c r="FT127" s="577"/>
      <c r="FU127" s="592"/>
      <c r="FV127" s="592"/>
      <c r="FW127" s="422"/>
      <c r="FX127" s="592"/>
      <c r="FY127" s="592"/>
      <c r="FZ127" s="422"/>
      <c r="GA127" s="577"/>
      <c r="GB127" s="592"/>
      <c r="GC127" s="592"/>
      <c r="GD127" s="422"/>
      <c r="GE127" s="592"/>
      <c r="GF127" s="592"/>
      <c r="GG127" s="422"/>
      <c r="GH127" s="577"/>
      <c r="GI127" s="592"/>
      <c r="GJ127" s="592"/>
      <c r="GK127" s="422"/>
      <c r="GL127" s="592"/>
      <c r="GM127" s="592"/>
      <c r="GN127" s="422"/>
      <c r="GO127" s="577"/>
      <c r="GP127" s="592"/>
      <c r="GQ127" s="592"/>
      <c r="GR127" s="422"/>
      <c r="GS127" s="592"/>
      <c r="GT127" s="592"/>
      <c r="GU127" s="422"/>
      <c r="GV127" s="577"/>
      <c r="GW127" s="592"/>
      <c r="GX127" s="592"/>
      <c r="GY127" s="422"/>
      <c r="GZ127" s="592"/>
      <c r="HA127" s="592"/>
      <c r="HB127" s="422"/>
      <c r="HC127" s="577"/>
      <c r="HD127" s="592"/>
      <c r="HE127" s="592"/>
      <c r="HF127" s="422"/>
      <c r="HG127" s="592"/>
      <c r="HH127" s="592"/>
      <c r="HI127" s="422"/>
      <c r="HJ127" s="577"/>
      <c r="HK127" s="592"/>
      <c r="HL127" s="592"/>
      <c r="HM127" s="422"/>
      <c r="HN127" s="592"/>
      <c r="HO127" s="592"/>
      <c r="HP127" s="422"/>
      <c r="HQ127" s="577"/>
      <c r="HR127" s="592"/>
      <c r="HS127" s="592"/>
      <c r="HT127" s="422"/>
      <c r="HU127" s="592"/>
      <c r="HV127" s="592"/>
      <c r="HW127" s="422"/>
      <c r="HX127" s="577"/>
      <c r="HY127" s="592"/>
      <c r="HZ127" s="592"/>
      <c r="IA127" s="422"/>
      <c r="IB127" s="592"/>
      <c r="IC127" s="592"/>
      <c r="ID127" s="422"/>
      <c r="IE127" s="577"/>
      <c r="IF127" s="592"/>
      <c r="IG127" s="592"/>
      <c r="IH127" s="422"/>
      <c r="II127" s="592"/>
      <c r="IJ127" s="592"/>
      <c r="IK127" s="422"/>
      <c r="IL127" s="577"/>
      <c r="IM127" s="592"/>
      <c r="IN127" s="592"/>
      <c r="IO127" s="422"/>
      <c r="IP127" s="592"/>
      <c r="IQ127" s="592"/>
      <c r="IR127" s="422"/>
      <c r="IS127" s="577"/>
      <c r="IT127" s="592"/>
      <c r="IU127" s="592"/>
      <c r="IV127" s="422"/>
    </row>
    <row r="128" spans="1:256" ht="12.75">
      <c r="A128" s="473" t="s">
        <v>269</v>
      </c>
      <c r="B128" s="512" t="s">
        <v>772</v>
      </c>
      <c r="C128" s="512" t="s">
        <v>772</v>
      </c>
      <c r="D128" s="507"/>
      <c r="E128" s="512" t="s">
        <v>772</v>
      </c>
      <c r="F128" s="512" t="s">
        <v>772</v>
      </c>
      <c r="G128" s="507"/>
      <c r="H128" s="587"/>
      <c r="I128" s="593"/>
      <c r="J128" s="593"/>
      <c r="K128" s="510"/>
      <c r="L128" s="593"/>
      <c r="M128" s="593"/>
      <c r="N128" s="510"/>
      <c r="O128" s="587"/>
      <c r="P128" s="593"/>
      <c r="Q128" s="593"/>
      <c r="R128" s="510"/>
      <c r="S128" s="593"/>
      <c r="T128" s="593"/>
      <c r="U128" s="510"/>
      <c r="V128" s="587"/>
      <c r="W128" s="593"/>
      <c r="X128" s="593"/>
      <c r="Y128" s="510"/>
      <c r="Z128" s="593"/>
      <c r="AA128" s="593"/>
      <c r="AB128" s="510"/>
      <c r="AC128" s="587"/>
      <c r="AD128" s="593"/>
      <c r="AE128" s="593"/>
      <c r="AF128" s="510"/>
      <c r="AG128" s="593"/>
      <c r="AH128" s="593"/>
      <c r="AI128" s="510"/>
      <c r="AJ128" s="587"/>
      <c r="AK128" s="593"/>
      <c r="AL128" s="593"/>
      <c r="AM128" s="510"/>
      <c r="AN128" s="593"/>
      <c r="AO128" s="593"/>
      <c r="AP128" s="510"/>
      <c r="AQ128" s="587"/>
      <c r="AR128" s="593"/>
      <c r="AS128" s="593"/>
      <c r="AT128" s="510"/>
      <c r="AU128" s="593"/>
      <c r="AV128" s="593"/>
      <c r="AW128" s="510"/>
      <c r="AX128" s="587"/>
      <c r="AY128" s="593"/>
      <c r="AZ128" s="593"/>
      <c r="BA128" s="510"/>
      <c r="BB128" s="593"/>
      <c r="BC128" s="593"/>
      <c r="BD128" s="510"/>
      <c r="BE128" s="587"/>
      <c r="BF128" s="593"/>
      <c r="BG128" s="593"/>
      <c r="BH128" s="510"/>
      <c r="BI128" s="593"/>
      <c r="BJ128" s="593"/>
      <c r="BK128" s="510"/>
      <c r="BL128" s="587"/>
      <c r="BM128" s="593"/>
      <c r="BN128" s="593"/>
      <c r="BO128" s="510"/>
      <c r="BP128" s="593"/>
      <c r="BQ128" s="593"/>
      <c r="BR128" s="510"/>
      <c r="BS128" s="587"/>
      <c r="BT128" s="593"/>
      <c r="BU128" s="593"/>
      <c r="BV128" s="510"/>
      <c r="BW128" s="593"/>
      <c r="BX128" s="593"/>
      <c r="BY128" s="510"/>
      <c r="BZ128" s="587"/>
      <c r="CA128" s="593"/>
      <c r="CB128" s="593"/>
      <c r="CC128" s="510"/>
      <c r="CD128" s="593"/>
      <c r="CE128" s="593"/>
      <c r="CF128" s="510"/>
      <c r="CG128" s="587"/>
      <c r="CH128" s="593"/>
      <c r="CI128" s="593"/>
      <c r="CJ128" s="510"/>
      <c r="CK128" s="593"/>
      <c r="CL128" s="593"/>
      <c r="CM128" s="510"/>
      <c r="CN128" s="587"/>
      <c r="CO128" s="593"/>
      <c r="CP128" s="593"/>
      <c r="CQ128" s="510"/>
      <c r="CR128" s="593"/>
      <c r="CS128" s="593"/>
      <c r="CT128" s="510"/>
      <c r="CU128" s="587"/>
      <c r="CV128" s="593"/>
      <c r="CW128" s="593"/>
      <c r="CX128" s="510"/>
      <c r="CY128" s="593"/>
      <c r="CZ128" s="593"/>
      <c r="DA128" s="510"/>
      <c r="DB128" s="587"/>
      <c r="DC128" s="593"/>
      <c r="DD128" s="593"/>
      <c r="DE128" s="510"/>
      <c r="DF128" s="593"/>
      <c r="DG128" s="593"/>
      <c r="DH128" s="510"/>
      <c r="DI128" s="587"/>
      <c r="DJ128" s="593"/>
      <c r="DK128" s="593"/>
      <c r="DL128" s="510"/>
      <c r="DM128" s="593"/>
      <c r="DN128" s="593"/>
      <c r="DO128" s="510"/>
      <c r="DP128" s="587"/>
      <c r="DQ128" s="593"/>
      <c r="DR128" s="593"/>
      <c r="DS128" s="510"/>
      <c r="DT128" s="593"/>
      <c r="DU128" s="593"/>
      <c r="DV128" s="510"/>
      <c r="DW128" s="587"/>
      <c r="DX128" s="593"/>
      <c r="DY128" s="593"/>
      <c r="DZ128" s="510"/>
      <c r="EA128" s="593"/>
      <c r="EB128" s="593"/>
      <c r="EC128" s="510"/>
      <c r="ED128" s="587"/>
      <c r="EE128" s="593"/>
      <c r="EF128" s="593"/>
      <c r="EG128" s="510"/>
      <c r="EH128" s="593"/>
      <c r="EI128" s="593"/>
      <c r="EJ128" s="510"/>
      <c r="EK128" s="587"/>
      <c r="EL128" s="593"/>
      <c r="EM128" s="593"/>
      <c r="EN128" s="510"/>
      <c r="EO128" s="593"/>
      <c r="EP128" s="593"/>
      <c r="EQ128" s="510"/>
      <c r="ER128" s="587"/>
      <c r="ES128" s="593"/>
      <c r="ET128" s="593"/>
      <c r="EU128" s="510"/>
      <c r="EV128" s="593"/>
      <c r="EW128" s="593"/>
      <c r="EX128" s="510"/>
      <c r="EY128" s="587"/>
      <c r="EZ128" s="593"/>
      <c r="FA128" s="593"/>
      <c r="FB128" s="510"/>
      <c r="FC128" s="593"/>
      <c r="FD128" s="593"/>
      <c r="FE128" s="510"/>
      <c r="FF128" s="587"/>
      <c r="FG128" s="593"/>
      <c r="FH128" s="593"/>
      <c r="FI128" s="510"/>
      <c r="FJ128" s="593"/>
      <c r="FK128" s="593"/>
      <c r="FL128" s="510"/>
      <c r="FM128" s="587"/>
      <c r="FN128" s="593"/>
      <c r="FO128" s="593"/>
      <c r="FP128" s="510"/>
      <c r="FQ128" s="593"/>
      <c r="FR128" s="593"/>
      <c r="FS128" s="510"/>
      <c r="FT128" s="587"/>
      <c r="FU128" s="593"/>
      <c r="FV128" s="593"/>
      <c r="FW128" s="510"/>
      <c r="FX128" s="593"/>
      <c r="FY128" s="593"/>
      <c r="FZ128" s="510"/>
      <c r="GA128" s="587"/>
      <c r="GB128" s="593"/>
      <c r="GC128" s="593"/>
      <c r="GD128" s="510"/>
      <c r="GE128" s="593"/>
      <c r="GF128" s="593"/>
      <c r="GG128" s="510"/>
      <c r="GH128" s="587"/>
      <c r="GI128" s="593"/>
      <c r="GJ128" s="593"/>
      <c r="GK128" s="510"/>
      <c r="GL128" s="593"/>
      <c r="GM128" s="593"/>
      <c r="GN128" s="510"/>
      <c r="GO128" s="587"/>
      <c r="GP128" s="593"/>
      <c r="GQ128" s="593"/>
      <c r="GR128" s="510"/>
      <c r="GS128" s="593"/>
      <c r="GT128" s="593"/>
      <c r="GU128" s="510"/>
      <c r="GV128" s="587"/>
      <c r="GW128" s="593"/>
      <c r="GX128" s="593"/>
      <c r="GY128" s="510"/>
      <c r="GZ128" s="593"/>
      <c r="HA128" s="593"/>
      <c r="HB128" s="510"/>
      <c r="HC128" s="587"/>
      <c r="HD128" s="593"/>
      <c r="HE128" s="593"/>
      <c r="HF128" s="510"/>
      <c r="HG128" s="593"/>
      <c r="HH128" s="593"/>
      <c r="HI128" s="510"/>
      <c r="HJ128" s="587"/>
      <c r="HK128" s="593"/>
      <c r="HL128" s="593"/>
      <c r="HM128" s="510"/>
      <c r="HN128" s="593"/>
      <c r="HO128" s="593"/>
      <c r="HP128" s="510"/>
      <c r="HQ128" s="587"/>
      <c r="HR128" s="593"/>
      <c r="HS128" s="593"/>
      <c r="HT128" s="510"/>
      <c r="HU128" s="593"/>
      <c r="HV128" s="593"/>
      <c r="HW128" s="510"/>
      <c r="HX128" s="587"/>
      <c r="HY128" s="593"/>
      <c r="HZ128" s="593"/>
      <c r="IA128" s="510"/>
      <c r="IB128" s="593"/>
      <c r="IC128" s="593"/>
      <c r="ID128" s="510"/>
      <c r="IE128" s="587"/>
      <c r="IF128" s="593"/>
      <c r="IG128" s="593"/>
      <c r="IH128" s="510"/>
      <c r="II128" s="593"/>
      <c r="IJ128" s="593"/>
      <c r="IK128" s="510"/>
      <c r="IL128" s="587"/>
      <c r="IM128" s="593"/>
      <c r="IN128" s="593"/>
      <c r="IO128" s="510"/>
      <c r="IP128" s="593"/>
      <c r="IQ128" s="593"/>
      <c r="IR128" s="510"/>
      <c r="IS128" s="587"/>
      <c r="IT128" s="593"/>
      <c r="IU128" s="593"/>
      <c r="IV128" s="510"/>
    </row>
    <row r="129" spans="1:256" ht="12.75">
      <c r="A129" s="473" t="s">
        <v>270</v>
      </c>
      <c r="B129" s="512" t="s">
        <v>772</v>
      </c>
      <c r="C129" s="512" t="s">
        <v>772</v>
      </c>
      <c r="D129" s="507"/>
      <c r="E129" s="512" t="s">
        <v>772</v>
      </c>
      <c r="F129" s="512" t="s">
        <v>772</v>
      </c>
      <c r="G129" s="507"/>
      <c r="H129" s="587"/>
      <c r="I129" s="593"/>
      <c r="J129" s="593"/>
      <c r="K129" s="510"/>
      <c r="L129" s="593"/>
      <c r="M129" s="593"/>
      <c r="N129" s="510"/>
      <c r="O129" s="587"/>
      <c r="P129" s="593"/>
      <c r="Q129" s="593"/>
      <c r="R129" s="510"/>
      <c r="S129" s="593"/>
      <c r="T129" s="593"/>
      <c r="U129" s="510"/>
      <c r="V129" s="587"/>
      <c r="W129" s="593"/>
      <c r="X129" s="593"/>
      <c r="Y129" s="510"/>
      <c r="Z129" s="593"/>
      <c r="AA129" s="593"/>
      <c r="AB129" s="510"/>
      <c r="AC129" s="587"/>
      <c r="AD129" s="593"/>
      <c r="AE129" s="593"/>
      <c r="AF129" s="510"/>
      <c r="AG129" s="593"/>
      <c r="AH129" s="593"/>
      <c r="AI129" s="510"/>
      <c r="AJ129" s="587"/>
      <c r="AK129" s="593"/>
      <c r="AL129" s="593"/>
      <c r="AM129" s="510"/>
      <c r="AN129" s="593"/>
      <c r="AO129" s="593"/>
      <c r="AP129" s="510"/>
      <c r="AQ129" s="587"/>
      <c r="AR129" s="593"/>
      <c r="AS129" s="593"/>
      <c r="AT129" s="510"/>
      <c r="AU129" s="593"/>
      <c r="AV129" s="593"/>
      <c r="AW129" s="510"/>
      <c r="AX129" s="587"/>
      <c r="AY129" s="593"/>
      <c r="AZ129" s="593"/>
      <c r="BA129" s="510"/>
      <c r="BB129" s="593"/>
      <c r="BC129" s="593"/>
      <c r="BD129" s="510"/>
      <c r="BE129" s="587"/>
      <c r="BF129" s="593"/>
      <c r="BG129" s="593"/>
      <c r="BH129" s="510"/>
      <c r="BI129" s="593"/>
      <c r="BJ129" s="593"/>
      <c r="BK129" s="510"/>
      <c r="BL129" s="587"/>
      <c r="BM129" s="593"/>
      <c r="BN129" s="593"/>
      <c r="BO129" s="510"/>
      <c r="BP129" s="593"/>
      <c r="BQ129" s="593"/>
      <c r="BR129" s="510"/>
      <c r="BS129" s="587"/>
      <c r="BT129" s="593"/>
      <c r="BU129" s="593"/>
      <c r="BV129" s="510"/>
      <c r="BW129" s="593"/>
      <c r="BX129" s="593"/>
      <c r="BY129" s="510"/>
      <c r="BZ129" s="587"/>
      <c r="CA129" s="593"/>
      <c r="CB129" s="593"/>
      <c r="CC129" s="510"/>
      <c r="CD129" s="593"/>
      <c r="CE129" s="593"/>
      <c r="CF129" s="510"/>
      <c r="CG129" s="587"/>
      <c r="CH129" s="593"/>
      <c r="CI129" s="593"/>
      <c r="CJ129" s="510"/>
      <c r="CK129" s="593"/>
      <c r="CL129" s="593"/>
      <c r="CM129" s="510"/>
      <c r="CN129" s="587"/>
      <c r="CO129" s="593"/>
      <c r="CP129" s="593"/>
      <c r="CQ129" s="510"/>
      <c r="CR129" s="593"/>
      <c r="CS129" s="593"/>
      <c r="CT129" s="510"/>
      <c r="CU129" s="587"/>
      <c r="CV129" s="593"/>
      <c r="CW129" s="593"/>
      <c r="CX129" s="510"/>
      <c r="CY129" s="593"/>
      <c r="CZ129" s="593"/>
      <c r="DA129" s="510"/>
      <c r="DB129" s="587"/>
      <c r="DC129" s="593"/>
      <c r="DD129" s="593"/>
      <c r="DE129" s="510"/>
      <c r="DF129" s="593"/>
      <c r="DG129" s="593"/>
      <c r="DH129" s="510"/>
      <c r="DI129" s="587"/>
      <c r="DJ129" s="593"/>
      <c r="DK129" s="593"/>
      <c r="DL129" s="510"/>
      <c r="DM129" s="593"/>
      <c r="DN129" s="593"/>
      <c r="DO129" s="510"/>
      <c r="DP129" s="587"/>
      <c r="DQ129" s="593"/>
      <c r="DR129" s="593"/>
      <c r="DS129" s="510"/>
      <c r="DT129" s="593"/>
      <c r="DU129" s="593"/>
      <c r="DV129" s="510"/>
      <c r="DW129" s="587"/>
      <c r="DX129" s="593"/>
      <c r="DY129" s="593"/>
      <c r="DZ129" s="510"/>
      <c r="EA129" s="593"/>
      <c r="EB129" s="593"/>
      <c r="EC129" s="510"/>
      <c r="ED129" s="587"/>
      <c r="EE129" s="593"/>
      <c r="EF129" s="593"/>
      <c r="EG129" s="510"/>
      <c r="EH129" s="593"/>
      <c r="EI129" s="593"/>
      <c r="EJ129" s="510"/>
      <c r="EK129" s="587"/>
      <c r="EL129" s="593"/>
      <c r="EM129" s="593"/>
      <c r="EN129" s="510"/>
      <c r="EO129" s="593"/>
      <c r="EP129" s="593"/>
      <c r="EQ129" s="510"/>
      <c r="ER129" s="587"/>
      <c r="ES129" s="593"/>
      <c r="ET129" s="593"/>
      <c r="EU129" s="510"/>
      <c r="EV129" s="593"/>
      <c r="EW129" s="593"/>
      <c r="EX129" s="510"/>
      <c r="EY129" s="587"/>
      <c r="EZ129" s="593"/>
      <c r="FA129" s="593"/>
      <c r="FB129" s="510"/>
      <c r="FC129" s="593"/>
      <c r="FD129" s="593"/>
      <c r="FE129" s="510"/>
      <c r="FF129" s="587"/>
      <c r="FG129" s="593"/>
      <c r="FH129" s="593"/>
      <c r="FI129" s="510"/>
      <c r="FJ129" s="593"/>
      <c r="FK129" s="593"/>
      <c r="FL129" s="510"/>
      <c r="FM129" s="587"/>
      <c r="FN129" s="593"/>
      <c r="FO129" s="593"/>
      <c r="FP129" s="510"/>
      <c r="FQ129" s="593"/>
      <c r="FR129" s="593"/>
      <c r="FS129" s="510"/>
      <c r="FT129" s="587"/>
      <c r="FU129" s="593"/>
      <c r="FV129" s="593"/>
      <c r="FW129" s="510"/>
      <c r="FX129" s="593"/>
      <c r="FY129" s="593"/>
      <c r="FZ129" s="510"/>
      <c r="GA129" s="587"/>
      <c r="GB129" s="593"/>
      <c r="GC129" s="593"/>
      <c r="GD129" s="510"/>
      <c r="GE129" s="593"/>
      <c r="GF129" s="593"/>
      <c r="GG129" s="510"/>
      <c r="GH129" s="587"/>
      <c r="GI129" s="593"/>
      <c r="GJ129" s="593"/>
      <c r="GK129" s="510"/>
      <c r="GL129" s="593"/>
      <c r="GM129" s="593"/>
      <c r="GN129" s="510"/>
      <c r="GO129" s="587"/>
      <c r="GP129" s="593"/>
      <c r="GQ129" s="593"/>
      <c r="GR129" s="510"/>
      <c r="GS129" s="593"/>
      <c r="GT129" s="593"/>
      <c r="GU129" s="510"/>
      <c r="GV129" s="587"/>
      <c r="GW129" s="593"/>
      <c r="GX129" s="593"/>
      <c r="GY129" s="510"/>
      <c r="GZ129" s="593"/>
      <c r="HA129" s="593"/>
      <c r="HB129" s="510"/>
      <c r="HC129" s="587"/>
      <c r="HD129" s="593"/>
      <c r="HE129" s="593"/>
      <c r="HF129" s="510"/>
      <c r="HG129" s="593"/>
      <c r="HH129" s="593"/>
      <c r="HI129" s="510"/>
      <c r="HJ129" s="587"/>
      <c r="HK129" s="593"/>
      <c r="HL129" s="593"/>
      <c r="HM129" s="510"/>
      <c r="HN129" s="593"/>
      <c r="HO129" s="593"/>
      <c r="HP129" s="510"/>
      <c r="HQ129" s="587"/>
      <c r="HR129" s="593"/>
      <c r="HS129" s="593"/>
      <c r="HT129" s="510"/>
      <c r="HU129" s="593"/>
      <c r="HV129" s="593"/>
      <c r="HW129" s="510"/>
      <c r="HX129" s="587"/>
      <c r="HY129" s="593"/>
      <c r="HZ129" s="593"/>
      <c r="IA129" s="510"/>
      <c r="IB129" s="593"/>
      <c r="IC129" s="593"/>
      <c r="ID129" s="510"/>
      <c r="IE129" s="587"/>
      <c r="IF129" s="593"/>
      <c r="IG129" s="593"/>
      <c r="IH129" s="510"/>
      <c r="II129" s="593"/>
      <c r="IJ129" s="593"/>
      <c r="IK129" s="510"/>
      <c r="IL129" s="587"/>
      <c r="IM129" s="593"/>
      <c r="IN129" s="593"/>
      <c r="IO129" s="510"/>
      <c r="IP129" s="593"/>
      <c r="IQ129" s="593"/>
      <c r="IR129" s="510"/>
      <c r="IS129" s="587"/>
      <c r="IT129" s="593"/>
      <c r="IU129" s="593"/>
      <c r="IV129" s="510"/>
    </row>
    <row r="133" spans="1:256" ht="14.25">
      <c r="A133" s="638" t="s">
        <v>554</v>
      </c>
      <c r="B133" s="638"/>
      <c r="C133" s="638"/>
      <c r="D133" s="638"/>
      <c r="E133" s="638"/>
      <c r="F133" s="638"/>
      <c r="G133" s="638"/>
      <c r="H133" s="639"/>
      <c r="I133" s="639"/>
      <c r="J133" s="639"/>
      <c r="K133" s="639"/>
      <c r="L133" s="639"/>
      <c r="M133" s="639"/>
      <c r="N133" s="639"/>
      <c r="O133" s="639"/>
      <c r="P133" s="639"/>
      <c r="Q133" s="639"/>
      <c r="R133" s="639"/>
      <c r="S133" s="639"/>
      <c r="T133" s="639"/>
      <c r="U133" s="639"/>
      <c r="V133" s="639"/>
      <c r="W133" s="639"/>
      <c r="X133" s="639"/>
      <c r="Y133" s="639"/>
      <c r="Z133" s="639"/>
      <c r="AA133" s="639"/>
      <c r="AB133" s="639"/>
      <c r="AC133" s="639"/>
      <c r="AD133" s="639"/>
      <c r="AE133" s="639"/>
      <c r="AF133" s="639"/>
      <c r="AG133" s="639"/>
      <c r="AH133" s="639"/>
      <c r="AI133" s="639"/>
      <c r="AJ133" s="639"/>
      <c r="AK133" s="639"/>
      <c r="AL133" s="639"/>
      <c r="AM133" s="639"/>
      <c r="AN133" s="639"/>
      <c r="AO133" s="639"/>
      <c r="AP133" s="639"/>
      <c r="AQ133" s="639"/>
      <c r="AR133" s="639"/>
      <c r="AS133" s="639"/>
      <c r="AT133" s="639"/>
      <c r="AU133" s="639"/>
      <c r="AV133" s="639"/>
      <c r="AW133" s="639"/>
      <c r="AX133" s="639"/>
      <c r="AY133" s="639"/>
      <c r="AZ133" s="639"/>
      <c r="BA133" s="639"/>
      <c r="BB133" s="639"/>
      <c r="BC133" s="639"/>
      <c r="BD133" s="639"/>
      <c r="BE133" s="639"/>
      <c r="BF133" s="639"/>
      <c r="BG133" s="639"/>
      <c r="BH133" s="639"/>
      <c r="BI133" s="639"/>
      <c r="BJ133" s="639"/>
      <c r="BK133" s="639"/>
      <c r="BL133" s="639"/>
      <c r="BM133" s="639"/>
      <c r="BN133" s="639"/>
      <c r="BO133" s="639"/>
      <c r="BP133" s="639"/>
      <c r="BQ133" s="639"/>
      <c r="BR133" s="639"/>
      <c r="BS133" s="639"/>
      <c r="BT133" s="639"/>
      <c r="BU133" s="639"/>
      <c r="BV133" s="639"/>
      <c r="BW133" s="639"/>
      <c r="BX133" s="639"/>
      <c r="BY133" s="639"/>
      <c r="BZ133" s="639"/>
      <c r="CA133" s="639"/>
      <c r="CB133" s="639"/>
      <c r="CC133" s="639"/>
      <c r="CD133" s="639"/>
      <c r="CE133" s="639"/>
      <c r="CF133" s="639"/>
      <c r="CG133" s="639"/>
      <c r="CH133" s="639"/>
      <c r="CI133" s="639"/>
      <c r="CJ133" s="639"/>
      <c r="CK133" s="639"/>
      <c r="CL133" s="639"/>
      <c r="CM133" s="639"/>
      <c r="CN133" s="639"/>
      <c r="CO133" s="639"/>
      <c r="CP133" s="639"/>
      <c r="CQ133" s="639"/>
      <c r="CR133" s="639"/>
      <c r="CS133" s="639"/>
      <c r="CT133" s="639"/>
      <c r="CU133" s="639"/>
      <c r="CV133" s="639"/>
      <c r="CW133" s="639"/>
      <c r="CX133" s="639"/>
      <c r="CY133" s="639"/>
      <c r="CZ133" s="639"/>
      <c r="DA133" s="639"/>
      <c r="DB133" s="639"/>
      <c r="DC133" s="639"/>
      <c r="DD133" s="639"/>
      <c r="DE133" s="639"/>
      <c r="DF133" s="639"/>
      <c r="DG133" s="639"/>
      <c r="DH133" s="639"/>
      <c r="DI133" s="639"/>
      <c r="DJ133" s="639"/>
      <c r="DK133" s="639"/>
      <c r="DL133" s="639"/>
      <c r="DM133" s="639"/>
      <c r="DN133" s="639"/>
      <c r="DO133" s="639"/>
      <c r="DP133" s="639"/>
      <c r="DQ133" s="639"/>
      <c r="DR133" s="639"/>
      <c r="DS133" s="639"/>
      <c r="DT133" s="639"/>
      <c r="DU133" s="639"/>
      <c r="DV133" s="639"/>
      <c r="DW133" s="639"/>
      <c r="DX133" s="639"/>
      <c r="DY133" s="639"/>
      <c r="DZ133" s="639"/>
      <c r="EA133" s="639"/>
      <c r="EB133" s="639"/>
      <c r="EC133" s="639"/>
      <c r="ED133" s="639"/>
      <c r="EE133" s="639"/>
      <c r="EF133" s="639"/>
      <c r="EG133" s="639"/>
      <c r="EH133" s="639"/>
      <c r="EI133" s="639"/>
      <c r="EJ133" s="639"/>
      <c r="EK133" s="639"/>
      <c r="EL133" s="639"/>
      <c r="EM133" s="639"/>
      <c r="EN133" s="639"/>
      <c r="EO133" s="639"/>
      <c r="EP133" s="639"/>
      <c r="EQ133" s="639"/>
      <c r="ER133" s="639"/>
      <c r="ES133" s="639"/>
      <c r="ET133" s="639"/>
      <c r="EU133" s="639"/>
      <c r="EV133" s="639"/>
      <c r="EW133" s="639"/>
      <c r="EX133" s="639"/>
      <c r="EY133" s="639"/>
      <c r="EZ133" s="639"/>
      <c r="FA133" s="639"/>
      <c r="FB133" s="639"/>
      <c r="FC133" s="639"/>
      <c r="FD133" s="639"/>
      <c r="FE133" s="639"/>
      <c r="FF133" s="639"/>
      <c r="FG133" s="639"/>
      <c r="FH133" s="639"/>
      <c r="FI133" s="639"/>
      <c r="FJ133" s="639"/>
      <c r="FK133" s="639"/>
      <c r="FL133" s="639"/>
      <c r="FM133" s="639"/>
      <c r="FN133" s="639"/>
      <c r="FO133" s="639"/>
      <c r="FP133" s="639"/>
      <c r="FQ133" s="639"/>
      <c r="FR133" s="639"/>
      <c r="FS133" s="639"/>
      <c r="FT133" s="639"/>
      <c r="FU133" s="639"/>
      <c r="FV133" s="639"/>
      <c r="FW133" s="639"/>
      <c r="FX133" s="639"/>
      <c r="FY133" s="639"/>
      <c r="FZ133" s="639"/>
      <c r="GA133" s="639"/>
      <c r="GB133" s="639"/>
      <c r="GC133" s="639"/>
      <c r="GD133" s="639"/>
      <c r="GE133" s="639"/>
      <c r="GF133" s="639"/>
      <c r="GG133" s="639"/>
      <c r="GH133" s="639"/>
      <c r="GI133" s="639"/>
      <c r="GJ133" s="639"/>
      <c r="GK133" s="639"/>
      <c r="GL133" s="639"/>
      <c r="GM133" s="639"/>
      <c r="GN133" s="639"/>
      <c r="GO133" s="639"/>
      <c r="GP133" s="639"/>
      <c r="GQ133" s="639"/>
      <c r="GR133" s="639"/>
      <c r="GS133" s="639"/>
      <c r="GT133" s="639"/>
      <c r="GU133" s="639"/>
      <c r="GV133" s="639"/>
      <c r="GW133" s="639"/>
      <c r="GX133" s="639"/>
      <c r="GY133" s="639"/>
      <c r="GZ133" s="639"/>
      <c r="HA133" s="639"/>
      <c r="HB133" s="639"/>
      <c r="HC133" s="639"/>
      <c r="HD133" s="639"/>
      <c r="HE133" s="639"/>
      <c r="HF133" s="639"/>
      <c r="HG133" s="639"/>
      <c r="HH133" s="639"/>
      <c r="HI133" s="639"/>
      <c r="HJ133" s="639"/>
      <c r="HK133" s="639"/>
      <c r="HL133" s="639"/>
      <c r="HM133" s="639"/>
      <c r="HN133" s="639"/>
      <c r="HO133" s="639"/>
      <c r="HP133" s="639"/>
      <c r="HQ133" s="639"/>
      <c r="HR133" s="639"/>
      <c r="HS133" s="639"/>
      <c r="HT133" s="639"/>
      <c r="HU133" s="639"/>
      <c r="HV133" s="639"/>
      <c r="HW133" s="639"/>
      <c r="HX133" s="639"/>
      <c r="HY133" s="639"/>
      <c r="HZ133" s="639"/>
      <c r="IA133" s="639"/>
      <c r="IB133" s="639"/>
      <c r="IC133" s="639"/>
      <c r="ID133" s="639"/>
      <c r="IE133" s="639"/>
      <c r="IF133" s="639"/>
      <c r="IG133" s="639"/>
      <c r="IH133" s="639"/>
      <c r="II133" s="639"/>
      <c r="IJ133" s="639"/>
      <c r="IK133" s="639"/>
      <c r="IL133" s="639"/>
      <c r="IM133" s="639"/>
      <c r="IN133" s="639"/>
      <c r="IO133" s="639"/>
      <c r="IP133" s="639"/>
      <c r="IQ133" s="639"/>
      <c r="IR133" s="639"/>
      <c r="IS133" s="639"/>
      <c r="IT133" s="639"/>
      <c r="IU133" s="639"/>
      <c r="IV133" s="639"/>
    </row>
    <row r="137" spans="1:256" ht="12.75">
      <c r="A137" s="33"/>
      <c r="B137" s="33"/>
      <c r="C137" s="33"/>
      <c r="D137" s="33"/>
      <c r="E137" s="33"/>
      <c r="F137" s="33"/>
      <c r="G137" s="33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</row>
    <row r="138" spans="1:256" ht="12.75">
      <c r="A138" s="33" t="s">
        <v>560</v>
      </c>
      <c r="B138" s="33"/>
      <c r="C138" s="33"/>
      <c r="D138" s="33"/>
      <c r="E138" s="33"/>
      <c r="F138" s="33"/>
      <c r="G138" s="33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99"/>
      <c r="IO138" s="99"/>
      <c r="IP138" s="99"/>
      <c r="IQ138" s="99"/>
      <c r="IR138" s="99"/>
      <c r="IS138" s="99"/>
      <c r="IT138" s="99"/>
      <c r="IU138" s="99"/>
      <c r="IV138" s="99"/>
    </row>
    <row r="139" spans="1:256" ht="12.75">
      <c r="A139" s="33" t="s">
        <v>743</v>
      </c>
      <c r="B139" s="33"/>
      <c r="C139" s="33"/>
      <c r="D139" s="33"/>
      <c r="E139" s="33"/>
      <c r="F139" s="33"/>
      <c r="G139" s="33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256" ht="12.75">
      <c r="A140" s="33"/>
      <c r="B140" s="33"/>
      <c r="C140" s="33"/>
      <c r="D140" s="33"/>
      <c r="E140" s="33"/>
      <c r="F140" s="33"/>
      <c r="G140" s="33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  <c r="IO140" s="99"/>
      <c r="IP140" s="99"/>
      <c r="IQ140" s="99"/>
      <c r="IR140" s="99"/>
      <c r="IS140" s="99"/>
      <c r="IT140" s="99"/>
      <c r="IU140" s="99"/>
      <c r="IV140" s="99"/>
    </row>
    <row r="141" spans="2:256" ht="12.75">
      <c r="B141" s="33"/>
      <c r="C141" s="33"/>
      <c r="D141" s="33"/>
      <c r="E141" s="33"/>
      <c r="F141" s="33"/>
      <c r="G141" s="33"/>
      <c r="I141" s="99"/>
      <c r="J141" s="99"/>
      <c r="K141" s="99"/>
      <c r="L141" s="99"/>
      <c r="M141" s="99"/>
      <c r="N141" s="99"/>
      <c r="P141" s="99"/>
      <c r="Q141" s="99"/>
      <c r="R141" s="99"/>
      <c r="S141" s="99"/>
      <c r="T141" s="99"/>
      <c r="U141" s="99"/>
      <c r="W141" s="99"/>
      <c r="X141" s="99"/>
      <c r="Y141" s="99"/>
      <c r="Z141" s="99"/>
      <c r="AA141" s="99"/>
      <c r="AB141" s="99"/>
      <c r="AD141" s="99"/>
      <c r="AE141" s="99"/>
      <c r="AF141" s="99"/>
      <c r="AG141" s="99"/>
      <c r="AH141" s="99"/>
      <c r="AI141" s="99"/>
      <c r="AK141" s="99"/>
      <c r="AL141" s="99"/>
      <c r="AM141" s="99"/>
      <c r="AN141" s="99"/>
      <c r="AO141" s="99"/>
      <c r="AP141" s="99"/>
      <c r="AR141" s="99"/>
      <c r="AS141" s="99"/>
      <c r="AT141" s="99"/>
      <c r="AU141" s="99"/>
      <c r="AV141" s="99"/>
      <c r="AW141" s="99"/>
      <c r="AY141" s="99"/>
      <c r="AZ141" s="99"/>
      <c r="BA141" s="99"/>
      <c r="BB141" s="99"/>
      <c r="BC141" s="99"/>
      <c r="BD141" s="99"/>
      <c r="BF141" s="99"/>
      <c r="BG141" s="99"/>
      <c r="BH141" s="99"/>
      <c r="BI141" s="99"/>
      <c r="BJ141" s="99"/>
      <c r="BK141" s="99"/>
      <c r="BM141" s="99"/>
      <c r="BN141" s="99"/>
      <c r="BO141" s="99"/>
      <c r="BP141" s="99"/>
      <c r="BQ141" s="99"/>
      <c r="BR141" s="99"/>
      <c r="BT141" s="99"/>
      <c r="BU141" s="99"/>
      <c r="BV141" s="99"/>
      <c r="BW141" s="99"/>
      <c r="BX141" s="99"/>
      <c r="BY141" s="99"/>
      <c r="CA141" s="99"/>
      <c r="CB141" s="99"/>
      <c r="CC141" s="99"/>
      <c r="CD141" s="99"/>
      <c r="CE141" s="99"/>
      <c r="CF141" s="99"/>
      <c r="CH141" s="99"/>
      <c r="CI141" s="99"/>
      <c r="CJ141" s="99"/>
      <c r="CK141" s="99"/>
      <c r="CL141" s="99"/>
      <c r="CM141" s="99"/>
      <c r="CO141" s="99"/>
      <c r="CP141" s="99"/>
      <c r="CQ141" s="99"/>
      <c r="CR141" s="99"/>
      <c r="CS141" s="99"/>
      <c r="CT141" s="99"/>
      <c r="CV141" s="99"/>
      <c r="CW141" s="99"/>
      <c r="CX141" s="99"/>
      <c r="CY141" s="99"/>
      <c r="CZ141" s="99"/>
      <c r="DA141" s="99"/>
      <c r="DC141" s="99"/>
      <c r="DD141" s="99"/>
      <c r="DE141" s="99"/>
      <c r="DF141" s="99"/>
      <c r="DG141" s="99"/>
      <c r="DH141" s="99"/>
      <c r="DJ141" s="99"/>
      <c r="DK141" s="99"/>
      <c r="DL141" s="99"/>
      <c r="DM141" s="99"/>
      <c r="DN141" s="99"/>
      <c r="DO141" s="99"/>
      <c r="DQ141" s="99"/>
      <c r="DR141" s="99"/>
      <c r="DS141" s="99"/>
      <c r="DT141" s="99"/>
      <c r="DU141" s="99"/>
      <c r="DV141" s="99"/>
      <c r="DX141" s="99"/>
      <c r="DY141" s="99"/>
      <c r="DZ141" s="99"/>
      <c r="EA141" s="99"/>
      <c r="EB141" s="99"/>
      <c r="EC141" s="99"/>
      <c r="EE141" s="99"/>
      <c r="EF141" s="99"/>
      <c r="EG141" s="99"/>
      <c r="EH141" s="99"/>
      <c r="EI141" s="99"/>
      <c r="EJ141" s="99"/>
      <c r="EL141" s="99"/>
      <c r="EM141" s="99"/>
      <c r="EN141" s="99"/>
      <c r="EO141" s="99"/>
      <c r="EP141" s="99"/>
      <c r="EQ141" s="99"/>
      <c r="ES141" s="99"/>
      <c r="ET141" s="99"/>
      <c r="EU141" s="99"/>
      <c r="EV141" s="99"/>
      <c r="EW141" s="99"/>
      <c r="EX141" s="99"/>
      <c r="EZ141" s="99"/>
      <c r="FA141" s="99"/>
      <c r="FB141" s="99"/>
      <c r="FC141" s="99"/>
      <c r="FD141" s="99"/>
      <c r="FE141" s="99"/>
      <c r="FG141" s="99"/>
      <c r="FH141" s="99"/>
      <c r="FI141" s="99"/>
      <c r="FJ141" s="99"/>
      <c r="FK141" s="99"/>
      <c r="FL141" s="99"/>
      <c r="FN141" s="99"/>
      <c r="FO141" s="99"/>
      <c r="FP141" s="99"/>
      <c r="FQ141" s="99"/>
      <c r="FR141" s="99"/>
      <c r="FS141" s="99"/>
      <c r="FU141" s="99"/>
      <c r="FV141" s="99"/>
      <c r="FW141" s="99"/>
      <c r="FX141" s="99"/>
      <c r="FY141" s="99"/>
      <c r="FZ141" s="99"/>
      <c r="GB141" s="99"/>
      <c r="GC141" s="99"/>
      <c r="GD141" s="99"/>
      <c r="GE141" s="99"/>
      <c r="GF141" s="99"/>
      <c r="GG141" s="99"/>
      <c r="GI141" s="99"/>
      <c r="GJ141" s="99"/>
      <c r="GK141" s="99"/>
      <c r="GL141" s="99"/>
      <c r="GM141" s="99"/>
      <c r="GN141" s="99"/>
      <c r="GP141" s="99"/>
      <c r="GQ141" s="99"/>
      <c r="GR141" s="99"/>
      <c r="GS141" s="99"/>
      <c r="GT141" s="99"/>
      <c r="GU141" s="99"/>
      <c r="GW141" s="99"/>
      <c r="GX141" s="99"/>
      <c r="GY141" s="99"/>
      <c r="GZ141" s="99"/>
      <c r="HA141" s="99"/>
      <c r="HB141" s="99"/>
      <c r="HD141" s="99"/>
      <c r="HE141" s="99"/>
      <c r="HF141" s="99"/>
      <c r="HG141" s="99"/>
      <c r="HH141" s="99"/>
      <c r="HI141" s="99"/>
      <c r="HK141" s="99"/>
      <c r="HL141" s="99"/>
      <c r="HM141" s="99"/>
      <c r="HN141" s="99"/>
      <c r="HO141" s="99"/>
      <c r="HP141" s="99"/>
      <c r="HR141" s="99"/>
      <c r="HS141" s="99"/>
      <c r="HT141" s="99"/>
      <c r="HU141" s="99"/>
      <c r="HV141" s="99"/>
      <c r="HW141" s="99"/>
      <c r="HY141" s="99"/>
      <c r="HZ141" s="99"/>
      <c r="IA141" s="99"/>
      <c r="IB141" s="99"/>
      <c r="IC141" s="99"/>
      <c r="ID141" s="99"/>
      <c r="IF141" s="99"/>
      <c r="IG141" s="99"/>
      <c r="IH141" s="99"/>
      <c r="II141" s="99"/>
      <c r="IJ141" s="99"/>
      <c r="IK141" s="99"/>
      <c r="IM141" s="99"/>
      <c r="IN141" s="99"/>
      <c r="IO141" s="99"/>
      <c r="IP141" s="99"/>
      <c r="IQ141" s="99"/>
      <c r="IR141" s="99"/>
      <c r="IT141" s="99"/>
      <c r="IU141" s="99"/>
      <c r="IV141" s="99"/>
    </row>
    <row r="142" spans="2:256" ht="12.75">
      <c r="B142" s="33"/>
      <c r="C142" s="33"/>
      <c r="D142" s="33"/>
      <c r="E142" s="33"/>
      <c r="F142" s="33"/>
      <c r="G142" s="33"/>
      <c r="I142" s="99"/>
      <c r="J142" s="99"/>
      <c r="K142" s="99"/>
      <c r="L142" s="99"/>
      <c r="M142" s="99"/>
      <c r="N142" s="99"/>
      <c r="P142" s="99"/>
      <c r="Q142" s="99"/>
      <c r="R142" s="99"/>
      <c r="S142" s="99"/>
      <c r="T142" s="99"/>
      <c r="U142" s="99"/>
      <c r="W142" s="99"/>
      <c r="X142" s="99"/>
      <c r="Y142" s="99"/>
      <c r="Z142" s="99"/>
      <c r="AA142" s="99"/>
      <c r="AB142" s="99"/>
      <c r="AD142" s="99"/>
      <c r="AE142" s="99"/>
      <c r="AF142" s="99"/>
      <c r="AG142" s="99"/>
      <c r="AH142" s="99"/>
      <c r="AI142" s="99"/>
      <c r="AK142" s="99"/>
      <c r="AL142" s="99"/>
      <c r="AM142" s="99"/>
      <c r="AN142" s="99"/>
      <c r="AO142" s="99"/>
      <c r="AP142" s="99"/>
      <c r="AR142" s="99"/>
      <c r="AS142" s="99"/>
      <c r="AT142" s="99"/>
      <c r="AU142" s="99"/>
      <c r="AV142" s="99"/>
      <c r="AW142" s="99"/>
      <c r="AY142" s="99"/>
      <c r="AZ142" s="99"/>
      <c r="BA142" s="99"/>
      <c r="BB142" s="99"/>
      <c r="BC142" s="99"/>
      <c r="BD142" s="99"/>
      <c r="BF142" s="99"/>
      <c r="BG142" s="99"/>
      <c r="BH142" s="99"/>
      <c r="BI142" s="99"/>
      <c r="BJ142" s="99"/>
      <c r="BK142" s="99"/>
      <c r="BM142" s="99"/>
      <c r="BN142" s="99"/>
      <c r="BO142" s="99"/>
      <c r="BP142" s="99"/>
      <c r="BQ142" s="99"/>
      <c r="BR142" s="99"/>
      <c r="BT142" s="99"/>
      <c r="BU142" s="99"/>
      <c r="BV142" s="99"/>
      <c r="BW142" s="99"/>
      <c r="BX142" s="99"/>
      <c r="BY142" s="99"/>
      <c r="CA142" s="99"/>
      <c r="CB142" s="99"/>
      <c r="CC142" s="99"/>
      <c r="CD142" s="99"/>
      <c r="CE142" s="99"/>
      <c r="CF142" s="99"/>
      <c r="CH142" s="99"/>
      <c r="CI142" s="99"/>
      <c r="CJ142" s="99"/>
      <c r="CK142" s="99"/>
      <c r="CL142" s="99"/>
      <c r="CM142" s="99"/>
      <c r="CO142" s="99"/>
      <c r="CP142" s="99"/>
      <c r="CQ142" s="99"/>
      <c r="CR142" s="99"/>
      <c r="CS142" s="99"/>
      <c r="CT142" s="99"/>
      <c r="CV142" s="99"/>
      <c r="CW142" s="99"/>
      <c r="CX142" s="99"/>
      <c r="CY142" s="99"/>
      <c r="CZ142" s="99"/>
      <c r="DA142" s="99"/>
      <c r="DC142" s="99"/>
      <c r="DD142" s="99"/>
      <c r="DE142" s="99"/>
      <c r="DF142" s="99"/>
      <c r="DG142" s="99"/>
      <c r="DH142" s="99"/>
      <c r="DJ142" s="99"/>
      <c r="DK142" s="99"/>
      <c r="DL142" s="99"/>
      <c r="DM142" s="99"/>
      <c r="DN142" s="99"/>
      <c r="DO142" s="99"/>
      <c r="DQ142" s="99"/>
      <c r="DR142" s="99"/>
      <c r="DS142" s="99"/>
      <c r="DT142" s="99"/>
      <c r="DU142" s="99"/>
      <c r="DV142" s="99"/>
      <c r="DX142" s="99"/>
      <c r="DY142" s="99"/>
      <c r="DZ142" s="99"/>
      <c r="EA142" s="99"/>
      <c r="EB142" s="99"/>
      <c r="EC142" s="99"/>
      <c r="EE142" s="99"/>
      <c r="EF142" s="99"/>
      <c r="EG142" s="99"/>
      <c r="EH142" s="99"/>
      <c r="EI142" s="99"/>
      <c r="EJ142" s="99"/>
      <c r="EL142" s="99"/>
      <c r="EM142" s="99"/>
      <c r="EN142" s="99"/>
      <c r="EO142" s="99"/>
      <c r="EP142" s="99"/>
      <c r="EQ142" s="99"/>
      <c r="ES142" s="99"/>
      <c r="ET142" s="99"/>
      <c r="EU142" s="99"/>
      <c r="EV142" s="99"/>
      <c r="EW142" s="99"/>
      <c r="EX142" s="99"/>
      <c r="EZ142" s="99"/>
      <c r="FA142" s="99"/>
      <c r="FB142" s="99"/>
      <c r="FC142" s="99"/>
      <c r="FD142" s="99"/>
      <c r="FE142" s="99"/>
      <c r="FG142" s="99"/>
      <c r="FH142" s="99"/>
      <c r="FI142" s="99"/>
      <c r="FJ142" s="99"/>
      <c r="FK142" s="99"/>
      <c r="FL142" s="99"/>
      <c r="FN142" s="99"/>
      <c r="FO142" s="99"/>
      <c r="FP142" s="99"/>
      <c r="FQ142" s="99"/>
      <c r="FR142" s="99"/>
      <c r="FS142" s="99"/>
      <c r="FU142" s="99"/>
      <c r="FV142" s="99"/>
      <c r="FW142" s="99"/>
      <c r="FX142" s="99"/>
      <c r="FY142" s="99"/>
      <c r="FZ142" s="99"/>
      <c r="GB142" s="99"/>
      <c r="GC142" s="99"/>
      <c r="GD142" s="99"/>
      <c r="GE142" s="99"/>
      <c r="GF142" s="99"/>
      <c r="GG142" s="99"/>
      <c r="GI142" s="99"/>
      <c r="GJ142" s="99"/>
      <c r="GK142" s="99"/>
      <c r="GL142" s="99"/>
      <c r="GM142" s="99"/>
      <c r="GN142" s="99"/>
      <c r="GP142" s="99"/>
      <c r="GQ142" s="99"/>
      <c r="GR142" s="99"/>
      <c r="GS142" s="99"/>
      <c r="GT142" s="99"/>
      <c r="GU142" s="99"/>
      <c r="GW142" s="99"/>
      <c r="GX142" s="99"/>
      <c r="GY142" s="99"/>
      <c r="GZ142" s="99"/>
      <c r="HA142" s="99"/>
      <c r="HB142" s="99"/>
      <c r="HD142" s="99"/>
      <c r="HE142" s="99"/>
      <c r="HF142" s="99"/>
      <c r="HG142" s="99"/>
      <c r="HH142" s="99"/>
      <c r="HI142" s="99"/>
      <c r="HK142" s="99"/>
      <c r="HL142" s="99"/>
      <c r="HM142" s="99"/>
      <c r="HN142" s="99"/>
      <c r="HO142" s="99"/>
      <c r="HP142" s="99"/>
      <c r="HR142" s="99"/>
      <c r="HS142" s="99"/>
      <c r="HT142" s="99"/>
      <c r="HU142" s="99"/>
      <c r="HV142" s="99"/>
      <c r="HW142" s="99"/>
      <c r="HY142" s="99"/>
      <c r="HZ142" s="99"/>
      <c r="IA142" s="99"/>
      <c r="IB142" s="99"/>
      <c r="IC142" s="99"/>
      <c r="ID142" s="99"/>
      <c r="IF142" s="99"/>
      <c r="IG142" s="99"/>
      <c r="IH142" s="99"/>
      <c r="II142" s="99"/>
      <c r="IJ142" s="99"/>
      <c r="IK142" s="99"/>
      <c r="IM142" s="99"/>
      <c r="IN142" s="99"/>
      <c r="IO142" s="99"/>
      <c r="IP142" s="99"/>
      <c r="IQ142" s="99"/>
      <c r="IR142" s="99"/>
      <c r="IT142" s="99"/>
      <c r="IU142" s="99"/>
      <c r="IV142" s="99"/>
    </row>
    <row r="143" spans="1:256" ht="12.75">
      <c r="A143" s="33"/>
      <c r="B143" s="33"/>
      <c r="C143" s="33"/>
      <c r="D143" s="33"/>
      <c r="E143" s="33"/>
      <c r="F143" s="33"/>
      <c r="G143" s="33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  <c r="IO143" s="99"/>
      <c r="IP143" s="99"/>
      <c r="IQ143" s="99"/>
      <c r="IR143" s="99"/>
      <c r="IS143" s="99"/>
      <c r="IT143" s="99"/>
      <c r="IU143" s="99"/>
      <c r="IV143" s="99"/>
    </row>
    <row r="144" spans="1:256" ht="12.75">
      <c r="A144" s="33"/>
      <c r="B144" s="33"/>
      <c r="C144" s="33"/>
      <c r="D144" s="33"/>
      <c r="E144" s="33"/>
      <c r="F144" s="33"/>
      <c r="G144" s="33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2:256" ht="12.75">
      <c r="B145" s="33"/>
      <c r="C145" s="33"/>
      <c r="D145" s="33"/>
      <c r="E145" s="33"/>
      <c r="F145" s="33"/>
      <c r="G145" s="33"/>
      <c r="I145" s="99"/>
      <c r="J145" s="99"/>
      <c r="K145" s="99"/>
      <c r="L145" s="99"/>
      <c r="M145" s="99"/>
      <c r="N145" s="99"/>
      <c r="P145" s="99"/>
      <c r="Q145" s="99"/>
      <c r="R145" s="99"/>
      <c r="S145" s="99"/>
      <c r="T145" s="99"/>
      <c r="U145" s="99"/>
      <c r="W145" s="99"/>
      <c r="X145" s="99"/>
      <c r="Y145" s="99"/>
      <c r="Z145" s="99"/>
      <c r="AA145" s="99"/>
      <c r="AB145" s="99"/>
      <c r="AD145" s="99"/>
      <c r="AE145" s="99"/>
      <c r="AF145" s="99"/>
      <c r="AG145" s="99"/>
      <c r="AH145" s="99"/>
      <c r="AI145" s="99"/>
      <c r="AK145" s="99"/>
      <c r="AL145" s="99"/>
      <c r="AM145" s="99"/>
      <c r="AN145" s="99"/>
      <c r="AO145" s="99"/>
      <c r="AP145" s="99"/>
      <c r="AR145" s="99"/>
      <c r="AS145" s="99"/>
      <c r="AT145" s="99"/>
      <c r="AU145" s="99"/>
      <c r="AV145" s="99"/>
      <c r="AW145" s="99"/>
      <c r="AY145" s="99"/>
      <c r="AZ145" s="99"/>
      <c r="BA145" s="99"/>
      <c r="BB145" s="99"/>
      <c r="BC145" s="99"/>
      <c r="BD145" s="99"/>
      <c r="BF145" s="99"/>
      <c r="BG145" s="99"/>
      <c r="BH145" s="99"/>
      <c r="BI145" s="99"/>
      <c r="BJ145" s="99"/>
      <c r="BK145" s="99"/>
      <c r="BM145" s="99"/>
      <c r="BN145" s="99"/>
      <c r="BO145" s="99"/>
      <c r="BP145" s="99"/>
      <c r="BQ145" s="99"/>
      <c r="BR145" s="99"/>
      <c r="BT145" s="99"/>
      <c r="BU145" s="99"/>
      <c r="BV145" s="99"/>
      <c r="BW145" s="99"/>
      <c r="BX145" s="99"/>
      <c r="BY145" s="99"/>
      <c r="CA145" s="99"/>
      <c r="CB145" s="99"/>
      <c r="CC145" s="99"/>
      <c r="CD145" s="99"/>
      <c r="CE145" s="99"/>
      <c r="CF145" s="99"/>
      <c r="CH145" s="99"/>
      <c r="CI145" s="99"/>
      <c r="CJ145" s="99"/>
      <c r="CK145" s="99"/>
      <c r="CL145" s="99"/>
      <c r="CM145" s="99"/>
      <c r="CO145" s="99"/>
      <c r="CP145" s="99"/>
      <c r="CQ145" s="99"/>
      <c r="CR145" s="99"/>
      <c r="CS145" s="99"/>
      <c r="CT145" s="99"/>
      <c r="CV145" s="99"/>
      <c r="CW145" s="99"/>
      <c r="CX145" s="99"/>
      <c r="CY145" s="99"/>
      <c r="CZ145" s="99"/>
      <c r="DA145" s="99"/>
      <c r="DC145" s="99"/>
      <c r="DD145" s="99"/>
      <c r="DE145" s="99"/>
      <c r="DF145" s="99"/>
      <c r="DG145" s="99"/>
      <c r="DH145" s="99"/>
      <c r="DJ145" s="99"/>
      <c r="DK145" s="99"/>
      <c r="DL145" s="99"/>
      <c r="DM145" s="99"/>
      <c r="DN145" s="99"/>
      <c r="DO145" s="99"/>
      <c r="DQ145" s="99"/>
      <c r="DR145" s="99"/>
      <c r="DS145" s="99"/>
      <c r="DT145" s="99"/>
      <c r="DU145" s="99"/>
      <c r="DV145" s="99"/>
      <c r="DX145" s="99"/>
      <c r="DY145" s="99"/>
      <c r="DZ145" s="99"/>
      <c r="EA145" s="99"/>
      <c r="EB145" s="99"/>
      <c r="EC145" s="99"/>
      <c r="EE145" s="99"/>
      <c r="EF145" s="99"/>
      <c r="EG145" s="99"/>
      <c r="EH145" s="99"/>
      <c r="EI145" s="99"/>
      <c r="EJ145" s="99"/>
      <c r="EL145" s="99"/>
      <c r="EM145" s="99"/>
      <c r="EN145" s="99"/>
      <c r="EO145" s="99"/>
      <c r="EP145" s="99"/>
      <c r="EQ145" s="99"/>
      <c r="ES145" s="99"/>
      <c r="ET145" s="99"/>
      <c r="EU145" s="99"/>
      <c r="EV145" s="99"/>
      <c r="EW145" s="99"/>
      <c r="EX145" s="99"/>
      <c r="EZ145" s="99"/>
      <c r="FA145" s="99"/>
      <c r="FB145" s="99"/>
      <c r="FC145" s="99"/>
      <c r="FD145" s="99"/>
      <c r="FE145" s="99"/>
      <c r="FG145" s="99"/>
      <c r="FH145" s="99"/>
      <c r="FI145" s="99"/>
      <c r="FJ145" s="99"/>
      <c r="FK145" s="99"/>
      <c r="FL145" s="99"/>
      <c r="FN145" s="99"/>
      <c r="FO145" s="99"/>
      <c r="FP145" s="99"/>
      <c r="FQ145" s="99"/>
      <c r="FR145" s="99"/>
      <c r="FS145" s="99"/>
      <c r="FU145" s="99"/>
      <c r="FV145" s="99"/>
      <c r="FW145" s="99"/>
      <c r="FX145" s="99"/>
      <c r="FY145" s="99"/>
      <c r="FZ145" s="99"/>
      <c r="GB145" s="99"/>
      <c r="GC145" s="99"/>
      <c r="GD145" s="99"/>
      <c r="GE145" s="99"/>
      <c r="GF145" s="99"/>
      <c r="GG145" s="99"/>
      <c r="GI145" s="99"/>
      <c r="GJ145" s="99"/>
      <c r="GK145" s="99"/>
      <c r="GL145" s="99"/>
      <c r="GM145" s="99"/>
      <c r="GN145" s="99"/>
      <c r="GP145" s="99"/>
      <c r="GQ145" s="99"/>
      <c r="GR145" s="99"/>
      <c r="GS145" s="99"/>
      <c r="GT145" s="99"/>
      <c r="GU145" s="99"/>
      <c r="GW145" s="99"/>
      <c r="GX145" s="99"/>
      <c r="GY145" s="99"/>
      <c r="GZ145" s="99"/>
      <c r="HA145" s="99"/>
      <c r="HB145" s="99"/>
      <c r="HD145" s="99"/>
      <c r="HE145" s="99"/>
      <c r="HF145" s="99"/>
      <c r="HG145" s="99"/>
      <c r="HH145" s="99"/>
      <c r="HI145" s="99"/>
      <c r="HK145" s="99"/>
      <c r="HL145" s="99"/>
      <c r="HM145" s="99"/>
      <c r="HN145" s="99"/>
      <c r="HO145" s="99"/>
      <c r="HP145" s="99"/>
      <c r="HR145" s="99"/>
      <c r="HS145" s="99"/>
      <c r="HT145" s="99"/>
      <c r="HU145" s="99"/>
      <c r="HV145" s="99"/>
      <c r="HW145" s="99"/>
      <c r="HY145" s="99"/>
      <c r="HZ145" s="99"/>
      <c r="IA145" s="99"/>
      <c r="IB145" s="99"/>
      <c r="IC145" s="99"/>
      <c r="ID145" s="99"/>
      <c r="IF145" s="99"/>
      <c r="IG145" s="99"/>
      <c r="IH145" s="99"/>
      <c r="II145" s="99"/>
      <c r="IJ145" s="99"/>
      <c r="IK145" s="99"/>
      <c r="IM145" s="99"/>
      <c r="IN145" s="99"/>
      <c r="IO145" s="99"/>
      <c r="IP145" s="99"/>
      <c r="IQ145" s="99"/>
      <c r="IR145" s="99"/>
      <c r="IT145" s="99"/>
      <c r="IU145" s="99"/>
      <c r="IV145" s="99"/>
    </row>
    <row r="146" spans="2:256" ht="12.75">
      <c r="B146" s="33"/>
      <c r="C146" s="33"/>
      <c r="D146" s="33"/>
      <c r="E146" s="33"/>
      <c r="F146" s="33"/>
      <c r="G146" s="33"/>
      <c r="I146" s="99"/>
      <c r="J146" s="99"/>
      <c r="K146" s="99"/>
      <c r="L146" s="99"/>
      <c r="M146" s="99"/>
      <c r="N146" s="99"/>
      <c r="P146" s="99"/>
      <c r="Q146" s="99"/>
      <c r="R146" s="99"/>
      <c r="S146" s="99"/>
      <c r="T146" s="99"/>
      <c r="U146" s="99"/>
      <c r="W146" s="99"/>
      <c r="X146" s="99"/>
      <c r="Y146" s="99"/>
      <c r="Z146" s="99"/>
      <c r="AA146" s="99"/>
      <c r="AB146" s="99"/>
      <c r="AD146" s="99"/>
      <c r="AE146" s="99"/>
      <c r="AF146" s="99"/>
      <c r="AG146" s="99"/>
      <c r="AH146" s="99"/>
      <c r="AI146" s="99"/>
      <c r="AK146" s="99"/>
      <c r="AL146" s="99"/>
      <c r="AM146" s="99"/>
      <c r="AN146" s="99"/>
      <c r="AO146" s="99"/>
      <c r="AP146" s="99"/>
      <c r="AR146" s="99"/>
      <c r="AS146" s="99"/>
      <c r="AT146" s="99"/>
      <c r="AU146" s="99"/>
      <c r="AV146" s="99"/>
      <c r="AW146" s="99"/>
      <c r="AY146" s="99"/>
      <c r="AZ146" s="99"/>
      <c r="BA146" s="99"/>
      <c r="BB146" s="99"/>
      <c r="BC146" s="99"/>
      <c r="BD146" s="99"/>
      <c r="BF146" s="99"/>
      <c r="BG146" s="99"/>
      <c r="BH146" s="99"/>
      <c r="BI146" s="99"/>
      <c r="BJ146" s="99"/>
      <c r="BK146" s="99"/>
      <c r="BM146" s="99"/>
      <c r="BN146" s="99"/>
      <c r="BO146" s="99"/>
      <c r="BP146" s="99"/>
      <c r="BQ146" s="99"/>
      <c r="BR146" s="99"/>
      <c r="BT146" s="99"/>
      <c r="BU146" s="99"/>
      <c r="BV146" s="99"/>
      <c r="BW146" s="99"/>
      <c r="BX146" s="99"/>
      <c r="BY146" s="99"/>
      <c r="CA146" s="99"/>
      <c r="CB146" s="99"/>
      <c r="CC146" s="99"/>
      <c r="CD146" s="99"/>
      <c r="CE146" s="99"/>
      <c r="CF146" s="99"/>
      <c r="CH146" s="99"/>
      <c r="CI146" s="99"/>
      <c r="CJ146" s="99"/>
      <c r="CK146" s="99"/>
      <c r="CL146" s="99"/>
      <c r="CM146" s="99"/>
      <c r="CO146" s="99"/>
      <c r="CP146" s="99"/>
      <c r="CQ146" s="99"/>
      <c r="CR146" s="99"/>
      <c r="CS146" s="99"/>
      <c r="CT146" s="99"/>
      <c r="CV146" s="99"/>
      <c r="CW146" s="99"/>
      <c r="CX146" s="99"/>
      <c r="CY146" s="99"/>
      <c r="CZ146" s="99"/>
      <c r="DA146" s="99"/>
      <c r="DC146" s="99"/>
      <c r="DD146" s="99"/>
      <c r="DE146" s="99"/>
      <c r="DF146" s="99"/>
      <c r="DG146" s="99"/>
      <c r="DH146" s="99"/>
      <c r="DJ146" s="99"/>
      <c r="DK146" s="99"/>
      <c r="DL146" s="99"/>
      <c r="DM146" s="99"/>
      <c r="DN146" s="99"/>
      <c r="DO146" s="99"/>
      <c r="DQ146" s="99"/>
      <c r="DR146" s="99"/>
      <c r="DS146" s="99"/>
      <c r="DT146" s="99"/>
      <c r="DU146" s="99"/>
      <c r="DV146" s="99"/>
      <c r="DX146" s="99"/>
      <c r="DY146" s="99"/>
      <c r="DZ146" s="99"/>
      <c r="EA146" s="99"/>
      <c r="EB146" s="99"/>
      <c r="EC146" s="99"/>
      <c r="EE146" s="99"/>
      <c r="EF146" s="99"/>
      <c r="EG146" s="99"/>
      <c r="EH146" s="99"/>
      <c r="EI146" s="99"/>
      <c r="EJ146" s="99"/>
      <c r="EL146" s="99"/>
      <c r="EM146" s="99"/>
      <c r="EN146" s="99"/>
      <c r="EO146" s="99"/>
      <c r="EP146" s="99"/>
      <c r="EQ146" s="99"/>
      <c r="ES146" s="99"/>
      <c r="ET146" s="99"/>
      <c r="EU146" s="99"/>
      <c r="EV146" s="99"/>
      <c r="EW146" s="99"/>
      <c r="EX146" s="99"/>
      <c r="EZ146" s="99"/>
      <c r="FA146" s="99"/>
      <c r="FB146" s="99"/>
      <c r="FC146" s="99"/>
      <c r="FD146" s="99"/>
      <c r="FE146" s="99"/>
      <c r="FG146" s="99"/>
      <c r="FH146" s="99"/>
      <c r="FI146" s="99"/>
      <c r="FJ146" s="99"/>
      <c r="FK146" s="99"/>
      <c r="FL146" s="99"/>
      <c r="FN146" s="99"/>
      <c r="FO146" s="99"/>
      <c r="FP146" s="99"/>
      <c r="FQ146" s="99"/>
      <c r="FR146" s="99"/>
      <c r="FS146" s="99"/>
      <c r="FU146" s="99"/>
      <c r="FV146" s="99"/>
      <c r="FW146" s="99"/>
      <c r="FX146" s="99"/>
      <c r="FY146" s="99"/>
      <c r="FZ146" s="99"/>
      <c r="GB146" s="99"/>
      <c r="GC146" s="99"/>
      <c r="GD146" s="99"/>
      <c r="GE146" s="99"/>
      <c r="GF146" s="99"/>
      <c r="GG146" s="99"/>
      <c r="GI146" s="99"/>
      <c r="GJ146" s="99"/>
      <c r="GK146" s="99"/>
      <c r="GL146" s="99"/>
      <c r="GM146" s="99"/>
      <c r="GN146" s="99"/>
      <c r="GP146" s="99"/>
      <c r="GQ146" s="99"/>
      <c r="GR146" s="99"/>
      <c r="GS146" s="99"/>
      <c r="GT146" s="99"/>
      <c r="GU146" s="99"/>
      <c r="GW146" s="99"/>
      <c r="GX146" s="99"/>
      <c r="GY146" s="99"/>
      <c r="GZ146" s="99"/>
      <c r="HA146" s="99"/>
      <c r="HB146" s="99"/>
      <c r="HD146" s="99"/>
      <c r="HE146" s="99"/>
      <c r="HF146" s="99"/>
      <c r="HG146" s="99"/>
      <c r="HH146" s="99"/>
      <c r="HI146" s="99"/>
      <c r="HK146" s="99"/>
      <c r="HL146" s="99"/>
      <c r="HM146" s="99"/>
      <c r="HN146" s="99"/>
      <c r="HO146" s="99"/>
      <c r="HP146" s="99"/>
      <c r="HR146" s="99"/>
      <c r="HS146" s="99"/>
      <c r="HT146" s="99"/>
      <c r="HU146" s="99"/>
      <c r="HV146" s="99"/>
      <c r="HW146" s="99"/>
      <c r="HY146" s="99"/>
      <c r="HZ146" s="99"/>
      <c r="IA146" s="99"/>
      <c r="IB146" s="99"/>
      <c r="IC146" s="99"/>
      <c r="ID146" s="99"/>
      <c r="IF146" s="99"/>
      <c r="IG146" s="99"/>
      <c r="IH146" s="99"/>
      <c r="II146" s="99"/>
      <c r="IJ146" s="99"/>
      <c r="IK146" s="99"/>
      <c r="IM146" s="99"/>
      <c r="IN146" s="99"/>
      <c r="IO146" s="99"/>
      <c r="IP146" s="99"/>
      <c r="IQ146" s="99"/>
      <c r="IR146" s="99"/>
      <c r="IT146" s="99"/>
      <c r="IU146" s="99"/>
      <c r="IV146" s="99"/>
    </row>
    <row r="147" spans="1:256" ht="12.75">
      <c r="A147" s="33"/>
      <c r="B147" s="33"/>
      <c r="C147" s="33"/>
      <c r="D147" s="33"/>
      <c r="E147" s="33"/>
      <c r="F147" s="33"/>
      <c r="G147" s="33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99"/>
      <c r="IO147" s="99"/>
      <c r="IP147" s="99"/>
      <c r="IQ147" s="99"/>
      <c r="IR147" s="99"/>
      <c r="IS147" s="99"/>
      <c r="IT147" s="99"/>
      <c r="IU147" s="99"/>
      <c r="IV147" s="99"/>
    </row>
    <row r="148" spans="1:256" ht="12.75">
      <c r="A148" s="33"/>
      <c r="B148" s="33"/>
      <c r="C148" s="33"/>
      <c r="D148" s="33"/>
      <c r="E148" s="33"/>
      <c r="F148" s="33"/>
      <c r="G148" s="33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  <c r="IO148" s="99"/>
      <c r="IP148" s="99"/>
      <c r="IQ148" s="99"/>
      <c r="IR148" s="99"/>
      <c r="IS148" s="99"/>
      <c r="IT148" s="99"/>
      <c r="IU148" s="99"/>
      <c r="IV148" s="99"/>
    </row>
    <row r="149" spans="2:256" ht="12.75">
      <c r="B149" s="33"/>
      <c r="C149" s="33"/>
      <c r="D149" s="33"/>
      <c r="E149" s="33"/>
      <c r="F149" s="33"/>
      <c r="G149" s="33"/>
      <c r="I149" s="99"/>
      <c r="J149" s="99"/>
      <c r="K149" s="99"/>
      <c r="L149" s="99"/>
      <c r="M149" s="99"/>
      <c r="N149" s="99"/>
      <c r="P149" s="99"/>
      <c r="Q149" s="99"/>
      <c r="R149" s="99"/>
      <c r="S149" s="99"/>
      <c r="T149" s="99"/>
      <c r="U149" s="99"/>
      <c r="W149" s="99"/>
      <c r="X149" s="99"/>
      <c r="Y149" s="99"/>
      <c r="Z149" s="99"/>
      <c r="AA149" s="99"/>
      <c r="AB149" s="99"/>
      <c r="AD149" s="99"/>
      <c r="AE149" s="99"/>
      <c r="AF149" s="99"/>
      <c r="AG149" s="99"/>
      <c r="AH149" s="99"/>
      <c r="AI149" s="99"/>
      <c r="AK149" s="99"/>
      <c r="AL149" s="99"/>
      <c r="AM149" s="99"/>
      <c r="AN149" s="99"/>
      <c r="AO149" s="99"/>
      <c r="AP149" s="99"/>
      <c r="AR149" s="99"/>
      <c r="AS149" s="99"/>
      <c r="AT149" s="99"/>
      <c r="AU149" s="99"/>
      <c r="AV149" s="99"/>
      <c r="AW149" s="99"/>
      <c r="AY149" s="99"/>
      <c r="AZ149" s="99"/>
      <c r="BA149" s="99"/>
      <c r="BB149" s="99"/>
      <c r="BC149" s="99"/>
      <c r="BD149" s="99"/>
      <c r="BF149" s="99"/>
      <c r="BG149" s="99"/>
      <c r="BH149" s="99"/>
      <c r="BI149" s="99"/>
      <c r="BJ149" s="99"/>
      <c r="BK149" s="99"/>
      <c r="BM149" s="99"/>
      <c r="BN149" s="99"/>
      <c r="BO149" s="99"/>
      <c r="BP149" s="99"/>
      <c r="BQ149" s="99"/>
      <c r="BR149" s="99"/>
      <c r="BT149" s="99"/>
      <c r="BU149" s="99"/>
      <c r="BV149" s="99"/>
      <c r="BW149" s="99"/>
      <c r="BX149" s="99"/>
      <c r="BY149" s="99"/>
      <c r="CA149" s="99"/>
      <c r="CB149" s="99"/>
      <c r="CC149" s="99"/>
      <c r="CD149" s="99"/>
      <c r="CE149" s="99"/>
      <c r="CF149" s="99"/>
      <c r="CH149" s="99"/>
      <c r="CI149" s="99"/>
      <c r="CJ149" s="99"/>
      <c r="CK149" s="99"/>
      <c r="CL149" s="99"/>
      <c r="CM149" s="99"/>
      <c r="CO149" s="99"/>
      <c r="CP149" s="99"/>
      <c r="CQ149" s="99"/>
      <c r="CR149" s="99"/>
      <c r="CS149" s="99"/>
      <c r="CT149" s="99"/>
      <c r="CV149" s="99"/>
      <c r="CW149" s="99"/>
      <c r="CX149" s="99"/>
      <c r="CY149" s="99"/>
      <c r="CZ149" s="99"/>
      <c r="DA149" s="99"/>
      <c r="DC149" s="99"/>
      <c r="DD149" s="99"/>
      <c r="DE149" s="99"/>
      <c r="DF149" s="99"/>
      <c r="DG149" s="99"/>
      <c r="DH149" s="99"/>
      <c r="DJ149" s="99"/>
      <c r="DK149" s="99"/>
      <c r="DL149" s="99"/>
      <c r="DM149" s="99"/>
      <c r="DN149" s="99"/>
      <c r="DO149" s="99"/>
      <c r="DQ149" s="99"/>
      <c r="DR149" s="99"/>
      <c r="DS149" s="99"/>
      <c r="DT149" s="99"/>
      <c r="DU149" s="99"/>
      <c r="DV149" s="99"/>
      <c r="DX149" s="99"/>
      <c r="DY149" s="99"/>
      <c r="DZ149" s="99"/>
      <c r="EA149" s="99"/>
      <c r="EB149" s="99"/>
      <c r="EC149" s="99"/>
      <c r="EE149" s="99"/>
      <c r="EF149" s="99"/>
      <c r="EG149" s="99"/>
      <c r="EH149" s="99"/>
      <c r="EI149" s="99"/>
      <c r="EJ149" s="99"/>
      <c r="EL149" s="99"/>
      <c r="EM149" s="99"/>
      <c r="EN149" s="99"/>
      <c r="EO149" s="99"/>
      <c r="EP149" s="99"/>
      <c r="EQ149" s="99"/>
      <c r="ES149" s="99"/>
      <c r="ET149" s="99"/>
      <c r="EU149" s="99"/>
      <c r="EV149" s="99"/>
      <c r="EW149" s="99"/>
      <c r="EX149" s="99"/>
      <c r="EZ149" s="99"/>
      <c r="FA149" s="99"/>
      <c r="FB149" s="99"/>
      <c r="FC149" s="99"/>
      <c r="FD149" s="99"/>
      <c r="FE149" s="99"/>
      <c r="FG149" s="99"/>
      <c r="FH149" s="99"/>
      <c r="FI149" s="99"/>
      <c r="FJ149" s="99"/>
      <c r="FK149" s="99"/>
      <c r="FL149" s="99"/>
      <c r="FN149" s="99"/>
      <c r="FO149" s="99"/>
      <c r="FP149" s="99"/>
      <c r="FQ149" s="99"/>
      <c r="FR149" s="99"/>
      <c r="FS149" s="99"/>
      <c r="FU149" s="99"/>
      <c r="FV149" s="99"/>
      <c r="FW149" s="99"/>
      <c r="FX149" s="99"/>
      <c r="FY149" s="99"/>
      <c r="FZ149" s="99"/>
      <c r="GB149" s="99"/>
      <c r="GC149" s="99"/>
      <c r="GD149" s="99"/>
      <c r="GE149" s="99"/>
      <c r="GF149" s="99"/>
      <c r="GG149" s="99"/>
      <c r="GI149" s="99"/>
      <c r="GJ149" s="99"/>
      <c r="GK149" s="99"/>
      <c r="GL149" s="99"/>
      <c r="GM149" s="99"/>
      <c r="GN149" s="99"/>
      <c r="GP149" s="99"/>
      <c r="GQ149" s="99"/>
      <c r="GR149" s="99"/>
      <c r="GS149" s="99"/>
      <c r="GT149" s="99"/>
      <c r="GU149" s="99"/>
      <c r="GW149" s="99"/>
      <c r="GX149" s="99"/>
      <c r="GY149" s="99"/>
      <c r="GZ149" s="99"/>
      <c r="HA149" s="99"/>
      <c r="HB149" s="99"/>
      <c r="HD149" s="99"/>
      <c r="HE149" s="99"/>
      <c r="HF149" s="99"/>
      <c r="HG149" s="99"/>
      <c r="HH149" s="99"/>
      <c r="HI149" s="99"/>
      <c r="HK149" s="99"/>
      <c r="HL149" s="99"/>
      <c r="HM149" s="99"/>
      <c r="HN149" s="99"/>
      <c r="HO149" s="99"/>
      <c r="HP149" s="99"/>
      <c r="HR149" s="99"/>
      <c r="HS149" s="99"/>
      <c r="HT149" s="99"/>
      <c r="HU149" s="99"/>
      <c r="HV149" s="99"/>
      <c r="HW149" s="99"/>
      <c r="HY149" s="99"/>
      <c r="HZ149" s="99"/>
      <c r="IA149" s="99"/>
      <c r="IB149" s="99"/>
      <c r="IC149" s="99"/>
      <c r="ID149" s="99"/>
      <c r="IF149" s="99"/>
      <c r="IG149" s="99"/>
      <c r="IH149" s="99"/>
      <c r="II149" s="99"/>
      <c r="IJ149" s="99"/>
      <c r="IK149" s="99"/>
      <c r="IM149" s="99"/>
      <c r="IN149" s="99"/>
      <c r="IO149" s="99"/>
      <c r="IP149" s="99"/>
      <c r="IQ149" s="99"/>
      <c r="IR149" s="99"/>
      <c r="IT149" s="99"/>
      <c r="IU149" s="99"/>
      <c r="IV149" s="99"/>
    </row>
    <row r="150" spans="2:256" ht="12.75">
      <c r="B150" s="33"/>
      <c r="C150" s="33"/>
      <c r="D150" s="33"/>
      <c r="E150" s="33"/>
      <c r="F150" s="33"/>
      <c r="G150" s="33"/>
      <c r="I150" s="99"/>
      <c r="J150" s="99"/>
      <c r="K150" s="99"/>
      <c r="L150" s="99"/>
      <c r="M150" s="99"/>
      <c r="N150" s="99"/>
      <c r="P150" s="99"/>
      <c r="Q150" s="99"/>
      <c r="R150" s="99"/>
      <c r="S150" s="99"/>
      <c r="T150" s="99"/>
      <c r="U150" s="99"/>
      <c r="W150" s="99"/>
      <c r="X150" s="99"/>
      <c r="Y150" s="99"/>
      <c r="Z150" s="99"/>
      <c r="AA150" s="99"/>
      <c r="AB150" s="99"/>
      <c r="AD150" s="99"/>
      <c r="AE150" s="99"/>
      <c r="AF150" s="99"/>
      <c r="AG150" s="99"/>
      <c r="AH150" s="99"/>
      <c r="AI150" s="99"/>
      <c r="AK150" s="99"/>
      <c r="AL150" s="99"/>
      <c r="AM150" s="99"/>
      <c r="AN150" s="99"/>
      <c r="AO150" s="99"/>
      <c r="AP150" s="99"/>
      <c r="AR150" s="99"/>
      <c r="AS150" s="99"/>
      <c r="AT150" s="99"/>
      <c r="AU150" s="99"/>
      <c r="AV150" s="99"/>
      <c r="AW150" s="99"/>
      <c r="AY150" s="99"/>
      <c r="AZ150" s="99"/>
      <c r="BA150" s="99"/>
      <c r="BB150" s="99"/>
      <c r="BC150" s="99"/>
      <c r="BD150" s="99"/>
      <c r="BF150" s="99"/>
      <c r="BG150" s="99"/>
      <c r="BH150" s="99"/>
      <c r="BI150" s="99"/>
      <c r="BJ150" s="99"/>
      <c r="BK150" s="99"/>
      <c r="BM150" s="99"/>
      <c r="BN150" s="99"/>
      <c r="BO150" s="99"/>
      <c r="BP150" s="99"/>
      <c r="BQ150" s="99"/>
      <c r="BR150" s="99"/>
      <c r="BT150" s="99"/>
      <c r="BU150" s="99"/>
      <c r="BV150" s="99"/>
      <c r="BW150" s="99"/>
      <c r="BX150" s="99"/>
      <c r="BY150" s="99"/>
      <c r="CA150" s="99"/>
      <c r="CB150" s="99"/>
      <c r="CC150" s="99"/>
      <c r="CD150" s="99"/>
      <c r="CE150" s="99"/>
      <c r="CF150" s="99"/>
      <c r="CH150" s="99"/>
      <c r="CI150" s="99"/>
      <c r="CJ150" s="99"/>
      <c r="CK150" s="99"/>
      <c r="CL150" s="99"/>
      <c r="CM150" s="99"/>
      <c r="CO150" s="99"/>
      <c r="CP150" s="99"/>
      <c r="CQ150" s="99"/>
      <c r="CR150" s="99"/>
      <c r="CS150" s="99"/>
      <c r="CT150" s="99"/>
      <c r="CV150" s="99"/>
      <c r="CW150" s="99"/>
      <c r="CX150" s="99"/>
      <c r="CY150" s="99"/>
      <c r="CZ150" s="99"/>
      <c r="DA150" s="99"/>
      <c r="DC150" s="99"/>
      <c r="DD150" s="99"/>
      <c r="DE150" s="99"/>
      <c r="DF150" s="99"/>
      <c r="DG150" s="99"/>
      <c r="DH150" s="99"/>
      <c r="DJ150" s="99"/>
      <c r="DK150" s="99"/>
      <c r="DL150" s="99"/>
      <c r="DM150" s="99"/>
      <c r="DN150" s="99"/>
      <c r="DO150" s="99"/>
      <c r="DQ150" s="99"/>
      <c r="DR150" s="99"/>
      <c r="DS150" s="99"/>
      <c r="DT150" s="99"/>
      <c r="DU150" s="99"/>
      <c r="DV150" s="99"/>
      <c r="DX150" s="99"/>
      <c r="DY150" s="99"/>
      <c r="DZ150" s="99"/>
      <c r="EA150" s="99"/>
      <c r="EB150" s="99"/>
      <c r="EC150" s="99"/>
      <c r="EE150" s="99"/>
      <c r="EF150" s="99"/>
      <c r="EG150" s="99"/>
      <c r="EH150" s="99"/>
      <c r="EI150" s="99"/>
      <c r="EJ150" s="99"/>
      <c r="EL150" s="99"/>
      <c r="EM150" s="99"/>
      <c r="EN150" s="99"/>
      <c r="EO150" s="99"/>
      <c r="EP150" s="99"/>
      <c r="EQ150" s="99"/>
      <c r="ES150" s="99"/>
      <c r="ET150" s="99"/>
      <c r="EU150" s="99"/>
      <c r="EV150" s="99"/>
      <c r="EW150" s="99"/>
      <c r="EX150" s="99"/>
      <c r="EZ150" s="99"/>
      <c r="FA150" s="99"/>
      <c r="FB150" s="99"/>
      <c r="FC150" s="99"/>
      <c r="FD150" s="99"/>
      <c r="FE150" s="99"/>
      <c r="FG150" s="99"/>
      <c r="FH150" s="99"/>
      <c r="FI150" s="99"/>
      <c r="FJ150" s="99"/>
      <c r="FK150" s="99"/>
      <c r="FL150" s="99"/>
      <c r="FN150" s="99"/>
      <c r="FO150" s="99"/>
      <c r="FP150" s="99"/>
      <c r="FQ150" s="99"/>
      <c r="FR150" s="99"/>
      <c r="FS150" s="99"/>
      <c r="FU150" s="99"/>
      <c r="FV150" s="99"/>
      <c r="FW150" s="99"/>
      <c r="FX150" s="99"/>
      <c r="FY150" s="99"/>
      <c r="FZ150" s="99"/>
      <c r="GB150" s="99"/>
      <c r="GC150" s="99"/>
      <c r="GD150" s="99"/>
      <c r="GE150" s="99"/>
      <c r="GF150" s="99"/>
      <c r="GG150" s="99"/>
      <c r="GI150" s="99"/>
      <c r="GJ150" s="99"/>
      <c r="GK150" s="99"/>
      <c r="GL150" s="99"/>
      <c r="GM150" s="99"/>
      <c r="GN150" s="99"/>
      <c r="GP150" s="99"/>
      <c r="GQ150" s="99"/>
      <c r="GR150" s="99"/>
      <c r="GS150" s="99"/>
      <c r="GT150" s="99"/>
      <c r="GU150" s="99"/>
      <c r="GW150" s="99"/>
      <c r="GX150" s="99"/>
      <c r="GY150" s="99"/>
      <c r="GZ150" s="99"/>
      <c r="HA150" s="99"/>
      <c r="HB150" s="99"/>
      <c r="HD150" s="99"/>
      <c r="HE150" s="99"/>
      <c r="HF150" s="99"/>
      <c r="HG150" s="99"/>
      <c r="HH150" s="99"/>
      <c r="HI150" s="99"/>
      <c r="HK150" s="99"/>
      <c r="HL150" s="99"/>
      <c r="HM150" s="99"/>
      <c r="HN150" s="99"/>
      <c r="HO150" s="99"/>
      <c r="HP150" s="99"/>
      <c r="HR150" s="99"/>
      <c r="HS150" s="99"/>
      <c r="HT150" s="99"/>
      <c r="HU150" s="99"/>
      <c r="HV150" s="99"/>
      <c r="HW150" s="99"/>
      <c r="HY150" s="99"/>
      <c r="HZ150" s="99"/>
      <c r="IA150" s="99"/>
      <c r="IB150" s="99"/>
      <c r="IC150" s="99"/>
      <c r="ID150" s="99"/>
      <c r="IF150" s="99"/>
      <c r="IG150" s="99"/>
      <c r="IH150" s="99"/>
      <c r="II150" s="99"/>
      <c r="IJ150" s="99"/>
      <c r="IK150" s="99"/>
      <c r="IM150" s="99"/>
      <c r="IN150" s="99"/>
      <c r="IO150" s="99"/>
      <c r="IP150" s="99"/>
      <c r="IQ150" s="99"/>
      <c r="IR150" s="99"/>
      <c r="IT150" s="99"/>
      <c r="IU150" s="99"/>
      <c r="IV150" s="99"/>
    </row>
    <row r="151" spans="1:256" ht="12.75">
      <c r="A151" s="33"/>
      <c r="B151" s="33"/>
      <c r="C151" s="33"/>
      <c r="D151" s="33"/>
      <c r="E151" s="33"/>
      <c r="F151" s="33"/>
      <c r="G151" s="33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256" ht="12.75">
      <c r="A152" s="33"/>
      <c r="B152" s="33"/>
      <c r="C152" s="33"/>
      <c r="D152" s="33"/>
      <c r="E152" s="33"/>
      <c r="F152" s="33"/>
      <c r="G152" s="33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256" ht="12.75">
      <c r="A153" s="33"/>
      <c r="B153" s="33"/>
      <c r="C153" s="33"/>
      <c r="D153" s="33"/>
      <c r="E153" s="33"/>
      <c r="F153" s="33"/>
      <c r="G153" s="33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</row>
    <row r="154" spans="1:256" ht="12.75">
      <c r="A154" s="33"/>
      <c r="B154" s="33"/>
      <c r="C154" s="33"/>
      <c r="D154" s="33"/>
      <c r="E154" s="33"/>
      <c r="F154" s="33"/>
      <c r="G154" s="33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ht="12.75">
      <c r="A155" s="33"/>
      <c r="B155" s="33"/>
      <c r="C155" s="33"/>
      <c r="D155" s="33"/>
      <c r="E155" s="33"/>
      <c r="F155" s="33"/>
      <c r="G155" s="33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ht="12.75">
      <c r="A156" s="33"/>
      <c r="B156" s="33"/>
      <c r="C156" s="33"/>
      <c r="D156" s="33"/>
      <c r="E156" s="33"/>
      <c r="F156" s="33"/>
      <c r="G156" s="33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256" ht="12.75">
      <c r="A157" s="33"/>
      <c r="B157" s="33"/>
      <c r="C157" s="33"/>
      <c r="D157" s="33"/>
      <c r="E157" s="33"/>
      <c r="F157" s="33"/>
      <c r="G157" s="33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256" ht="12.75">
      <c r="A158" s="33"/>
      <c r="B158" s="33"/>
      <c r="C158" s="33"/>
      <c r="D158" s="33"/>
      <c r="E158" s="33"/>
      <c r="F158" s="33"/>
      <c r="G158" s="33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  <c r="IO158" s="99"/>
      <c r="IP158" s="99"/>
      <c r="IQ158" s="99"/>
      <c r="IR158" s="99"/>
      <c r="IS158" s="99"/>
      <c r="IT158" s="99"/>
      <c r="IU158" s="99"/>
      <c r="IV158" s="99"/>
    </row>
    <row r="159" spans="1:256" ht="12.75">
      <c r="A159" s="33"/>
      <c r="B159" s="33"/>
      <c r="C159" s="33"/>
      <c r="D159" s="33"/>
      <c r="E159" s="33"/>
      <c r="F159" s="33"/>
      <c r="G159" s="33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256" ht="12.75">
      <c r="A160" s="33"/>
      <c r="B160" s="33"/>
      <c r="C160" s="33"/>
      <c r="D160" s="33"/>
      <c r="E160" s="33"/>
      <c r="F160" s="33"/>
      <c r="G160" s="33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  <c r="IU160" s="99"/>
      <c r="IV160" s="99"/>
    </row>
    <row r="161" spans="1:256" ht="12.75">
      <c r="A161" s="33"/>
      <c r="B161" s="33"/>
      <c r="C161" s="33"/>
      <c r="D161" s="33"/>
      <c r="E161" s="33"/>
      <c r="F161" s="33"/>
      <c r="G161" s="33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99"/>
      <c r="HA161" s="99"/>
      <c r="HB161" s="99"/>
      <c r="HC161" s="99"/>
      <c r="HD161" s="99"/>
      <c r="HE161" s="99"/>
      <c r="HF161" s="99"/>
      <c r="HG161" s="99"/>
      <c r="HH161" s="99"/>
      <c r="HI161" s="99"/>
      <c r="HJ161" s="99"/>
      <c r="HK161" s="99"/>
      <c r="HL161" s="99"/>
      <c r="HM161" s="99"/>
      <c r="HN161" s="99"/>
      <c r="HO161" s="99"/>
      <c r="HP161" s="99"/>
      <c r="HQ161" s="99"/>
      <c r="HR161" s="99"/>
      <c r="HS161" s="99"/>
      <c r="HT161" s="99"/>
      <c r="HU161" s="99"/>
      <c r="HV161" s="99"/>
      <c r="HW161" s="99"/>
      <c r="HX161" s="99"/>
      <c r="HY161" s="99"/>
      <c r="HZ161" s="99"/>
      <c r="IA161" s="99"/>
      <c r="IB161" s="99"/>
      <c r="IC161" s="99"/>
      <c r="ID161" s="99"/>
      <c r="IE161" s="99"/>
      <c r="IF161" s="99"/>
      <c r="IG161" s="99"/>
      <c r="IH161" s="99"/>
      <c r="II161" s="99"/>
      <c r="IJ161" s="99"/>
      <c r="IK161" s="99"/>
      <c r="IL161" s="99"/>
      <c r="IM161" s="99"/>
      <c r="IN161" s="99"/>
      <c r="IO161" s="99"/>
      <c r="IP161" s="99"/>
      <c r="IQ161" s="99"/>
      <c r="IR161" s="99"/>
      <c r="IS161" s="99"/>
      <c r="IT161" s="99"/>
      <c r="IU161" s="99"/>
      <c r="IV161" s="99"/>
    </row>
    <row r="162" spans="1:256" ht="12.75">
      <c r="A162" s="33"/>
      <c r="B162" s="33"/>
      <c r="C162" s="33"/>
      <c r="D162" s="33"/>
      <c r="E162" s="33"/>
      <c r="F162" s="33"/>
      <c r="G162" s="33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256" ht="12.75">
      <c r="A163" s="33"/>
      <c r="B163" s="33"/>
      <c r="C163" s="33"/>
      <c r="D163" s="33"/>
      <c r="E163" s="33"/>
      <c r="F163" s="33"/>
      <c r="G163" s="33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256" ht="12.75">
      <c r="A164" s="33"/>
      <c r="B164" s="33"/>
      <c r="C164" s="33"/>
      <c r="D164" s="33"/>
      <c r="E164" s="33"/>
      <c r="F164" s="33"/>
      <c r="G164" s="33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99"/>
      <c r="HA164" s="99"/>
      <c r="HB164" s="99"/>
      <c r="HC164" s="99"/>
      <c r="HD164" s="99"/>
      <c r="HE164" s="99"/>
      <c r="HF164" s="99"/>
      <c r="HG164" s="99"/>
      <c r="HH164" s="99"/>
      <c r="HI164" s="99"/>
      <c r="HJ164" s="99"/>
      <c r="HK164" s="99"/>
      <c r="HL164" s="99"/>
      <c r="HM164" s="99"/>
      <c r="HN164" s="99"/>
      <c r="HO164" s="99"/>
      <c r="HP164" s="99"/>
      <c r="HQ164" s="99"/>
      <c r="HR164" s="99"/>
      <c r="HS164" s="99"/>
      <c r="HT164" s="99"/>
      <c r="HU164" s="99"/>
      <c r="HV164" s="99"/>
      <c r="HW164" s="99"/>
      <c r="HX164" s="99"/>
      <c r="HY164" s="99"/>
      <c r="HZ164" s="99"/>
      <c r="IA164" s="99"/>
      <c r="IB164" s="99"/>
      <c r="IC164" s="99"/>
      <c r="ID164" s="99"/>
      <c r="IE164" s="99"/>
      <c r="IF164" s="99"/>
      <c r="IG164" s="99"/>
      <c r="IH164" s="99"/>
      <c r="II164" s="99"/>
      <c r="IJ164" s="99"/>
      <c r="IK164" s="99"/>
      <c r="IL164" s="99"/>
      <c r="IM164" s="99"/>
      <c r="IN164" s="99"/>
      <c r="IO164" s="99"/>
      <c r="IP164" s="99"/>
      <c r="IQ164" s="99"/>
      <c r="IR164" s="99"/>
      <c r="IS164" s="99"/>
      <c r="IT164" s="99"/>
      <c r="IU164" s="99"/>
      <c r="IV164" s="99"/>
    </row>
    <row r="165" spans="1:256" ht="12.75">
      <c r="A165" s="33"/>
      <c r="B165" s="33"/>
      <c r="C165" s="33"/>
      <c r="D165" s="33"/>
      <c r="E165" s="33"/>
      <c r="F165" s="33"/>
      <c r="G165" s="33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9"/>
      <c r="HJ165" s="99"/>
      <c r="HK165" s="99"/>
      <c r="HL165" s="99"/>
      <c r="HM165" s="99"/>
      <c r="HN165" s="99"/>
      <c r="HO165" s="99"/>
      <c r="HP165" s="99"/>
      <c r="HQ165" s="99"/>
      <c r="HR165" s="99"/>
      <c r="HS165" s="99"/>
      <c r="HT165" s="99"/>
      <c r="HU165" s="99"/>
      <c r="HV165" s="99"/>
      <c r="HW165" s="99"/>
      <c r="HX165" s="99"/>
      <c r="HY165" s="99"/>
      <c r="HZ165" s="99"/>
      <c r="IA165" s="99"/>
      <c r="IB165" s="99"/>
      <c r="IC165" s="99"/>
      <c r="ID165" s="99"/>
      <c r="IE165" s="99"/>
      <c r="IF165" s="99"/>
      <c r="IG165" s="99"/>
      <c r="IH165" s="99"/>
      <c r="II165" s="99"/>
      <c r="IJ165" s="99"/>
      <c r="IK165" s="99"/>
      <c r="IL165" s="99"/>
      <c r="IM165" s="99"/>
      <c r="IN165" s="99"/>
      <c r="IO165" s="99"/>
      <c r="IP165" s="99"/>
      <c r="IQ165" s="99"/>
      <c r="IR165" s="99"/>
      <c r="IS165" s="99"/>
      <c r="IT165" s="99"/>
      <c r="IU165" s="99"/>
      <c r="IV165" s="99"/>
    </row>
    <row r="166" spans="1:256" ht="12.75">
      <c r="A166" s="33"/>
      <c r="B166" s="33"/>
      <c r="C166" s="33"/>
      <c r="D166" s="33"/>
      <c r="E166" s="33"/>
      <c r="F166" s="33"/>
      <c r="G166" s="33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256" ht="12.75">
      <c r="A167" s="33"/>
      <c r="B167" s="33"/>
      <c r="C167" s="33"/>
      <c r="D167" s="33"/>
      <c r="E167" s="33"/>
      <c r="F167" s="33"/>
      <c r="G167" s="33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  <c r="GS167" s="99"/>
      <c r="GT167" s="99"/>
      <c r="GU167" s="99"/>
      <c r="GV167" s="99"/>
      <c r="GW167" s="99"/>
      <c r="GX167" s="99"/>
      <c r="GY167" s="99"/>
      <c r="GZ167" s="99"/>
      <c r="HA167" s="99"/>
      <c r="HB167" s="99"/>
      <c r="HC167" s="99"/>
      <c r="HD167" s="99"/>
      <c r="HE167" s="99"/>
      <c r="HF167" s="99"/>
      <c r="HG167" s="99"/>
      <c r="HH167" s="99"/>
      <c r="HI167" s="99"/>
      <c r="HJ167" s="99"/>
      <c r="HK167" s="99"/>
      <c r="HL167" s="99"/>
      <c r="HM167" s="99"/>
      <c r="HN167" s="99"/>
      <c r="HO167" s="99"/>
      <c r="HP167" s="99"/>
      <c r="HQ167" s="99"/>
      <c r="HR167" s="99"/>
      <c r="HS167" s="99"/>
      <c r="HT167" s="99"/>
      <c r="HU167" s="99"/>
      <c r="HV167" s="99"/>
      <c r="HW167" s="99"/>
      <c r="HX167" s="99"/>
      <c r="HY167" s="99"/>
      <c r="HZ167" s="99"/>
      <c r="IA167" s="99"/>
      <c r="IB167" s="99"/>
      <c r="IC167" s="99"/>
      <c r="ID167" s="99"/>
      <c r="IE167" s="99"/>
      <c r="IF167" s="99"/>
      <c r="IG167" s="99"/>
      <c r="IH167" s="99"/>
      <c r="II167" s="99"/>
      <c r="IJ167" s="99"/>
      <c r="IK167" s="99"/>
      <c r="IL167" s="99"/>
      <c r="IM167" s="99"/>
      <c r="IN167" s="99"/>
      <c r="IO167" s="99"/>
      <c r="IP167" s="99"/>
      <c r="IQ167" s="99"/>
      <c r="IR167" s="99"/>
      <c r="IS167" s="99"/>
      <c r="IT167" s="99"/>
      <c r="IU167" s="99"/>
      <c r="IV167" s="99"/>
    </row>
    <row r="168" spans="1:256" ht="12.75">
      <c r="A168" s="33"/>
      <c r="B168" s="33"/>
      <c r="C168" s="33"/>
      <c r="D168" s="33"/>
      <c r="E168" s="33"/>
      <c r="F168" s="33"/>
      <c r="G168" s="33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99"/>
      <c r="IO168" s="99"/>
      <c r="IP168" s="99"/>
      <c r="IQ168" s="99"/>
      <c r="IR168" s="99"/>
      <c r="IS168" s="99"/>
      <c r="IT168" s="99"/>
      <c r="IU168" s="99"/>
      <c r="IV168" s="99"/>
    </row>
    <row r="169" spans="1:256" ht="12.75">
      <c r="A169" s="33"/>
      <c r="B169" s="33"/>
      <c r="C169" s="33"/>
      <c r="D169" s="33"/>
      <c r="E169" s="33"/>
      <c r="F169" s="33"/>
      <c r="G169" s="33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256" ht="12.75">
      <c r="A170" s="33"/>
      <c r="B170" s="33"/>
      <c r="C170" s="33"/>
      <c r="D170" s="33"/>
      <c r="E170" s="33"/>
      <c r="F170" s="33"/>
      <c r="G170" s="33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99"/>
      <c r="IN170" s="99"/>
      <c r="IO170" s="99"/>
      <c r="IP170" s="99"/>
      <c r="IQ170" s="99"/>
      <c r="IR170" s="99"/>
      <c r="IS170" s="99"/>
      <c r="IT170" s="99"/>
      <c r="IU170" s="99"/>
      <c r="IV170" s="99"/>
    </row>
    <row r="171" spans="1:256" ht="12.75">
      <c r="A171" s="33"/>
      <c r="B171" s="33"/>
      <c r="C171" s="33"/>
      <c r="D171" s="33"/>
      <c r="E171" s="33"/>
      <c r="F171" s="33"/>
      <c r="G171" s="33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99"/>
      <c r="IO171" s="99"/>
      <c r="IP171" s="99"/>
      <c r="IQ171" s="99"/>
      <c r="IR171" s="99"/>
      <c r="IS171" s="99"/>
      <c r="IT171" s="99"/>
      <c r="IU171" s="99"/>
      <c r="IV171" s="99"/>
    </row>
    <row r="172" spans="1:256" ht="12.75">
      <c r="A172" s="33"/>
      <c r="B172" s="33"/>
      <c r="C172" s="33"/>
      <c r="D172" s="33"/>
      <c r="E172" s="33"/>
      <c r="F172" s="33"/>
      <c r="G172" s="33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99"/>
      <c r="IO172" s="99"/>
      <c r="IP172" s="99"/>
      <c r="IQ172" s="99"/>
      <c r="IR172" s="99"/>
      <c r="IS172" s="99"/>
      <c r="IT172" s="99"/>
      <c r="IU172" s="99"/>
      <c r="IV172" s="99"/>
    </row>
    <row r="173" spans="1:256" ht="12.75">
      <c r="A173" s="33"/>
      <c r="B173" s="33"/>
      <c r="C173" s="33"/>
      <c r="D173" s="33"/>
      <c r="E173" s="33"/>
      <c r="F173" s="33"/>
      <c r="G173" s="33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256" ht="12.75">
      <c r="A174" s="33"/>
      <c r="B174" s="33"/>
      <c r="C174" s="33"/>
      <c r="D174" s="33"/>
      <c r="E174" s="33"/>
      <c r="F174" s="33"/>
      <c r="G174" s="33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99"/>
      <c r="IN174" s="99"/>
      <c r="IO174" s="99"/>
      <c r="IP174" s="99"/>
      <c r="IQ174" s="99"/>
      <c r="IR174" s="99"/>
      <c r="IS174" s="99"/>
      <c r="IT174" s="99"/>
      <c r="IU174" s="99"/>
      <c r="IV174" s="99"/>
    </row>
    <row r="175" spans="1:256" ht="12.75">
      <c r="A175" s="33"/>
      <c r="B175" s="33"/>
      <c r="C175" s="33"/>
      <c r="D175" s="33"/>
      <c r="E175" s="33"/>
      <c r="F175" s="33"/>
      <c r="G175" s="33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99"/>
      <c r="HA175" s="99"/>
      <c r="HB175" s="99"/>
      <c r="HC175" s="99"/>
      <c r="HD175" s="99"/>
      <c r="HE175" s="99"/>
      <c r="HF175" s="99"/>
      <c r="HG175" s="99"/>
      <c r="HH175" s="99"/>
      <c r="HI175" s="99"/>
      <c r="HJ175" s="99"/>
      <c r="HK175" s="99"/>
      <c r="HL175" s="99"/>
      <c r="HM175" s="99"/>
      <c r="HN175" s="99"/>
      <c r="HO175" s="99"/>
      <c r="HP175" s="99"/>
      <c r="HQ175" s="99"/>
      <c r="HR175" s="99"/>
      <c r="HS175" s="99"/>
      <c r="HT175" s="99"/>
      <c r="HU175" s="99"/>
      <c r="HV175" s="99"/>
      <c r="HW175" s="99"/>
      <c r="HX175" s="99"/>
      <c r="HY175" s="99"/>
      <c r="HZ175" s="99"/>
      <c r="IA175" s="99"/>
      <c r="IB175" s="99"/>
      <c r="IC175" s="99"/>
      <c r="ID175" s="99"/>
      <c r="IE175" s="99"/>
      <c r="IF175" s="99"/>
      <c r="IG175" s="99"/>
      <c r="IH175" s="99"/>
      <c r="II175" s="99"/>
      <c r="IJ175" s="99"/>
      <c r="IK175" s="99"/>
      <c r="IL175" s="99"/>
      <c r="IM175" s="99"/>
      <c r="IN175" s="99"/>
      <c r="IO175" s="99"/>
      <c r="IP175" s="99"/>
      <c r="IQ175" s="99"/>
      <c r="IR175" s="99"/>
      <c r="IS175" s="99"/>
      <c r="IT175" s="99"/>
      <c r="IU175" s="99"/>
      <c r="IV175" s="99"/>
    </row>
    <row r="176" spans="1:256" ht="12.75">
      <c r="A176" s="33"/>
      <c r="B176" s="33"/>
      <c r="C176" s="33"/>
      <c r="D176" s="33"/>
      <c r="E176" s="33"/>
      <c r="F176" s="33"/>
      <c r="G176" s="33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  <c r="IU176" s="99"/>
      <c r="IV176" s="99"/>
    </row>
    <row r="177" spans="1:256" ht="12.75">
      <c r="A177" s="33"/>
      <c r="B177" s="33"/>
      <c r="C177" s="33"/>
      <c r="D177" s="33"/>
      <c r="E177" s="33"/>
      <c r="F177" s="33"/>
      <c r="G177" s="33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  <c r="GS177" s="99"/>
      <c r="GT177" s="99"/>
      <c r="GU177" s="99"/>
      <c r="GV177" s="99"/>
      <c r="GW177" s="99"/>
      <c r="GX177" s="99"/>
      <c r="GY177" s="99"/>
      <c r="GZ177" s="99"/>
      <c r="HA177" s="99"/>
      <c r="HB177" s="99"/>
      <c r="HC177" s="99"/>
      <c r="HD177" s="99"/>
      <c r="HE177" s="99"/>
      <c r="HF177" s="99"/>
      <c r="HG177" s="99"/>
      <c r="HH177" s="99"/>
      <c r="HI177" s="99"/>
      <c r="HJ177" s="99"/>
      <c r="HK177" s="99"/>
      <c r="HL177" s="99"/>
      <c r="HM177" s="99"/>
      <c r="HN177" s="99"/>
      <c r="HO177" s="99"/>
      <c r="HP177" s="99"/>
      <c r="HQ177" s="99"/>
      <c r="HR177" s="99"/>
      <c r="HS177" s="99"/>
      <c r="HT177" s="99"/>
      <c r="HU177" s="99"/>
      <c r="HV177" s="99"/>
      <c r="HW177" s="99"/>
      <c r="HX177" s="99"/>
      <c r="HY177" s="99"/>
      <c r="HZ177" s="99"/>
      <c r="IA177" s="99"/>
      <c r="IB177" s="99"/>
      <c r="IC177" s="99"/>
      <c r="ID177" s="99"/>
      <c r="IE177" s="99"/>
      <c r="IF177" s="99"/>
      <c r="IG177" s="99"/>
      <c r="IH177" s="99"/>
      <c r="II177" s="99"/>
      <c r="IJ177" s="99"/>
      <c r="IK177" s="99"/>
      <c r="IL177" s="99"/>
      <c r="IM177" s="99"/>
      <c r="IN177" s="99"/>
      <c r="IO177" s="99"/>
      <c r="IP177" s="99"/>
      <c r="IQ177" s="99"/>
      <c r="IR177" s="99"/>
      <c r="IS177" s="99"/>
      <c r="IT177" s="99"/>
      <c r="IU177" s="99"/>
      <c r="IV177" s="99"/>
    </row>
    <row r="178" spans="1:256" ht="12.75">
      <c r="A178" s="33"/>
      <c r="B178" s="33"/>
      <c r="C178" s="33"/>
      <c r="D178" s="33"/>
      <c r="E178" s="33"/>
      <c r="F178" s="33"/>
      <c r="G178" s="33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  <c r="HT178" s="99"/>
      <c r="HU178" s="99"/>
      <c r="HV178" s="99"/>
      <c r="HW178" s="99"/>
      <c r="HX178" s="99"/>
      <c r="HY178" s="99"/>
      <c r="HZ178" s="99"/>
      <c r="IA178" s="99"/>
      <c r="IB178" s="99"/>
      <c r="IC178" s="99"/>
      <c r="ID178" s="99"/>
      <c r="IE178" s="99"/>
      <c r="IF178" s="99"/>
      <c r="IG178" s="99"/>
      <c r="IH178" s="99"/>
      <c r="II178" s="99"/>
      <c r="IJ178" s="99"/>
      <c r="IK178" s="99"/>
      <c r="IL178" s="99"/>
      <c r="IM178" s="99"/>
      <c r="IN178" s="99"/>
      <c r="IO178" s="99"/>
      <c r="IP178" s="99"/>
      <c r="IQ178" s="99"/>
      <c r="IR178" s="99"/>
      <c r="IS178" s="99"/>
      <c r="IT178" s="99"/>
      <c r="IU178" s="99"/>
      <c r="IV178" s="99"/>
    </row>
    <row r="179" spans="1:256" ht="12.75">
      <c r="A179" s="33"/>
      <c r="B179" s="33"/>
      <c r="C179" s="33"/>
      <c r="D179" s="33"/>
      <c r="E179" s="33"/>
      <c r="F179" s="33"/>
      <c r="G179" s="33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</row>
    <row r="180" spans="1:256" ht="12.75">
      <c r="A180" s="33"/>
      <c r="B180" s="33"/>
      <c r="C180" s="33"/>
      <c r="D180" s="33"/>
      <c r="E180" s="33"/>
      <c r="F180" s="33"/>
      <c r="G180" s="33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99"/>
      <c r="IO180" s="99"/>
      <c r="IP180" s="99"/>
      <c r="IQ180" s="99"/>
      <c r="IR180" s="99"/>
      <c r="IS180" s="99"/>
      <c r="IT180" s="99"/>
      <c r="IU180" s="99"/>
      <c r="IV180" s="99"/>
    </row>
    <row r="181" spans="1:256" ht="12.75">
      <c r="A181" s="33"/>
      <c r="B181" s="33"/>
      <c r="C181" s="33"/>
      <c r="D181" s="33"/>
      <c r="E181" s="33"/>
      <c r="F181" s="33"/>
      <c r="G181" s="33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99"/>
      <c r="FG181" s="99"/>
      <c r="FH181" s="99"/>
      <c r="FI181" s="99"/>
      <c r="FJ181" s="99"/>
      <c r="FK181" s="99"/>
      <c r="FL181" s="99"/>
      <c r="FM181" s="99"/>
      <c r="FN181" s="99"/>
      <c r="FO181" s="99"/>
      <c r="FP181" s="99"/>
      <c r="FQ181" s="99"/>
      <c r="FR181" s="99"/>
      <c r="FS181" s="99"/>
      <c r="FT181" s="99"/>
      <c r="FU181" s="99"/>
      <c r="FV181" s="99"/>
      <c r="FW181" s="99"/>
      <c r="FX181" s="99"/>
      <c r="FY181" s="99"/>
      <c r="FZ181" s="99"/>
      <c r="GA181" s="99"/>
      <c r="GB181" s="99"/>
      <c r="GC181" s="99"/>
      <c r="GD181" s="99"/>
      <c r="GE181" s="99"/>
      <c r="GF181" s="99"/>
      <c r="GG181" s="99"/>
      <c r="GH181" s="99"/>
      <c r="GI181" s="99"/>
      <c r="GJ181" s="99"/>
      <c r="GK181" s="99"/>
      <c r="GL181" s="99"/>
      <c r="GM181" s="99"/>
      <c r="GN181" s="99"/>
      <c r="GO181" s="99"/>
      <c r="GP181" s="99"/>
      <c r="GQ181" s="99"/>
      <c r="GR181" s="99"/>
      <c r="GS181" s="99"/>
      <c r="GT181" s="99"/>
      <c r="GU181" s="99"/>
      <c r="GV181" s="99"/>
      <c r="GW181" s="99"/>
      <c r="GX181" s="99"/>
      <c r="GY181" s="99"/>
      <c r="GZ181" s="99"/>
      <c r="HA181" s="99"/>
      <c r="HB181" s="99"/>
      <c r="HC181" s="99"/>
      <c r="HD181" s="99"/>
      <c r="HE181" s="99"/>
      <c r="HF181" s="99"/>
      <c r="HG181" s="99"/>
      <c r="HH181" s="99"/>
      <c r="HI181" s="99"/>
      <c r="HJ181" s="99"/>
      <c r="HK181" s="99"/>
      <c r="HL181" s="99"/>
      <c r="HM181" s="99"/>
      <c r="HN181" s="99"/>
      <c r="HO181" s="99"/>
      <c r="HP181" s="99"/>
      <c r="HQ181" s="99"/>
      <c r="HR181" s="99"/>
      <c r="HS181" s="99"/>
      <c r="HT181" s="99"/>
      <c r="HU181" s="99"/>
      <c r="HV181" s="99"/>
      <c r="HW181" s="99"/>
      <c r="HX181" s="99"/>
      <c r="HY181" s="99"/>
      <c r="HZ181" s="99"/>
      <c r="IA181" s="99"/>
      <c r="IB181" s="99"/>
      <c r="IC181" s="99"/>
      <c r="ID181" s="99"/>
      <c r="IE181" s="99"/>
      <c r="IF181" s="99"/>
      <c r="IG181" s="99"/>
      <c r="IH181" s="99"/>
      <c r="II181" s="99"/>
      <c r="IJ181" s="99"/>
      <c r="IK181" s="99"/>
      <c r="IL181" s="99"/>
      <c r="IM181" s="99"/>
      <c r="IN181" s="99"/>
      <c r="IO181" s="99"/>
      <c r="IP181" s="99"/>
      <c r="IQ181" s="99"/>
      <c r="IR181" s="99"/>
      <c r="IS181" s="99"/>
      <c r="IT181" s="99"/>
      <c r="IU181" s="99"/>
      <c r="IV181" s="99"/>
    </row>
    <row r="182" spans="1:256" ht="12.75">
      <c r="A182" s="33"/>
      <c r="B182" s="33"/>
      <c r="C182" s="33"/>
      <c r="D182" s="33"/>
      <c r="E182" s="33"/>
      <c r="F182" s="33"/>
      <c r="G182" s="33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  <c r="HL182" s="99"/>
      <c r="HM182" s="99"/>
      <c r="HN182" s="99"/>
      <c r="HO182" s="99"/>
      <c r="HP182" s="99"/>
      <c r="HQ182" s="99"/>
      <c r="HR182" s="99"/>
      <c r="HS182" s="99"/>
      <c r="HT182" s="99"/>
      <c r="HU182" s="99"/>
      <c r="HV182" s="99"/>
      <c r="HW182" s="99"/>
      <c r="HX182" s="99"/>
      <c r="HY182" s="99"/>
      <c r="HZ182" s="99"/>
      <c r="IA182" s="99"/>
      <c r="IB182" s="99"/>
      <c r="IC182" s="99"/>
      <c r="ID182" s="99"/>
      <c r="IE182" s="99"/>
      <c r="IF182" s="99"/>
      <c r="IG182" s="99"/>
      <c r="IH182" s="99"/>
      <c r="II182" s="99"/>
      <c r="IJ182" s="99"/>
      <c r="IK182" s="99"/>
      <c r="IL182" s="99"/>
      <c r="IM182" s="99"/>
      <c r="IN182" s="99"/>
      <c r="IO182" s="99"/>
      <c r="IP182" s="99"/>
      <c r="IQ182" s="99"/>
      <c r="IR182" s="99"/>
      <c r="IS182" s="99"/>
      <c r="IT182" s="99"/>
      <c r="IU182" s="99"/>
      <c r="IV182" s="99"/>
    </row>
    <row r="183" spans="1:256" ht="12.75">
      <c r="A183" s="33"/>
      <c r="B183" s="33"/>
      <c r="C183" s="33"/>
      <c r="D183" s="33"/>
      <c r="E183" s="33"/>
      <c r="F183" s="33"/>
      <c r="G183" s="33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256" ht="12.75">
      <c r="A184" s="33"/>
      <c r="B184" s="33"/>
      <c r="C184" s="33"/>
      <c r="D184" s="33"/>
      <c r="E184" s="33"/>
      <c r="F184" s="33"/>
      <c r="G184" s="33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99"/>
      <c r="HA184" s="99"/>
      <c r="HB184" s="99"/>
      <c r="HC184" s="99"/>
      <c r="HD184" s="99"/>
      <c r="HE184" s="99"/>
      <c r="HF184" s="99"/>
      <c r="HG184" s="99"/>
      <c r="HH184" s="99"/>
      <c r="HI184" s="99"/>
      <c r="HJ184" s="99"/>
      <c r="HK184" s="99"/>
      <c r="HL184" s="99"/>
      <c r="HM184" s="99"/>
      <c r="HN184" s="99"/>
      <c r="HO184" s="99"/>
      <c r="HP184" s="99"/>
      <c r="HQ184" s="99"/>
      <c r="HR184" s="99"/>
      <c r="HS184" s="99"/>
      <c r="HT184" s="99"/>
      <c r="HU184" s="99"/>
      <c r="HV184" s="99"/>
      <c r="HW184" s="99"/>
      <c r="HX184" s="99"/>
      <c r="HY184" s="99"/>
      <c r="HZ184" s="99"/>
      <c r="IA184" s="99"/>
      <c r="IB184" s="99"/>
      <c r="IC184" s="99"/>
      <c r="ID184" s="99"/>
      <c r="IE184" s="99"/>
      <c r="IF184" s="99"/>
      <c r="IG184" s="99"/>
      <c r="IH184" s="99"/>
      <c r="II184" s="99"/>
      <c r="IJ184" s="99"/>
      <c r="IK184" s="99"/>
      <c r="IL184" s="99"/>
      <c r="IM184" s="99"/>
      <c r="IN184" s="99"/>
      <c r="IO184" s="99"/>
      <c r="IP184" s="99"/>
      <c r="IQ184" s="99"/>
      <c r="IR184" s="99"/>
      <c r="IS184" s="99"/>
      <c r="IT184" s="99"/>
      <c r="IU184" s="99"/>
      <c r="IV184" s="99"/>
    </row>
    <row r="185" spans="1:256" ht="12.75">
      <c r="A185" s="33"/>
      <c r="B185" s="33"/>
      <c r="C185" s="33"/>
      <c r="D185" s="33"/>
      <c r="E185" s="33"/>
      <c r="F185" s="33"/>
      <c r="G185" s="33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99"/>
      <c r="HE185" s="99"/>
      <c r="HF185" s="99"/>
      <c r="HG185" s="99"/>
      <c r="HH185" s="99"/>
      <c r="HI185" s="99"/>
      <c r="HJ185" s="99"/>
      <c r="HK185" s="99"/>
      <c r="HL185" s="99"/>
      <c r="HM185" s="99"/>
      <c r="HN185" s="99"/>
      <c r="HO185" s="99"/>
      <c r="HP185" s="99"/>
      <c r="HQ185" s="99"/>
      <c r="HR185" s="99"/>
      <c r="HS185" s="99"/>
      <c r="HT185" s="99"/>
      <c r="HU185" s="99"/>
      <c r="HV185" s="99"/>
      <c r="HW185" s="99"/>
      <c r="HX185" s="99"/>
      <c r="HY185" s="99"/>
      <c r="HZ185" s="99"/>
      <c r="IA185" s="99"/>
      <c r="IB185" s="99"/>
      <c r="IC185" s="99"/>
      <c r="ID185" s="99"/>
      <c r="IE185" s="99"/>
      <c r="IF185" s="99"/>
      <c r="IG185" s="99"/>
      <c r="IH185" s="99"/>
      <c r="II185" s="99"/>
      <c r="IJ185" s="99"/>
      <c r="IK185" s="99"/>
      <c r="IL185" s="99"/>
      <c r="IM185" s="99"/>
      <c r="IN185" s="99"/>
      <c r="IO185" s="99"/>
      <c r="IP185" s="99"/>
      <c r="IQ185" s="99"/>
      <c r="IR185" s="99"/>
      <c r="IS185" s="99"/>
      <c r="IT185" s="99"/>
      <c r="IU185" s="99"/>
      <c r="IV185" s="99"/>
    </row>
    <row r="186" spans="1:256" ht="12.75">
      <c r="A186" s="33"/>
      <c r="B186" s="33"/>
      <c r="C186" s="33"/>
      <c r="D186" s="33"/>
      <c r="E186" s="33"/>
      <c r="F186" s="33"/>
      <c r="G186" s="33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99"/>
      <c r="HA186" s="99"/>
      <c r="HB186" s="99"/>
      <c r="HC186" s="99"/>
      <c r="HD186" s="99"/>
      <c r="HE186" s="99"/>
      <c r="HF186" s="99"/>
      <c r="HG186" s="99"/>
      <c r="HH186" s="99"/>
      <c r="HI186" s="99"/>
      <c r="HJ186" s="99"/>
      <c r="HK186" s="99"/>
      <c r="HL186" s="99"/>
      <c r="HM186" s="99"/>
      <c r="HN186" s="99"/>
      <c r="HO186" s="99"/>
      <c r="HP186" s="99"/>
      <c r="HQ186" s="99"/>
      <c r="HR186" s="99"/>
      <c r="HS186" s="99"/>
      <c r="HT186" s="99"/>
      <c r="HU186" s="99"/>
      <c r="HV186" s="99"/>
      <c r="HW186" s="99"/>
      <c r="HX186" s="99"/>
      <c r="HY186" s="99"/>
      <c r="HZ186" s="99"/>
      <c r="IA186" s="99"/>
      <c r="IB186" s="99"/>
      <c r="IC186" s="99"/>
      <c r="ID186" s="99"/>
      <c r="IE186" s="99"/>
      <c r="IF186" s="99"/>
      <c r="IG186" s="99"/>
      <c r="IH186" s="99"/>
      <c r="II186" s="99"/>
      <c r="IJ186" s="99"/>
      <c r="IK186" s="99"/>
      <c r="IL186" s="99"/>
      <c r="IM186" s="99"/>
      <c r="IN186" s="99"/>
      <c r="IO186" s="99"/>
      <c r="IP186" s="99"/>
      <c r="IQ186" s="99"/>
      <c r="IR186" s="99"/>
      <c r="IS186" s="99"/>
      <c r="IT186" s="99"/>
      <c r="IU186" s="99"/>
      <c r="IV186" s="99"/>
    </row>
    <row r="187" spans="1:256" ht="12.75">
      <c r="A187" s="33"/>
      <c r="B187" s="33"/>
      <c r="C187" s="33"/>
      <c r="D187" s="33"/>
      <c r="E187" s="33"/>
      <c r="F187" s="33"/>
      <c r="G187" s="33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99"/>
      <c r="IO187" s="99"/>
      <c r="IP187" s="99"/>
      <c r="IQ187" s="99"/>
      <c r="IR187" s="99"/>
      <c r="IS187" s="99"/>
      <c r="IT187" s="99"/>
      <c r="IU187" s="99"/>
      <c r="IV187" s="99"/>
    </row>
    <row r="188" spans="1:256" ht="12.75">
      <c r="A188" s="33"/>
      <c r="B188" s="33"/>
      <c r="C188" s="33"/>
      <c r="D188" s="33"/>
      <c r="E188" s="33"/>
      <c r="F188" s="33"/>
      <c r="G188" s="33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99"/>
      <c r="DE188" s="99"/>
      <c r="DF188" s="99"/>
      <c r="DG188" s="99"/>
      <c r="DH188" s="99"/>
      <c r="DI188" s="99"/>
      <c r="DJ188" s="99"/>
      <c r="DK188" s="99"/>
      <c r="DL188" s="99"/>
      <c r="DM188" s="99"/>
      <c r="DN188" s="99"/>
      <c r="DO188" s="99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  <c r="ED188" s="99"/>
      <c r="EE188" s="99"/>
      <c r="EF188" s="99"/>
      <c r="EG188" s="99"/>
      <c r="EH188" s="99"/>
      <c r="EI188" s="99"/>
      <c r="EJ188" s="99"/>
      <c r="EK188" s="99"/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99"/>
      <c r="EY188" s="99"/>
      <c r="EZ188" s="99"/>
      <c r="FA188" s="99"/>
      <c r="FB188" s="99"/>
      <c r="FC188" s="99"/>
      <c r="FD188" s="99"/>
      <c r="FE188" s="99"/>
      <c r="FF188" s="99"/>
      <c r="FG188" s="99"/>
      <c r="FH188" s="99"/>
      <c r="FI188" s="99"/>
      <c r="FJ188" s="99"/>
      <c r="FK188" s="99"/>
      <c r="FL188" s="99"/>
      <c r="FM188" s="99"/>
      <c r="FN188" s="99"/>
      <c r="FO188" s="99"/>
      <c r="FP188" s="99"/>
      <c r="FQ188" s="99"/>
      <c r="FR188" s="99"/>
      <c r="FS188" s="99"/>
      <c r="FT188" s="99"/>
      <c r="FU188" s="99"/>
      <c r="FV188" s="99"/>
      <c r="FW188" s="99"/>
      <c r="FX188" s="99"/>
      <c r="FY188" s="99"/>
      <c r="FZ188" s="99"/>
      <c r="GA188" s="99"/>
      <c r="GB188" s="99"/>
      <c r="GC188" s="99"/>
      <c r="GD188" s="99"/>
      <c r="GE188" s="99"/>
      <c r="GF188" s="99"/>
      <c r="GG188" s="99"/>
      <c r="GH188" s="99"/>
      <c r="GI188" s="99"/>
      <c r="GJ188" s="99"/>
      <c r="GK188" s="99"/>
      <c r="GL188" s="99"/>
      <c r="GM188" s="99"/>
      <c r="GN188" s="99"/>
      <c r="GO188" s="99"/>
      <c r="GP188" s="99"/>
      <c r="GQ188" s="99"/>
      <c r="GR188" s="99"/>
      <c r="GS188" s="99"/>
      <c r="GT188" s="99"/>
      <c r="GU188" s="99"/>
      <c r="GV188" s="99"/>
      <c r="GW188" s="99"/>
      <c r="GX188" s="99"/>
      <c r="GY188" s="99"/>
      <c r="GZ188" s="99"/>
      <c r="HA188" s="99"/>
      <c r="HB188" s="99"/>
      <c r="HC188" s="99"/>
      <c r="HD188" s="99"/>
      <c r="HE188" s="99"/>
      <c r="HF188" s="99"/>
      <c r="HG188" s="99"/>
      <c r="HH188" s="99"/>
      <c r="HI188" s="99"/>
      <c r="HJ188" s="99"/>
      <c r="HK188" s="99"/>
      <c r="HL188" s="99"/>
      <c r="HM188" s="99"/>
      <c r="HN188" s="99"/>
      <c r="HO188" s="99"/>
      <c r="HP188" s="99"/>
      <c r="HQ188" s="99"/>
      <c r="HR188" s="99"/>
      <c r="HS188" s="99"/>
      <c r="HT188" s="99"/>
      <c r="HU188" s="99"/>
      <c r="HV188" s="99"/>
      <c r="HW188" s="99"/>
      <c r="HX188" s="99"/>
      <c r="HY188" s="99"/>
      <c r="HZ188" s="99"/>
      <c r="IA188" s="99"/>
      <c r="IB188" s="99"/>
      <c r="IC188" s="99"/>
      <c r="ID188" s="99"/>
      <c r="IE188" s="99"/>
      <c r="IF188" s="99"/>
      <c r="IG188" s="99"/>
      <c r="IH188" s="99"/>
      <c r="II188" s="99"/>
      <c r="IJ188" s="99"/>
      <c r="IK188" s="99"/>
      <c r="IL188" s="99"/>
      <c r="IM188" s="99"/>
      <c r="IN188" s="99"/>
      <c r="IO188" s="99"/>
      <c r="IP188" s="99"/>
      <c r="IQ188" s="99"/>
      <c r="IR188" s="99"/>
      <c r="IS188" s="99"/>
      <c r="IT188" s="99"/>
      <c r="IU188" s="99"/>
      <c r="IV188" s="99"/>
    </row>
    <row r="189" spans="1:256" ht="12.75">
      <c r="A189" s="33"/>
      <c r="B189" s="33"/>
      <c r="C189" s="33"/>
      <c r="D189" s="33"/>
      <c r="E189" s="33"/>
      <c r="F189" s="33"/>
      <c r="G189" s="33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  <c r="FV189" s="99"/>
      <c r="FW189" s="99"/>
      <c r="FX189" s="99"/>
      <c r="FY189" s="99"/>
      <c r="FZ189" s="99"/>
      <c r="GA189" s="99"/>
      <c r="GB189" s="99"/>
      <c r="GC189" s="99"/>
      <c r="GD189" s="99"/>
      <c r="GE189" s="99"/>
      <c r="GF189" s="99"/>
      <c r="GG189" s="99"/>
      <c r="GH189" s="99"/>
      <c r="GI189" s="99"/>
      <c r="GJ189" s="99"/>
      <c r="GK189" s="99"/>
      <c r="GL189" s="99"/>
      <c r="GM189" s="99"/>
      <c r="GN189" s="99"/>
      <c r="GO189" s="99"/>
      <c r="GP189" s="99"/>
      <c r="GQ189" s="99"/>
      <c r="GR189" s="99"/>
      <c r="GS189" s="99"/>
      <c r="GT189" s="99"/>
      <c r="GU189" s="99"/>
      <c r="GV189" s="99"/>
      <c r="GW189" s="99"/>
      <c r="GX189" s="99"/>
      <c r="GY189" s="99"/>
      <c r="GZ189" s="99"/>
      <c r="HA189" s="99"/>
      <c r="HB189" s="99"/>
      <c r="HC189" s="99"/>
      <c r="HD189" s="99"/>
      <c r="HE189" s="99"/>
      <c r="HF189" s="99"/>
      <c r="HG189" s="99"/>
      <c r="HH189" s="99"/>
      <c r="HI189" s="99"/>
      <c r="HJ189" s="99"/>
      <c r="HK189" s="99"/>
      <c r="HL189" s="99"/>
      <c r="HM189" s="99"/>
      <c r="HN189" s="99"/>
      <c r="HO189" s="99"/>
      <c r="HP189" s="99"/>
      <c r="HQ189" s="99"/>
      <c r="HR189" s="99"/>
      <c r="HS189" s="99"/>
      <c r="HT189" s="99"/>
      <c r="HU189" s="99"/>
      <c r="HV189" s="99"/>
      <c r="HW189" s="99"/>
      <c r="HX189" s="99"/>
      <c r="HY189" s="99"/>
      <c r="HZ189" s="99"/>
      <c r="IA189" s="99"/>
      <c r="IB189" s="99"/>
      <c r="IC189" s="99"/>
      <c r="ID189" s="99"/>
      <c r="IE189" s="99"/>
      <c r="IF189" s="99"/>
      <c r="IG189" s="99"/>
      <c r="IH189" s="99"/>
      <c r="II189" s="99"/>
      <c r="IJ189" s="99"/>
      <c r="IK189" s="99"/>
      <c r="IL189" s="99"/>
      <c r="IM189" s="99"/>
      <c r="IN189" s="99"/>
      <c r="IO189" s="99"/>
      <c r="IP189" s="99"/>
      <c r="IQ189" s="99"/>
      <c r="IR189" s="99"/>
      <c r="IS189" s="99"/>
      <c r="IT189" s="99"/>
      <c r="IU189" s="99"/>
      <c r="IV189" s="99"/>
    </row>
    <row r="190" spans="1:256" ht="12.75">
      <c r="A190" s="33"/>
      <c r="B190" s="33"/>
      <c r="C190" s="33"/>
      <c r="D190" s="33"/>
      <c r="E190" s="33"/>
      <c r="F190" s="33"/>
      <c r="G190" s="33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9"/>
      <c r="FK190" s="99"/>
      <c r="FL190" s="99"/>
      <c r="FM190" s="99"/>
      <c r="FN190" s="99"/>
      <c r="FO190" s="99"/>
      <c r="FP190" s="99"/>
      <c r="FQ190" s="99"/>
      <c r="FR190" s="99"/>
      <c r="FS190" s="99"/>
      <c r="FT190" s="99"/>
      <c r="FU190" s="99"/>
      <c r="FV190" s="99"/>
      <c r="FW190" s="99"/>
      <c r="FX190" s="99"/>
      <c r="FY190" s="99"/>
      <c r="FZ190" s="99"/>
      <c r="GA190" s="99"/>
      <c r="GB190" s="99"/>
      <c r="GC190" s="99"/>
      <c r="GD190" s="99"/>
      <c r="GE190" s="99"/>
      <c r="GF190" s="99"/>
      <c r="GG190" s="99"/>
      <c r="GH190" s="99"/>
      <c r="GI190" s="99"/>
      <c r="GJ190" s="99"/>
      <c r="GK190" s="99"/>
      <c r="GL190" s="99"/>
      <c r="GM190" s="99"/>
      <c r="GN190" s="99"/>
      <c r="GO190" s="99"/>
      <c r="GP190" s="99"/>
      <c r="GQ190" s="99"/>
      <c r="GR190" s="99"/>
      <c r="GS190" s="99"/>
      <c r="GT190" s="99"/>
      <c r="GU190" s="99"/>
      <c r="GV190" s="99"/>
      <c r="GW190" s="99"/>
      <c r="GX190" s="99"/>
      <c r="GY190" s="99"/>
      <c r="GZ190" s="99"/>
      <c r="HA190" s="99"/>
      <c r="HB190" s="99"/>
      <c r="HC190" s="99"/>
      <c r="HD190" s="99"/>
      <c r="HE190" s="99"/>
      <c r="HF190" s="99"/>
      <c r="HG190" s="99"/>
      <c r="HH190" s="99"/>
      <c r="HI190" s="99"/>
      <c r="HJ190" s="99"/>
      <c r="HK190" s="99"/>
      <c r="HL190" s="99"/>
      <c r="HM190" s="99"/>
      <c r="HN190" s="99"/>
      <c r="HO190" s="99"/>
      <c r="HP190" s="99"/>
      <c r="HQ190" s="99"/>
      <c r="HR190" s="99"/>
      <c r="HS190" s="99"/>
      <c r="HT190" s="99"/>
      <c r="HU190" s="99"/>
      <c r="HV190" s="99"/>
      <c r="HW190" s="99"/>
      <c r="HX190" s="99"/>
      <c r="HY190" s="99"/>
      <c r="HZ190" s="99"/>
      <c r="IA190" s="99"/>
      <c r="IB190" s="99"/>
      <c r="IC190" s="99"/>
      <c r="ID190" s="99"/>
      <c r="IE190" s="99"/>
      <c r="IF190" s="99"/>
      <c r="IG190" s="99"/>
      <c r="IH190" s="99"/>
      <c r="II190" s="99"/>
      <c r="IJ190" s="99"/>
      <c r="IK190" s="99"/>
      <c r="IL190" s="99"/>
      <c r="IM190" s="99"/>
      <c r="IN190" s="99"/>
      <c r="IO190" s="99"/>
      <c r="IP190" s="99"/>
      <c r="IQ190" s="99"/>
      <c r="IR190" s="99"/>
      <c r="IS190" s="99"/>
      <c r="IT190" s="99"/>
      <c r="IU190" s="99"/>
      <c r="IV190" s="99"/>
    </row>
    <row r="191" spans="1:256" ht="12.75">
      <c r="A191" s="33"/>
      <c r="B191" s="33"/>
      <c r="C191" s="33"/>
      <c r="D191" s="33"/>
      <c r="E191" s="33"/>
      <c r="F191" s="33"/>
      <c r="G191" s="33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9"/>
      <c r="FK191" s="99"/>
      <c r="FL191" s="99"/>
      <c r="FM191" s="99"/>
      <c r="FN191" s="99"/>
      <c r="FO191" s="99"/>
      <c r="FP191" s="99"/>
      <c r="FQ191" s="99"/>
      <c r="FR191" s="99"/>
      <c r="FS191" s="99"/>
      <c r="FT191" s="99"/>
      <c r="FU191" s="99"/>
      <c r="FV191" s="99"/>
      <c r="FW191" s="99"/>
      <c r="FX191" s="99"/>
      <c r="FY191" s="99"/>
      <c r="FZ191" s="99"/>
      <c r="GA191" s="99"/>
      <c r="GB191" s="99"/>
      <c r="GC191" s="99"/>
      <c r="GD191" s="99"/>
      <c r="GE191" s="99"/>
      <c r="GF191" s="99"/>
      <c r="GG191" s="99"/>
      <c r="GH191" s="99"/>
      <c r="GI191" s="99"/>
      <c r="GJ191" s="99"/>
      <c r="GK191" s="99"/>
      <c r="GL191" s="99"/>
      <c r="GM191" s="99"/>
      <c r="GN191" s="99"/>
      <c r="GO191" s="99"/>
      <c r="GP191" s="99"/>
      <c r="GQ191" s="99"/>
      <c r="GR191" s="99"/>
      <c r="GS191" s="99"/>
      <c r="GT191" s="99"/>
      <c r="GU191" s="99"/>
      <c r="GV191" s="99"/>
      <c r="GW191" s="99"/>
      <c r="GX191" s="99"/>
      <c r="GY191" s="99"/>
      <c r="GZ191" s="99"/>
      <c r="HA191" s="99"/>
      <c r="HB191" s="99"/>
      <c r="HC191" s="99"/>
      <c r="HD191" s="99"/>
      <c r="HE191" s="99"/>
      <c r="HF191" s="99"/>
      <c r="HG191" s="99"/>
      <c r="HH191" s="99"/>
      <c r="HI191" s="99"/>
      <c r="HJ191" s="99"/>
      <c r="HK191" s="99"/>
      <c r="HL191" s="99"/>
      <c r="HM191" s="99"/>
      <c r="HN191" s="99"/>
      <c r="HO191" s="99"/>
      <c r="HP191" s="99"/>
      <c r="HQ191" s="99"/>
      <c r="HR191" s="99"/>
      <c r="HS191" s="99"/>
      <c r="HT191" s="99"/>
      <c r="HU191" s="99"/>
      <c r="HV191" s="99"/>
      <c r="HW191" s="99"/>
      <c r="HX191" s="99"/>
      <c r="HY191" s="99"/>
      <c r="HZ191" s="99"/>
      <c r="IA191" s="99"/>
      <c r="IB191" s="99"/>
      <c r="IC191" s="99"/>
      <c r="ID191" s="99"/>
      <c r="IE191" s="99"/>
      <c r="IF191" s="99"/>
      <c r="IG191" s="99"/>
      <c r="IH191" s="99"/>
      <c r="II191" s="99"/>
      <c r="IJ191" s="99"/>
      <c r="IK191" s="99"/>
      <c r="IL191" s="99"/>
      <c r="IM191" s="99"/>
      <c r="IN191" s="99"/>
      <c r="IO191" s="99"/>
      <c r="IP191" s="99"/>
      <c r="IQ191" s="99"/>
      <c r="IR191" s="99"/>
      <c r="IS191" s="99"/>
      <c r="IT191" s="99"/>
      <c r="IU191" s="99"/>
      <c r="IV191" s="99"/>
    </row>
    <row r="192" spans="1:256" ht="12.75">
      <c r="A192" s="33"/>
      <c r="B192" s="33"/>
      <c r="C192" s="33"/>
      <c r="D192" s="33"/>
      <c r="E192" s="33"/>
      <c r="F192" s="33"/>
      <c r="G192" s="33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99"/>
      <c r="FD192" s="99"/>
      <c r="FE192" s="99"/>
      <c r="FF192" s="99"/>
      <c r="FG192" s="99"/>
      <c r="FH192" s="99"/>
      <c r="FI192" s="99"/>
      <c r="FJ192" s="99"/>
      <c r="FK192" s="99"/>
      <c r="FL192" s="99"/>
      <c r="FM192" s="99"/>
      <c r="FN192" s="99"/>
      <c r="FO192" s="99"/>
      <c r="FP192" s="99"/>
      <c r="FQ192" s="99"/>
      <c r="FR192" s="99"/>
      <c r="FS192" s="99"/>
      <c r="FT192" s="99"/>
      <c r="FU192" s="99"/>
      <c r="FV192" s="99"/>
      <c r="FW192" s="99"/>
      <c r="FX192" s="99"/>
      <c r="FY192" s="99"/>
      <c r="FZ192" s="99"/>
      <c r="GA192" s="99"/>
      <c r="GB192" s="99"/>
      <c r="GC192" s="99"/>
      <c r="GD192" s="99"/>
      <c r="GE192" s="99"/>
      <c r="GF192" s="99"/>
      <c r="GG192" s="99"/>
      <c r="GH192" s="99"/>
      <c r="GI192" s="99"/>
      <c r="GJ192" s="99"/>
      <c r="GK192" s="99"/>
      <c r="GL192" s="99"/>
      <c r="GM192" s="99"/>
      <c r="GN192" s="99"/>
      <c r="GO192" s="99"/>
      <c r="GP192" s="99"/>
      <c r="GQ192" s="99"/>
      <c r="GR192" s="99"/>
      <c r="GS192" s="99"/>
      <c r="GT192" s="99"/>
      <c r="GU192" s="99"/>
      <c r="GV192" s="99"/>
      <c r="GW192" s="99"/>
      <c r="GX192" s="99"/>
      <c r="GY192" s="99"/>
      <c r="GZ192" s="99"/>
      <c r="HA192" s="99"/>
      <c r="HB192" s="99"/>
      <c r="HC192" s="99"/>
      <c r="HD192" s="99"/>
      <c r="HE192" s="99"/>
      <c r="HF192" s="99"/>
      <c r="HG192" s="99"/>
      <c r="HH192" s="99"/>
      <c r="HI192" s="99"/>
      <c r="HJ192" s="99"/>
      <c r="HK192" s="99"/>
      <c r="HL192" s="99"/>
      <c r="HM192" s="99"/>
      <c r="HN192" s="99"/>
      <c r="HO192" s="99"/>
      <c r="HP192" s="99"/>
      <c r="HQ192" s="99"/>
      <c r="HR192" s="99"/>
      <c r="HS192" s="99"/>
      <c r="HT192" s="99"/>
      <c r="HU192" s="99"/>
      <c r="HV192" s="99"/>
      <c r="HW192" s="99"/>
      <c r="HX192" s="99"/>
      <c r="HY192" s="99"/>
      <c r="HZ192" s="99"/>
      <c r="IA192" s="99"/>
      <c r="IB192" s="99"/>
      <c r="IC192" s="99"/>
      <c r="ID192" s="99"/>
      <c r="IE192" s="99"/>
      <c r="IF192" s="99"/>
      <c r="IG192" s="99"/>
      <c r="IH192" s="99"/>
      <c r="II192" s="99"/>
      <c r="IJ192" s="99"/>
      <c r="IK192" s="99"/>
      <c r="IL192" s="99"/>
      <c r="IM192" s="99"/>
      <c r="IN192" s="99"/>
      <c r="IO192" s="99"/>
      <c r="IP192" s="99"/>
      <c r="IQ192" s="99"/>
      <c r="IR192" s="99"/>
      <c r="IS192" s="99"/>
      <c r="IT192" s="99"/>
      <c r="IU192" s="99"/>
      <c r="IV192" s="99"/>
    </row>
    <row r="193" spans="1:256" ht="12.75">
      <c r="A193" s="33"/>
      <c r="B193" s="33"/>
      <c r="C193" s="33"/>
      <c r="D193" s="33"/>
      <c r="E193" s="33"/>
      <c r="F193" s="33"/>
      <c r="G193" s="33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99"/>
      <c r="DS193" s="99"/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99"/>
      <c r="ES193" s="99"/>
      <c r="ET193" s="99"/>
      <c r="EU193" s="99"/>
      <c r="EV193" s="99"/>
      <c r="EW193" s="99"/>
      <c r="EX193" s="99"/>
      <c r="EY193" s="99"/>
      <c r="EZ193" s="99"/>
      <c r="FA193" s="99"/>
      <c r="FB193" s="99"/>
      <c r="FC193" s="99"/>
      <c r="FD193" s="99"/>
      <c r="FE193" s="99"/>
      <c r="FF193" s="99"/>
      <c r="FG193" s="99"/>
      <c r="FH193" s="99"/>
      <c r="FI193" s="99"/>
      <c r="FJ193" s="99"/>
      <c r="FK193" s="99"/>
      <c r="FL193" s="99"/>
      <c r="FM193" s="99"/>
      <c r="FN193" s="99"/>
      <c r="FO193" s="99"/>
      <c r="FP193" s="99"/>
      <c r="FQ193" s="99"/>
      <c r="FR193" s="99"/>
      <c r="FS193" s="99"/>
      <c r="FT193" s="99"/>
      <c r="FU193" s="99"/>
      <c r="FV193" s="99"/>
      <c r="FW193" s="99"/>
      <c r="FX193" s="99"/>
      <c r="FY193" s="99"/>
      <c r="FZ193" s="99"/>
      <c r="GA193" s="99"/>
      <c r="GB193" s="99"/>
      <c r="GC193" s="99"/>
      <c r="GD193" s="99"/>
      <c r="GE193" s="99"/>
      <c r="GF193" s="99"/>
      <c r="GG193" s="99"/>
      <c r="GH193" s="99"/>
      <c r="GI193" s="99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99"/>
      <c r="HA193" s="99"/>
      <c r="HB193" s="99"/>
      <c r="HC193" s="99"/>
      <c r="HD193" s="99"/>
      <c r="HE193" s="99"/>
      <c r="HF193" s="99"/>
      <c r="HG193" s="99"/>
      <c r="HH193" s="99"/>
      <c r="HI193" s="99"/>
      <c r="HJ193" s="99"/>
      <c r="HK193" s="99"/>
      <c r="HL193" s="99"/>
      <c r="HM193" s="99"/>
      <c r="HN193" s="99"/>
      <c r="HO193" s="99"/>
      <c r="HP193" s="99"/>
      <c r="HQ193" s="99"/>
      <c r="HR193" s="99"/>
      <c r="HS193" s="99"/>
      <c r="HT193" s="99"/>
      <c r="HU193" s="99"/>
      <c r="HV193" s="99"/>
      <c r="HW193" s="99"/>
      <c r="HX193" s="99"/>
      <c r="HY193" s="99"/>
      <c r="HZ193" s="99"/>
      <c r="IA193" s="99"/>
      <c r="IB193" s="99"/>
      <c r="IC193" s="99"/>
      <c r="ID193" s="99"/>
      <c r="IE193" s="99"/>
      <c r="IF193" s="99"/>
      <c r="IG193" s="99"/>
      <c r="IH193" s="99"/>
      <c r="II193" s="99"/>
      <c r="IJ193" s="99"/>
      <c r="IK193" s="99"/>
      <c r="IL193" s="99"/>
      <c r="IM193" s="99"/>
      <c r="IN193" s="99"/>
      <c r="IO193" s="99"/>
      <c r="IP193" s="99"/>
      <c r="IQ193" s="99"/>
      <c r="IR193" s="99"/>
      <c r="IS193" s="99"/>
      <c r="IT193" s="99"/>
      <c r="IU193" s="99"/>
      <c r="IV193" s="99"/>
    </row>
    <row r="194" spans="1:256" ht="12.75">
      <c r="A194" s="33"/>
      <c r="B194" s="33"/>
      <c r="C194" s="33"/>
      <c r="D194" s="33"/>
      <c r="E194" s="33"/>
      <c r="F194" s="33"/>
      <c r="G194" s="33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  <c r="CZ194" s="99"/>
      <c r="DA194" s="99"/>
      <c r="DB194" s="99"/>
      <c r="DC194" s="99"/>
      <c r="DD194" s="99"/>
      <c r="DE194" s="99"/>
      <c r="DF194" s="99"/>
      <c r="DG194" s="99"/>
      <c r="DH194" s="99"/>
      <c r="DI194" s="99"/>
      <c r="DJ194" s="99"/>
      <c r="DK194" s="99"/>
      <c r="DL194" s="99"/>
      <c r="DM194" s="99"/>
      <c r="DN194" s="99"/>
      <c r="DO194" s="99"/>
      <c r="DP194" s="99"/>
      <c r="DQ194" s="99"/>
      <c r="DR194" s="99"/>
      <c r="DS194" s="99"/>
      <c r="DT194" s="99"/>
      <c r="DU194" s="99"/>
      <c r="DV194" s="99"/>
      <c r="DW194" s="99"/>
      <c r="DX194" s="99"/>
      <c r="DY194" s="99"/>
      <c r="DZ194" s="99"/>
      <c r="EA194" s="99"/>
      <c r="EB194" s="99"/>
      <c r="EC194" s="99"/>
      <c r="ED194" s="99"/>
      <c r="EE194" s="99"/>
      <c r="EF194" s="99"/>
      <c r="EG194" s="99"/>
      <c r="EH194" s="99"/>
      <c r="EI194" s="99"/>
      <c r="EJ194" s="99"/>
      <c r="EK194" s="99"/>
      <c r="EL194" s="99"/>
      <c r="EM194" s="99"/>
      <c r="EN194" s="99"/>
      <c r="EO194" s="99"/>
      <c r="EP194" s="99"/>
      <c r="EQ194" s="99"/>
      <c r="ER194" s="99"/>
      <c r="ES194" s="99"/>
      <c r="ET194" s="99"/>
      <c r="EU194" s="99"/>
      <c r="EV194" s="99"/>
      <c r="EW194" s="99"/>
      <c r="EX194" s="99"/>
      <c r="EY194" s="99"/>
      <c r="EZ194" s="99"/>
      <c r="FA194" s="99"/>
      <c r="FB194" s="99"/>
      <c r="FC194" s="99"/>
      <c r="FD194" s="99"/>
      <c r="FE194" s="99"/>
      <c r="FF194" s="99"/>
      <c r="FG194" s="99"/>
      <c r="FH194" s="99"/>
      <c r="FI194" s="99"/>
      <c r="FJ194" s="99"/>
      <c r="FK194" s="99"/>
      <c r="FL194" s="99"/>
      <c r="FM194" s="99"/>
      <c r="FN194" s="99"/>
      <c r="FO194" s="99"/>
      <c r="FP194" s="99"/>
      <c r="FQ194" s="99"/>
      <c r="FR194" s="99"/>
      <c r="FS194" s="99"/>
      <c r="FT194" s="99"/>
      <c r="FU194" s="99"/>
      <c r="FV194" s="99"/>
      <c r="FW194" s="99"/>
      <c r="FX194" s="99"/>
      <c r="FY194" s="99"/>
      <c r="FZ194" s="99"/>
      <c r="GA194" s="99"/>
      <c r="GB194" s="99"/>
      <c r="GC194" s="99"/>
      <c r="GD194" s="99"/>
      <c r="GE194" s="99"/>
      <c r="GF194" s="99"/>
      <c r="GG194" s="99"/>
      <c r="GH194" s="99"/>
      <c r="GI194" s="99"/>
      <c r="GJ194" s="99"/>
      <c r="GK194" s="99"/>
      <c r="GL194" s="99"/>
      <c r="GM194" s="99"/>
      <c r="GN194" s="99"/>
      <c r="GO194" s="99"/>
      <c r="GP194" s="99"/>
      <c r="GQ194" s="99"/>
      <c r="GR194" s="99"/>
      <c r="GS194" s="99"/>
      <c r="GT194" s="99"/>
      <c r="GU194" s="99"/>
      <c r="GV194" s="99"/>
      <c r="GW194" s="99"/>
      <c r="GX194" s="99"/>
      <c r="GY194" s="99"/>
      <c r="GZ194" s="99"/>
      <c r="HA194" s="99"/>
      <c r="HB194" s="99"/>
      <c r="HC194" s="99"/>
      <c r="HD194" s="99"/>
      <c r="HE194" s="99"/>
      <c r="HF194" s="99"/>
      <c r="HG194" s="99"/>
      <c r="HH194" s="99"/>
      <c r="HI194" s="99"/>
      <c r="HJ194" s="99"/>
      <c r="HK194" s="99"/>
      <c r="HL194" s="99"/>
      <c r="HM194" s="99"/>
      <c r="HN194" s="99"/>
      <c r="HO194" s="99"/>
      <c r="HP194" s="99"/>
      <c r="HQ194" s="99"/>
      <c r="HR194" s="99"/>
      <c r="HS194" s="99"/>
      <c r="HT194" s="99"/>
      <c r="HU194" s="99"/>
      <c r="HV194" s="99"/>
      <c r="HW194" s="99"/>
      <c r="HX194" s="99"/>
      <c r="HY194" s="99"/>
      <c r="HZ194" s="99"/>
      <c r="IA194" s="99"/>
      <c r="IB194" s="99"/>
      <c r="IC194" s="99"/>
      <c r="ID194" s="99"/>
      <c r="IE194" s="99"/>
      <c r="IF194" s="99"/>
      <c r="IG194" s="99"/>
      <c r="IH194" s="99"/>
      <c r="II194" s="99"/>
      <c r="IJ194" s="99"/>
      <c r="IK194" s="99"/>
      <c r="IL194" s="99"/>
      <c r="IM194" s="99"/>
      <c r="IN194" s="99"/>
      <c r="IO194" s="99"/>
      <c r="IP194" s="99"/>
      <c r="IQ194" s="99"/>
      <c r="IR194" s="99"/>
      <c r="IS194" s="99"/>
      <c r="IT194" s="99"/>
      <c r="IU194" s="99"/>
      <c r="IV194" s="99"/>
    </row>
    <row r="195" spans="1:256" ht="12.75">
      <c r="A195" s="33"/>
      <c r="B195" s="33"/>
      <c r="C195" s="33"/>
      <c r="D195" s="33"/>
      <c r="E195" s="33"/>
      <c r="F195" s="33"/>
      <c r="G195" s="33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99"/>
      <c r="DL195" s="99"/>
      <c r="DM195" s="99"/>
      <c r="DN195" s="99"/>
      <c r="DO195" s="99"/>
      <c r="DP195" s="99"/>
      <c r="DQ195" s="99"/>
      <c r="DR195" s="99"/>
      <c r="DS195" s="99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99"/>
      <c r="EY195" s="99"/>
      <c r="EZ195" s="99"/>
      <c r="FA195" s="99"/>
      <c r="FB195" s="99"/>
      <c r="FC195" s="99"/>
      <c r="FD195" s="99"/>
      <c r="FE195" s="99"/>
      <c r="FF195" s="99"/>
      <c r="FG195" s="99"/>
      <c r="FH195" s="99"/>
      <c r="FI195" s="99"/>
      <c r="FJ195" s="99"/>
      <c r="FK195" s="99"/>
      <c r="FL195" s="99"/>
      <c r="FM195" s="99"/>
      <c r="FN195" s="99"/>
      <c r="FO195" s="99"/>
      <c r="FP195" s="99"/>
      <c r="FQ195" s="99"/>
      <c r="FR195" s="99"/>
      <c r="FS195" s="99"/>
      <c r="FT195" s="99"/>
      <c r="FU195" s="99"/>
      <c r="FV195" s="99"/>
      <c r="FW195" s="99"/>
      <c r="FX195" s="99"/>
      <c r="FY195" s="99"/>
      <c r="FZ195" s="99"/>
      <c r="GA195" s="99"/>
      <c r="GB195" s="99"/>
      <c r="GC195" s="99"/>
      <c r="GD195" s="99"/>
      <c r="GE195" s="99"/>
      <c r="GF195" s="99"/>
      <c r="GG195" s="99"/>
      <c r="GH195" s="99"/>
      <c r="GI195" s="99"/>
      <c r="GJ195" s="99"/>
      <c r="GK195" s="99"/>
      <c r="GL195" s="99"/>
      <c r="GM195" s="99"/>
      <c r="GN195" s="99"/>
      <c r="GO195" s="99"/>
      <c r="GP195" s="99"/>
      <c r="GQ195" s="99"/>
      <c r="GR195" s="99"/>
      <c r="GS195" s="99"/>
      <c r="GT195" s="99"/>
      <c r="GU195" s="99"/>
      <c r="GV195" s="99"/>
      <c r="GW195" s="99"/>
      <c r="GX195" s="99"/>
      <c r="GY195" s="99"/>
      <c r="GZ195" s="99"/>
      <c r="HA195" s="99"/>
      <c r="HB195" s="99"/>
      <c r="HC195" s="99"/>
      <c r="HD195" s="99"/>
      <c r="HE195" s="99"/>
      <c r="HF195" s="99"/>
      <c r="HG195" s="99"/>
      <c r="HH195" s="99"/>
      <c r="HI195" s="99"/>
      <c r="HJ195" s="99"/>
      <c r="HK195" s="99"/>
      <c r="HL195" s="99"/>
      <c r="HM195" s="99"/>
      <c r="HN195" s="99"/>
      <c r="HO195" s="99"/>
      <c r="HP195" s="99"/>
      <c r="HQ195" s="99"/>
      <c r="HR195" s="99"/>
      <c r="HS195" s="99"/>
      <c r="HT195" s="99"/>
      <c r="HU195" s="99"/>
      <c r="HV195" s="99"/>
      <c r="HW195" s="99"/>
      <c r="HX195" s="99"/>
      <c r="HY195" s="99"/>
      <c r="HZ195" s="99"/>
      <c r="IA195" s="99"/>
      <c r="IB195" s="99"/>
      <c r="IC195" s="99"/>
      <c r="ID195" s="99"/>
      <c r="IE195" s="99"/>
      <c r="IF195" s="99"/>
      <c r="IG195" s="99"/>
      <c r="IH195" s="99"/>
      <c r="II195" s="99"/>
      <c r="IJ195" s="99"/>
      <c r="IK195" s="99"/>
      <c r="IL195" s="99"/>
      <c r="IM195" s="99"/>
      <c r="IN195" s="99"/>
      <c r="IO195" s="99"/>
      <c r="IP195" s="99"/>
      <c r="IQ195" s="99"/>
      <c r="IR195" s="99"/>
      <c r="IS195" s="99"/>
      <c r="IT195" s="99"/>
      <c r="IU195" s="99"/>
      <c r="IV195" s="99"/>
    </row>
    <row r="196" spans="1:256" ht="12.75">
      <c r="A196" s="33"/>
      <c r="B196" s="33"/>
      <c r="C196" s="33"/>
      <c r="D196" s="33"/>
      <c r="E196" s="33"/>
      <c r="F196" s="33"/>
      <c r="G196" s="33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  <c r="FB196" s="99"/>
      <c r="FC196" s="99"/>
      <c r="FD196" s="99"/>
      <c r="FE196" s="99"/>
      <c r="FF196" s="99"/>
      <c r="FG196" s="99"/>
      <c r="FH196" s="99"/>
      <c r="FI196" s="99"/>
      <c r="FJ196" s="99"/>
      <c r="FK196" s="99"/>
      <c r="FL196" s="99"/>
      <c r="FM196" s="99"/>
      <c r="FN196" s="99"/>
      <c r="FO196" s="99"/>
      <c r="FP196" s="99"/>
      <c r="FQ196" s="99"/>
      <c r="FR196" s="99"/>
      <c r="FS196" s="99"/>
      <c r="FT196" s="99"/>
      <c r="FU196" s="99"/>
      <c r="FV196" s="99"/>
      <c r="FW196" s="99"/>
      <c r="FX196" s="99"/>
      <c r="FY196" s="99"/>
      <c r="FZ196" s="99"/>
      <c r="GA196" s="99"/>
      <c r="GB196" s="99"/>
      <c r="GC196" s="99"/>
      <c r="GD196" s="99"/>
      <c r="GE196" s="99"/>
      <c r="GF196" s="99"/>
      <c r="GG196" s="99"/>
      <c r="GH196" s="99"/>
      <c r="GI196" s="99"/>
      <c r="GJ196" s="99"/>
      <c r="GK196" s="99"/>
      <c r="GL196" s="99"/>
      <c r="GM196" s="99"/>
      <c r="GN196" s="99"/>
      <c r="GO196" s="99"/>
      <c r="GP196" s="99"/>
      <c r="GQ196" s="99"/>
      <c r="GR196" s="99"/>
      <c r="GS196" s="99"/>
      <c r="GT196" s="99"/>
      <c r="GU196" s="99"/>
      <c r="GV196" s="99"/>
      <c r="GW196" s="99"/>
      <c r="GX196" s="99"/>
      <c r="GY196" s="99"/>
      <c r="GZ196" s="99"/>
      <c r="HA196" s="99"/>
      <c r="HB196" s="99"/>
      <c r="HC196" s="99"/>
      <c r="HD196" s="99"/>
      <c r="HE196" s="99"/>
      <c r="HF196" s="99"/>
      <c r="HG196" s="99"/>
      <c r="HH196" s="99"/>
      <c r="HI196" s="99"/>
      <c r="HJ196" s="99"/>
      <c r="HK196" s="99"/>
      <c r="HL196" s="99"/>
      <c r="HM196" s="99"/>
      <c r="HN196" s="99"/>
      <c r="HO196" s="99"/>
      <c r="HP196" s="99"/>
      <c r="HQ196" s="99"/>
      <c r="HR196" s="99"/>
      <c r="HS196" s="99"/>
      <c r="HT196" s="99"/>
      <c r="HU196" s="99"/>
      <c r="HV196" s="99"/>
      <c r="HW196" s="99"/>
      <c r="HX196" s="99"/>
      <c r="HY196" s="99"/>
      <c r="HZ196" s="99"/>
      <c r="IA196" s="99"/>
      <c r="IB196" s="99"/>
      <c r="IC196" s="99"/>
      <c r="ID196" s="99"/>
      <c r="IE196" s="99"/>
      <c r="IF196" s="99"/>
      <c r="IG196" s="99"/>
      <c r="IH196" s="99"/>
      <c r="II196" s="99"/>
      <c r="IJ196" s="99"/>
      <c r="IK196" s="99"/>
      <c r="IL196" s="99"/>
      <c r="IM196" s="99"/>
      <c r="IN196" s="99"/>
      <c r="IO196" s="99"/>
      <c r="IP196" s="99"/>
      <c r="IQ196" s="99"/>
      <c r="IR196" s="99"/>
      <c r="IS196" s="99"/>
      <c r="IT196" s="99"/>
      <c r="IU196" s="99"/>
      <c r="IV196" s="99"/>
    </row>
    <row r="197" spans="1:256" ht="12.75">
      <c r="A197" s="33"/>
      <c r="B197" s="33"/>
      <c r="C197" s="33"/>
      <c r="D197" s="33"/>
      <c r="E197" s="33"/>
      <c r="F197" s="33"/>
      <c r="G197" s="33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  <c r="DA197" s="99"/>
      <c r="DB197" s="99"/>
      <c r="DC197" s="99"/>
      <c r="DD197" s="99"/>
      <c r="DE197" s="99"/>
      <c r="DF197" s="99"/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  <c r="FH197" s="99"/>
      <c r="FI197" s="99"/>
      <c r="FJ197" s="99"/>
      <c r="FK197" s="99"/>
      <c r="FL197" s="99"/>
      <c r="FM197" s="99"/>
      <c r="FN197" s="99"/>
      <c r="FO197" s="99"/>
      <c r="FP197" s="99"/>
      <c r="FQ197" s="99"/>
      <c r="FR197" s="99"/>
      <c r="FS197" s="99"/>
      <c r="FT197" s="99"/>
      <c r="FU197" s="99"/>
      <c r="FV197" s="99"/>
      <c r="FW197" s="99"/>
      <c r="FX197" s="99"/>
      <c r="FY197" s="99"/>
      <c r="FZ197" s="99"/>
      <c r="GA197" s="99"/>
      <c r="GB197" s="99"/>
      <c r="GC197" s="99"/>
      <c r="GD197" s="99"/>
      <c r="GE197" s="99"/>
      <c r="GF197" s="99"/>
      <c r="GG197" s="99"/>
      <c r="GH197" s="99"/>
      <c r="GI197" s="99"/>
      <c r="GJ197" s="99"/>
      <c r="GK197" s="99"/>
      <c r="GL197" s="99"/>
      <c r="GM197" s="99"/>
      <c r="GN197" s="99"/>
      <c r="GO197" s="99"/>
      <c r="GP197" s="99"/>
      <c r="GQ197" s="99"/>
      <c r="GR197" s="99"/>
      <c r="GS197" s="99"/>
      <c r="GT197" s="99"/>
      <c r="GU197" s="99"/>
      <c r="GV197" s="99"/>
      <c r="GW197" s="99"/>
      <c r="GX197" s="99"/>
      <c r="GY197" s="99"/>
      <c r="GZ197" s="99"/>
      <c r="HA197" s="99"/>
      <c r="HB197" s="99"/>
      <c r="HC197" s="99"/>
      <c r="HD197" s="99"/>
      <c r="HE197" s="99"/>
      <c r="HF197" s="99"/>
      <c r="HG197" s="99"/>
      <c r="HH197" s="99"/>
      <c r="HI197" s="99"/>
      <c r="HJ197" s="99"/>
      <c r="HK197" s="99"/>
      <c r="HL197" s="99"/>
      <c r="HM197" s="99"/>
      <c r="HN197" s="99"/>
      <c r="HO197" s="99"/>
      <c r="HP197" s="99"/>
      <c r="HQ197" s="99"/>
      <c r="HR197" s="99"/>
      <c r="HS197" s="99"/>
      <c r="HT197" s="99"/>
      <c r="HU197" s="99"/>
      <c r="HV197" s="99"/>
      <c r="HW197" s="99"/>
      <c r="HX197" s="99"/>
      <c r="HY197" s="99"/>
      <c r="HZ197" s="99"/>
      <c r="IA197" s="99"/>
      <c r="IB197" s="99"/>
      <c r="IC197" s="99"/>
      <c r="ID197" s="99"/>
      <c r="IE197" s="99"/>
      <c r="IF197" s="99"/>
      <c r="IG197" s="99"/>
      <c r="IH197" s="99"/>
      <c r="II197" s="99"/>
      <c r="IJ197" s="99"/>
      <c r="IK197" s="99"/>
      <c r="IL197" s="99"/>
      <c r="IM197" s="99"/>
      <c r="IN197" s="99"/>
      <c r="IO197" s="99"/>
      <c r="IP197" s="99"/>
      <c r="IQ197" s="99"/>
      <c r="IR197" s="99"/>
      <c r="IS197" s="99"/>
      <c r="IT197" s="99"/>
      <c r="IU197" s="99"/>
      <c r="IV197" s="99"/>
    </row>
    <row r="198" spans="1:256" ht="12.75">
      <c r="A198" s="33"/>
      <c r="B198" s="33"/>
      <c r="C198" s="33"/>
      <c r="D198" s="33"/>
      <c r="E198" s="33"/>
      <c r="F198" s="33"/>
      <c r="G198" s="33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  <c r="FV198" s="99"/>
      <c r="FW198" s="99"/>
      <c r="FX198" s="99"/>
      <c r="FY198" s="99"/>
      <c r="FZ198" s="99"/>
      <c r="GA198" s="99"/>
      <c r="GB198" s="99"/>
      <c r="GC198" s="99"/>
      <c r="GD198" s="99"/>
      <c r="GE198" s="99"/>
      <c r="GF198" s="99"/>
      <c r="GG198" s="99"/>
      <c r="GH198" s="99"/>
      <c r="GI198" s="99"/>
      <c r="GJ198" s="99"/>
      <c r="GK198" s="99"/>
      <c r="GL198" s="99"/>
      <c r="GM198" s="99"/>
      <c r="GN198" s="99"/>
      <c r="GO198" s="99"/>
      <c r="GP198" s="99"/>
      <c r="GQ198" s="99"/>
      <c r="GR198" s="99"/>
      <c r="GS198" s="99"/>
      <c r="GT198" s="99"/>
      <c r="GU198" s="99"/>
      <c r="GV198" s="99"/>
      <c r="GW198" s="99"/>
      <c r="GX198" s="99"/>
      <c r="GY198" s="99"/>
      <c r="GZ198" s="99"/>
      <c r="HA198" s="99"/>
      <c r="HB198" s="99"/>
      <c r="HC198" s="99"/>
      <c r="HD198" s="99"/>
      <c r="HE198" s="99"/>
      <c r="HF198" s="99"/>
      <c r="HG198" s="99"/>
      <c r="HH198" s="99"/>
      <c r="HI198" s="99"/>
      <c r="HJ198" s="99"/>
      <c r="HK198" s="99"/>
      <c r="HL198" s="99"/>
      <c r="HM198" s="99"/>
      <c r="HN198" s="99"/>
      <c r="HO198" s="99"/>
      <c r="HP198" s="99"/>
      <c r="HQ198" s="99"/>
      <c r="HR198" s="99"/>
      <c r="HS198" s="99"/>
      <c r="HT198" s="99"/>
      <c r="HU198" s="99"/>
      <c r="HV198" s="99"/>
      <c r="HW198" s="99"/>
      <c r="HX198" s="99"/>
      <c r="HY198" s="99"/>
      <c r="HZ198" s="99"/>
      <c r="IA198" s="99"/>
      <c r="IB198" s="99"/>
      <c r="IC198" s="99"/>
      <c r="ID198" s="99"/>
      <c r="IE198" s="99"/>
      <c r="IF198" s="99"/>
      <c r="IG198" s="99"/>
      <c r="IH198" s="99"/>
      <c r="II198" s="99"/>
      <c r="IJ198" s="99"/>
      <c r="IK198" s="99"/>
      <c r="IL198" s="99"/>
      <c r="IM198" s="99"/>
      <c r="IN198" s="99"/>
      <c r="IO198" s="99"/>
      <c r="IP198" s="99"/>
      <c r="IQ198" s="99"/>
      <c r="IR198" s="99"/>
      <c r="IS198" s="99"/>
      <c r="IT198" s="99"/>
      <c r="IU198" s="99"/>
      <c r="IV198" s="99"/>
    </row>
    <row r="199" spans="1:256" ht="12.75">
      <c r="A199" s="33"/>
      <c r="B199" s="33"/>
      <c r="C199" s="33"/>
      <c r="D199" s="33"/>
      <c r="E199" s="33"/>
      <c r="F199" s="33"/>
      <c r="G199" s="33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99"/>
      <c r="EY199" s="99"/>
      <c r="EZ199" s="99"/>
      <c r="FA199" s="99"/>
      <c r="FB199" s="99"/>
      <c r="FC199" s="99"/>
      <c r="FD199" s="99"/>
      <c r="FE199" s="99"/>
      <c r="FF199" s="99"/>
      <c r="FG199" s="99"/>
      <c r="FH199" s="99"/>
      <c r="FI199" s="99"/>
      <c r="FJ199" s="99"/>
      <c r="FK199" s="99"/>
      <c r="FL199" s="99"/>
      <c r="FM199" s="99"/>
      <c r="FN199" s="99"/>
      <c r="FO199" s="99"/>
      <c r="FP199" s="99"/>
      <c r="FQ199" s="99"/>
      <c r="FR199" s="99"/>
      <c r="FS199" s="99"/>
      <c r="FT199" s="99"/>
      <c r="FU199" s="99"/>
      <c r="FV199" s="99"/>
      <c r="FW199" s="99"/>
      <c r="FX199" s="99"/>
      <c r="FY199" s="99"/>
      <c r="FZ199" s="99"/>
      <c r="GA199" s="99"/>
      <c r="GB199" s="99"/>
      <c r="GC199" s="99"/>
      <c r="GD199" s="99"/>
      <c r="GE199" s="99"/>
      <c r="GF199" s="99"/>
      <c r="GG199" s="99"/>
      <c r="GH199" s="99"/>
      <c r="GI199" s="99"/>
      <c r="GJ199" s="99"/>
      <c r="GK199" s="99"/>
      <c r="GL199" s="99"/>
      <c r="GM199" s="99"/>
      <c r="GN199" s="99"/>
      <c r="GO199" s="99"/>
      <c r="GP199" s="99"/>
      <c r="GQ199" s="99"/>
      <c r="GR199" s="99"/>
      <c r="GS199" s="99"/>
      <c r="GT199" s="99"/>
      <c r="GU199" s="99"/>
      <c r="GV199" s="99"/>
      <c r="GW199" s="99"/>
      <c r="GX199" s="99"/>
      <c r="GY199" s="99"/>
      <c r="GZ199" s="99"/>
      <c r="HA199" s="99"/>
      <c r="HB199" s="99"/>
      <c r="HC199" s="99"/>
      <c r="HD199" s="99"/>
      <c r="HE199" s="99"/>
      <c r="HF199" s="99"/>
      <c r="HG199" s="99"/>
      <c r="HH199" s="99"/>
      <c r="HI199" s="99"/>
      <c r="HJ199" s="99"/>
      <c r="HK199" s="99"/>
      <c r="HL199" s="99"/>
      <c r="HM199" s="99"/>
      <c r="HN199" s="99"/>
      <c r="HO199" s="99"/>
      <c r="HP199" s="99"/>
      <c r="HQ199" s="99"/>
      <c r="HR199" s="99"/>
      <c r="HS199" s="99"/>
      <c r="HT199" s="99"/>
      <c r="HU199" s="99"/>
      <c r="HV199" s="99"/>
      <c r="HW199" s="99"/>
      <c r="HX199" s="99"/>
      <c r="HY199" s="99"/>
      <c r="HZ199" s="99"/>
      <c r="IA199" s="99"/>
      <c r="IB199" s="99"/>
      <c r="IC199" s="99"/>
      <c r="ID199" s="99"/>
      <c r="IE199" s="99"/>
      <c r="IF199" s="99"/>
      <c r="IG199" s="99"/>
      <c r="IH199" s="99"/>
      <c r="II199" s="99"/>
      <c r="IJ199" s="99"/>
      <c r="IK199" s="99"/>
      <c r="IL199" s="99"/>
      <c r="IM199" s="99"/>
      <c r="IN199" s="99"/>
      <c r="IO199" s="99"/>
      <c r="IP199" s="99"/>
      <c r="IQ199" s="99"/>
      <c r="IR199" s="99"/>
      <c r="IS199" s="99"/>
      <c r="IT199" s="99"/>
      <c r="IU199" s="99"/>
      <c r="IV199" s="99"/>
    </row>
    <row r="200" spans="1:256" ht="12.75">
      <c r="A200" s="33"/>
      <c r="B200" s="33"/>
      <c r="C200" s="33"/>
      <c r="D200" s="33"/>
      <c r="E200" s="33"/>
      <c r="F200" s="33"/>
      <c r="G200" s="33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99"/>
      <c r="HA200" s="99"/>
      <c r="HB200" s="99"/>
      <c r="HC200" s="99"/>
      <c r="HD200" s="99"/>
      <c r="HE200" s="99"/>
      <c r="HF200" s="99"/>
      <c r="HG200" s="99"/>
      <c r="HH200" s="99"/>
      <c r="HI200" s="99"/>
      <c r="HJ200" s="99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99"/>
      <c r="IL200" s="99"/>
      <c r="IM200" s="99"/>
      <c r="IN200" s="99"/>
      <c r="IO200" s="99"/>
      <c r="IP200" s="99"/>
      <c r="IQ200" s="99"/>
      <c r="IR200" s="99"/>
      <c r="IS200" s="99"/>
      <c r="IT200" s="99"/>
      <c r="IU200" s="99"/>
      <c r="IV200" s="99"/>
    </row>
    <row r="201" spans="1:256" ht="12.75">
      <c r="A201" s="33"/>
      <c r="B201" s="33"/>
      <c r="C201" s="33"/>
      <c r="D201" s="33"/>
      <c r="E201" s="33"/>
      <c r="F201" s="33"/>
      <c r="G201" s="33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  <c r="FV201" s="99"/>
      <c r="FW201" s="99"/>
      <c r="FX201" s="99"/>
      <c r="FY201" s="99"/>
      <c r="FZ201" s="99"/>
      <c r="GA201" s="99"/>
      <c r="GB201" s="99"/>
      <c r="GC201" s="99"/>
      <c r="GD201" s="99"/>
      <c r="GE201" s="99"/>
      <c r="GF201" s="99"/>
      <c r="GG201" s="99"/>
      <c r="GH201" s="99"/>
      <c r="GI201" s="99"/>
      <c r="GJ201" s="99"/>
      <c r="GK201" s="99"/>
      <c r="GL201" s="99"/>
      <c r="GM201" s="99"/>
      <c r="GN201" s="99"/>
      <c r="GO201" s="99"/>
      <c r="GP201" s="99"/>
      <c r="GQ201" s="99"/>
      <c r="GR201" s="99"/>
      <c r="GS201" s="99"/>
      <c r="GT201" s="99"/>
      <c r="GU201" s="99"/>
      <c r="GV201" s="99"/>
      <c r="GW201" s="99"/>
      <c r="GX201" s="99"/>
      <c r="GY201" s="99"/>
      <c r="GZ201" s="99"/>
      <c r="HA201" s="99"/>
      <c r="HB201" s="99"/>
      <c r="HC201" s="99"/>
      <c r="HD201" s="99"/>
      <c r="HE201" s="99"/>
      <c r="HF201" s="99"/>
      <c r="HG201" s="99"/>
      <c r="HH201" s="99"/>
      <c r="HI201" s="99"/>
      <c r="HJ201" s="99"/>
      <c r="HK201" s="99"/>
      <c r="HL201" s="99"/>
      <c r="HM201" s="99"/>
      <c r="HN201" s="99"/>
      <c r="HO201" s="99"/>
      <c r="HP201" s="99"/>
      <c r="HQ201" s="99"/>
      <c r="HR201" s="99"/>
      <c r="HS201" s="99"/>
      <c r="HT201" s="99"/>
      <c r="HU201" s="99"/>
      <c r="HV201" s="99"/>
      <c r="HW201" s="99"/>
      <c r="HX201" s="99"/>
      <c r="HY201" s="99"/>
      <c r="HZ201" s="99"/>
      <c r="IA201" s="99"/>
      <c r="IB201" s="99"/>
      <c r="IC201" s="99"/>
      <c r="ID201" s="99"/>
      <c r="IE201" s="99"/>
      <c r="IF201" s="99"/>
      <c r="IG201" s="99"/>
      <c r="IH201" s="99"/>
      <c r="II201" s="99"/>
      <c r="IJ201" s="99"/>
      <c r="IK201" s="99"/>
      <c r="IL201" s="99"/>
      <c r="IM201" s="99"/>
      <c r="IN201" s="99"/>
      <c r="IO201" s="99"/>
      <c r="IP201" s="99"/>
      <c r="IQ201" s="99"/>
      <c r="IR201" s="99"/>
      <c r="IS201" s="99"/>
      <c r="IT201" s="99"/>
      <c r="IU201" s="99"/>
      <c r="IV201" s="99"/>
    </row>
    <row r="202" spans="1:256" ht="12.75">
      <c r="A202" s="33"/>
      <c r="B202" s="33"/>
      <c r="C202" s="33"/>
      <c r="D202" s="33"/>
      <c r="E202" s="33"/>
      <c r="F202" s="33"/>
      <c r="G202" s="33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  <c r="HL202" s="99"/>
      <c r="HM202" s="99"/>
      <c r="HN202" s="99"/>
      <c r="HO202" s="99"/>
      <c r="HP202" s="99"/>
      <c r="HQ202" s="99"/>
      <c r="HR202" s="99"/>
      <c r="HS202" s="99"/>
      <c r="HT202" s="99"/>
      <c r="HU202" s="99"/>
      <c r="HV202" s="99"/>
      <c r="HW202" s="99"/>
      <c r="HX202" s="99"/>
      <c r="HY202" s="99"/>
      <c r="HZ202" s="99"/>
      <c r="IA202" s="99"/>
      <c r="IB202" s="99"/>
      <c r="IC202" s="99"/>
      <c r="ID202" s="99"/>
      <c r="IE202" s="99"/>
      <c r="IF202" s="99"/>
      <c r="IG202" s="99"/>
      <c r="IH202" s="99"/>
      <c r="II202" s="99"/>
      <c r="IJ202" s="99"/>
      <c r="IK202" s="99"/>
      <c r="IL202" s="99"/>
      <c r="IM202" s="99"/>
      <c r="IN202" s="99"/>
      <c r="IO202" s="99"/>
      <c r="IP202" s="99"/>
      <c r="IQ202" s="99"/>
      <c r="IR202" s="99"/>
      <c r="IS202" s="99"/>
      <c r="IT202" s="99"/>
      <c r="IU202" s="99"/>
      <c r="IV202" s="99"/>
    </row>
    <row r="203" spans="1:256" ht="12.75">
      <c r="A203" s="33"/>
      <c r="B203" s="33"/>
      <c r="C203" s="33"/>
      <c r="D203" s="33"/>
      <c r="E203" s="33"/>
      <c r="F203" s="33"/>
      <c r="G203" s="33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99"/>
      <c r="DD203" s="99"/>
      <c r="DE203" s="99"/>
      <c r="DF203" s="99"/>
      <c r="DG203" s="99"/>
      <c r="DH203" s="99"/>
      <c r="DI203" s="99"/>
      <c r="DJ203" s="99"/>
      <c r="DK203" s="99"/>
      <c r="DL203" s="99"/>
      <c r="DM203" s="99"/>
      <c r="DN203" s="99"/>
      <c r="DO203" s="99"/>
      <c r="DP203" s="99"/>
      <c r="DQ203" s="99"/>
      <c r="DR203" s="99"/>
      <c r="DS203" s="99"/>
      <c r="DT203" s="99"/>
      <c r="DU203" s="99"/>
      <c r="DV203" s="99"/>
      <c r="DW203" s="99"/>
      <c r="DX203" s="99"/>
      <c r="DY203" s="99"/>
      <c r="DZ203" s="99"/>
      <c r="EA203" s="99"/>
      <c r="EB203" s="99"/>
      <c r="EC203" s="99"/>
      <c r="ED203" s="99"/>
      <c r="EE203" s="99"/>
      <c r="EF203" s="99"/>
      <c r="EG203" s="99"/>
      <c r="EH203" s="99"/>
      <c r="EI203" s="99"/>
      <c r="EJ203" s="99"/>
      <c r="EK203" s="99"/>
      <c r="EL203" s="99"/>
      <c r="EM203" s="99"/>
      <c r="EN203" s="99"/>
      <c r="EO203" s="99"/>
      <c r="EP203" s="99"/>
      <c r="EQ203" s="99"/>
      <c r="ER203" s="99"/>
      <c r="ES203" s="99"/>
      <c r="ET203" s="99"/>
      <c r="EU203" s="99"/>
      <c r="EV203" s="99"/>
      <c r="EW203" s="99"/>
      <c r="EX203" s="99"/>
      <c r="EY203" s="99"/>
      <c r="EZ203" s="99"/>
      <c r="FA203" s="99"/>
      <c r="FB203" s="99"/>
      <c r="FC203" s="99"/>
      <c r="FD203" s="99"/>
      <c r="FE203" s="99"/>
      <c r="FF203" s="99"/>
      <c r="FG203" s="99"/>
      <c r="FH203" s="99"/>
      <c r="FI203" s="99"/>
      <c r="FJ203" s="99"/>
      <c r="FK203" s="99"/>
      <c r="FL203" s="99"/>
      <c r="FM203" s="99"/>
      <c r="FN203" s="99"/>
      <c r="FO203" s="99"/>
      <c r="FP203" s="99"/>
      <c r="FQ203" s="99"/>
      <c r="FR203" s="99"/>
      <c r="FS203" s="99"/>
      <c r="FT203" s="99"/>
      <c r="FU203" s="99"/>
      <c r="FV203" s="99"/>
      <c r="FW203" s="99"/>
      <c r="FX203" s="99"/>
      <c r="FY203" s="99"/>
      <c r="FZ203" s="99"/>
      <c r="GA203" s="99"/>
      <c r="GB203" s="99"/>
      <c r="GC203" s="99"/>
      <c r="GD203" s="99"/>
      <c r="GE203" s="99"/>
      <c r="GF203" s="99"/>
      <c r="GG203" s="99"/>
      <c r="GH203" s="99"/>
      <c r="GI203" s="99"/>
      <c r="GJ203" s="99"/>
      <c r="GK203" s="99"/>
      <c r="GL203" s="99"/>
      <c r="GM203" s="99"/>
      <c r="GN203" s="99"/>
      <c r="GO203" s="99"/>
      <c r="GP203" s="99"/>
      <c r="GQ203" s="99"/>
      <c r="GR203" s="99"/>
      <c r="GS203" s="99"/>
      <c r="GT203" s="99"/>
      <c r="GU203" s="99"/>
      <c r="GV203" s="99"/>
      <c r="GW203" s="99"/>
      <c r="GX203" s="99"/>
      <c r="GY203" s="99"/>
      <c r="GZ203" s="99"/>
      <c r="HA203" s="99"/>
      <c r="HB203" s="99"/>
      <c r="HC203" s="99"/>
      <c r="HD203" s="99"/>
      <c r="HE203" s="99"/>
      <c r="HF203" s="99"/>
      <c r="HG203" s="99"/>
      <c r="HH203" s="99"/>
      <c r="HI203" s="99"/>
      <c r="HJ203" s="99"/>
      <c r="HK203" s="99"/>
      <c r="HL203" s="99"/>
      <c r="HM203" s="99"/>
      <c r="HN203" s="99"/>
      <c r="HO203" s="99"/>
      <c r="HP203" s="99"/>
      <c r="HQ203" s="99"/>
      <c r="HR203" s="99"/>
      <c r="HS203" s="99"/>
      <c r="HT203" s="99"/>
      <c r="HU203" s="99"/>
      <c r="HV203" s="99"/>
      <c r="HW203" s="99"/>
      <c r="HX203" s="99"/>
      <c r="HY203" s="99"/>
      <c r="HZ203" s="99"/>
      <c r="IA203" s="99"/>
      <c r="IB203" s="99"/>
      <c r="IC203" s="99"/>
      <c r="ID203" s="99"/>
      <c r="IE203" s="99"/>
      <c r="IF203" s="99"/>
      <c r="IG203" s="99"/>
      <c r="IH203" s="99"/>
      <c r="II203" s="99"/>
      <c r="IJ203" s="99"/>
      <c r="IK203" s="99"/>
      <c r="IL203" s="99"/>
      <c r="IM203" s="99"/>
      <c r="IN203" s="99"/>
      <c r="IO203" s="99"/>
      <c r="IP203" s="99"/>
      <c r="IQ203" s="99"/>
      <c r="IR203" s="99"/>
      <c r="IS203" s="99"/>
      <c r="IT203" s="99"/>
      <c r="IU203" s="99"/>
      <c r="IV203" s="99"/>
    </row>
    <row r="204" spans="1:256" ht="12.75">
      <c r="A204" s="33"/>
      <c r="B204" s="33"/>
      <c r="C204" s="33"/>
      <c r="D204" s="33"/>
      <c r="E204" s="33"/>
      <c r="F204" s="33"/>
      <c r="G204" s="33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99"/>
      <c r="DE204" s="99"/>
      <c r="DF204" s="99"/>
      <c r="DG204" s="99"/>
      <c r="DH204" s="99"/>
      <c r="DI204" s="99"/>
      <c r="DJ204" s="99"/>
      <c r="DK204" s="99"/>
      <c r="DL204" s="99"/>
      <c r="DM204" s="99"/>
      <c r="DN204" s="99"/>
      <c r="DO204" s="99"/>
      <c r="DP204" s="99"/>
      <c r="DQ204" s="99"/>
      <c r="DR204" s="99"/>
      <c r="DS204" s="99"/>
      <c r="DT204" s="99"/>
      <c r="DU204" s="99"/>
      <c r="DV204" s="99"/>
      <c r="DW204" s="99"/>
      <c r="DX204" s="99"/>
      <c r="DY204" s="99"/>
      <c r="DZ204" s="99"/>
      <c r="EA204" s="99"/>
      <c r="EB204" s="99"/>
      <c r="EC204" s="99"/>
      <c r="ED204" s="99"/>
      <c r="EE204" s="99"/>
      <c r="EF204" s="99"/>
      <c r="EG204" s="99"/>
      <c r="EH204" s="99"/>
      <c r="EI204" s="99"/>
      <c r="EJ204" s="99"/>
      <c r="EK204" s="99"/>
      <c r="EL204" s="99"/>
      <c r="EM204" s="99"/>
      <c r="EN204" s="99"/>
      <c r="EO204" s="99"/>
      <c r="EP204" s="99"/>
      <c r="EQ204" s="99"/>
      <c r="ER204" s="99"/>
      <c r="ES204" s="99"/>
      <c r="ET204" s="99"/>
      <c r="EU204" s="99"/>
      <c r="EV204" s="99"/>
      <c r="EW204" s="99"/>
      <c r="EX204" s="99"/>
      <c r="EY204" s="99"/>
      <c r="EZ204" s="99"/>
      <c r="FA204" s="99"/>
      <c r="FB204" s="99"/>
      <c r="FC204" s="99"/>
      <c r="FD204" s="99"/>
      <c r="FE204" s="99"/>
      <c r="FF204" s="99"/>
      <c r="FG204" s="99"/>
      <c r="FH204" s="99"/>
      <c r="FI204" s="99"/>
      <c r="FJ204" s="99"/>
      <c r="FK204" s="99"/>
      <c r="FL204" s="99"/>
      <c r="FM204" s="99"/>
      <c r="FN204" s="99"/>
      <c r="FO204" s="99"/>
      <c r="FP204" s="99"/>
      <c r="FQ204" s="99"/>
      <c r="FR204" s="99"/>
      <c r="FS204" s="99"/>
      <c r="FT204" s="99"/>
      <c r="FU204" s="99"/>
      <c r="FV204" s="99"/>
      <c r="FW204" s="99"/>
      <c r="FX204" s="99"/>
      <c r="FY204" s="99"/>
      <c r="FZ204" s="99"/>
      <c r="GA204" s="99"/>
      <c r="GB204" s="99"/>
      <c r="GC204" s="99"/>
      <c r="GD204" s="99"/>
      <c r="GE204" s="99"/>
      <c r="GF204" s="99"/>
      <c r="GG204" s="99"/>
      <c r="GH204" s="99"/>
      <c r="GI204" s="99"/>
      <c r="GJ204" s="99"/>
      <c r="GK204" s="99"/>
      <c r="GL204" s="99"/>
      <c r="GM204" s="99"/>
      <c r="GN204" s="99"/>
      <c r="GO204" s="99"/>
      <c r="GP204" s="99"/>
      <c r="GQ204" s="99"/>
      <c r="GR204" s="99"/>
      <c r="GS204" s="99"/>
      <c r="GT204" s="99"/>
      <c r="GU204" s="99"/>
      <c r="GV204" s="99"/>
      <c r="GW204" s="99"/>
      <c r="GX204" s="99"/>
      <c r="GY204" s="99"/>
      <c r="GZ204" s="99"/>
      <c r="HA204" s="99"/>
      <c r="HB204" s="99"/>
      <c r="HC204" s="99"/>
      <c r="HD204" s="99"/>
      <c r="HE204" s="99"/>
      <c r="HF204" s="99"/>
      <c r="HG204" s="99"/>
      <c r="HH204" s="99"/>
      <c r="HI204" s="99"/>
      <c r="HJ204" s="99"/>
      <c r="HK204" s="99"/>
      <c r="HL204" s="99"/>
      <c r="HM204" s="99"/>
      <c r="HN204" s="99"/>
      <c r="HO204" s="99"/>
      <c r="HP204" s="99"/>
      <c r="HQ204" s="99"/>
      <c r="HR204" s="99"/>
      <c r="HS204" s="99"/>
      <c r="HT204" s="99"/>
      <c r="HU204" s="99"/>
      <c r="HV204" s="99"/>
      <c r="HW204" s="99"/>
      <c r="HX204" s="99"/>
      <c r="HY204" s="99"/>
      <c r="HZ204" s="99"/>
      <c r="IA204" s="99"/>
      <c r="IB204" s="99"/>
      <c r="IC204" s="99"/>
      <c r="ID204" s="99"/>
      <c r="IE204" s="99"/>
      <c r="IF204" s="99"/>
      <c r="IG204" s="99"/>
      <c r="IH204" s="99"/>
      <c r="II204" s="99"/>
      <c r="IJ204" s="99"/>
      <c r="IK204" s="99"/>
      <c r="IL204" s="99"/>
      <c r="IM204" s="99"/>
      <c r="IN204" s="99"/>
      <c r="IO204" s="99"/>
      <c r="IP204" s="99"/>
      <c r="IQ204" s="99"/>
      <c r="IR204" s="99"/>
      <c r="IS204" s="99"/>
      <c r="IT204" s="99"/>
      <c r="IU204" s="99"/>
      <c r="IV204" s="99"/>
    </row>
    <row r="205" spans="1:256" ht="12.75">
      <c r="A205" s="33"/>
      <c r="B205" s="33"/>
      <c r="C205" s="33"/>
      <c r="D205" s="33"/>
      <c r="E205" s="33"/>
      <c r="F205" s="33"/>
      <c r="G205" s="33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99"/>
      <c r="FF205" s="99"/>
      <c r="FG205" s="99"/>
      <c r="FH205" s="99"/>
      <c r="FI205" s="99"/>
      <c r="FJ205" s="99"/>
      <c r="FK205" s="99"/>
      <c r="FL205" s="99"/>
      <c r="FM205" s="99"/>
      <c r="FN205" s="99"/>
      <c r="FO205" s="99"/>
      <c r="FP205" s="99"/>
      <c r="FQ205" s="99"/>
      <c r="FR205" s="99"/>
      <c r="FS205" s="99"/>
      <c r="FT205" s="99"/>
      <c r="FU205" s="99"/>
      <c r="FV205" s="99"/>
      <c r="FW205" s="99"/>
      <c r="FX205" s="99"/>
      <c r="FY205" s="99"/>
      <c r="FZ205" s="99"/>
      <c r="GA205" s="99"/>
      <c r="GB205" s="99"/>
      <c r="GC205" s="99"/>
      <c r="GD205" s="99"/>
      <c r="GE205" s="99"/>
      <c r="GF205" s="99"/>
      <c r="GG205" s="99"/>
      <c r="GH205" s="99"/>
      <c r="GI205" s="99"/>
      <c r="GJ205" s="99"/>
      <c r="GK205" s="99"/>
      <c r="GL205" s="99"/>
      <c r="GM205" s="99"/>
      <c r="GN205" s="99"/>
      <c r="GO205" s="99"/>
      <c r="GP205" s="99"/>
      <c r="GQ205" s="99"/>
      <c r="GR205" s="99"/>
      <c r="GS205" s="99"/>
      <c r="GT205" s="99"/>
      <c r="GU205" s="99"/>
      <c r="GV205" s="99"/>
      <c r="GW205" s="99"/>
      <c r="GX205" s="99"/>
      <c r="GY205" s="99"/>
      <c r="GZ205" s="99"/>
      <c r="HA205" s="99"/>
      <c r="HB205" s="99"/>
      <c r="HC205" s="99"/>
      <c r="HD205" s="99"/>
      <c r="HE205" s="99"/>
      <c r="HF205" s="99"/>
      <c r="HG205" s="99"/>
      <c r="HH205" s="99"/>
      <c r="HI205" s="99"/>
      <c r="HJ205" s="99"/>
      <c r="HK205" s="99"/>
      <c r="HL205" s="99"/>
      <c r="HM205" s="99"/>
      <c r="HN205" s="99"/>
      <c r="HO205" s="99"/>
      <c r="HP205" s="99"/>
      <c r="HQ205" s="99"/>
      <c r="HR205" s="99"/>
      <c r="HS205" s="99"/>
      <c r="HT205" s="99"/>
      <c r="HU205" s="99"/>
      <c r="HV205" s="99"/>
      <c r="HW205" s="99"/>
      <c r="HX205" s="99"/>
      <c r="HY205" s="99"/>
      <c r="HZ205" s="99"/>
      <c r="IA205" s="99"/>
      <c r="IB205" s="99"/>
      <c r="IC205" s="99"/>
      <c r="ID205" s="99"/>
      <c r="IE205" s="99"/>
      <c r="IF205" s="99"/>
      <c r="IG205" s="99"/>
      <c r="IH205" s="99"/>
      <c r="II205" s="99"/>
      <c r="IJ205" s="99"/>
      <c r="IK205" s="99"/>
      <c r="IL205" s="99"/>
      <c r="IM205" s="99"/>
      <c r="IN205" s="99"/>
      <c r="IO205" s="99"/>
      <c r="IP205" s="99"/>
      <c r="IQ205" s="99"/>
      <c r="IR205" s="99"/>
      <c r="IS205" s="99"/>
      <c r="IT205" s="99"/>
      <c r="IU205" s="99"/>
      <c r="IV205" s="99"/>
    </row>
    <row r="206" spans="1:256" ht="12.75">
      <c r="A206" s="33"/>
      <c r="B206" s="33"/>
      <c r="C206" s="33"/>
      <c r="D206" s="33"/>
      <c r="E206" s="33"/>
      <c r="F206" s="33"/>
      <c r="G206" s="33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  <c r="DC206" s="99"/>
      <c r="DD206" s="99"/>
      <c r="DE206" s="99"/>
      <c r="DF206" s="99"/>
      <c r="DG206" s="99"/>
      <c r="DH206" s="99"/>
      <c r="DI206" s="99"/>
      <c r="DJ206" s="99"/>
      <c r="DK206" s="99"/>
      <c r="DL206" s="99"/>
      <c r="DM206" s="99"/>
      <c r="DN206" s="99"/>
      <c r="DO206" s="99"/>
      <c r="DP206" s="99"/>
      <c r="DQ206" s="99"/>
      <c r="DR206" s="99"/>
      <c r="DS206" s="99"/>
      <c r="DT206" s="99"/>
      <c r="DU206" s="99"/>
      <c r="DV206" s="99"/>
      <c r="DW206" s="99"/>
      <c r="DX206" s="99"/>
      <c r="DY206" s="99"/>
      <c r="DZ206" s="99"/>
      <c r="EA206" s="99"/>
      <c r="EB206" s="99"/>
      <c r="EC206" s="99"/>
      <c r="ED206" s="99"/>
      <c r="EE206" s="99"/>
      <c r="EF206" s="99"/>
      <c r="EG206" s="99"/>
      <c r="EH206" s="99"/>
      <c r="EI206" s="99"/>
      <c r="EJ206" s="99"/>
      <c r="EK206" s="99"/>
      <c r="EL206" s="99"/>
      <c r="EM206" s="99"/>
      <c r="EN206" s="99"/>
      <c r="EO206" s="99"/>
      <c r="EP206" s="99"/>
      <c r="EQ206" s="99"/>
      <c r="ER206" s="99"/>
      <c r="ES206" s="99"/>
      <c r="ET206" s="99"/>
      <c r="EU206" s="99"/>
      <c r="EV206" s="99"/>
      <c r="EW206" s="99"/>
      <c r="EX206" s="99"/>
      <c r="EY206" s="99"/>
      <c r="EZ206" s="99"/>
      <c r="FA206" s="99"/>
      <c r="FB206" s="99"/>
      <c r="FC206" s="99"/>
      <c r="FD206" s="99"/>
      <c r="FE206" s="99"/>
      <c r="FF206" s="99"/>
      <c r="FG206" s="99"/>
      <c r="FH206" s="99"/>
      <c r="FI206" s="99"/>
      <c r="FJ206" s="99"/>
      <c r="FK206" s="99"/>
      <c r="FL206" s="99"/>
      <c r="FM206" s="99"/>
      <c r="FN206" s="99"/>
      <c r="FO206" s="99"/>
      <c r="FP206" s="99"/>
      <c r="FQ206" s="99"/>
      <c r="FR206" s="99"/>
      <c r="FS206" s="99"/>
      <c r="FT206" s="99"/>
      <c r="FU206" s="99"/>
      <c r="FV206" s="99"/>
      <c r="FW206" s="99"/>
      <c r="FX206" s="99"/>
      <c r="FY206" s="99"/>
      <c r="FZ206" s="99"/>
      <c r="GA206" s="99"/>
      <c r="GB206" s="99"/>
      <c r="GC206" s="99"/>
      <c r="GD206" s="99"/>
      <c r="GE206" s="99"/>
      <c r="GF206" s="99"/>
      <c r="GG206" s="99"/>
      <c r="GH206" s="99"/>
      <c r="GI206" s="99"/>
      <c r="GJ206" s="99"/>
      <c r="GK206" s="99"/>
      <c r="GL206" s="99"/>
      <c r="GM206" s="99"/>
      <c r="GN206" s="99"/>
      <c r="GO206" s="99"/>
      <c r="GP206" s="99"/>
      <c r="GQ206" s="99"/>
      <c r="GR206" s="99"/>
      <c r="GS206" s="99"/>
      <c r="GT206" s="99"/>
      <c r="GU206" s="99"/>
      <c r="GV206" s="99"/>
      <c r="GW206" s="99"/>
      <c r="GX206" s="99"/>
      <c r="GY206" s="99"/>
      <c r="GZ206" s="99"/>
      <c r="HA206" s="99"/>
      <c r="HB206" s="99"/>
      <c r="HC206" s="99"/>
      <c r="HD206" s="99"/>
      <c r="HE206" s="99"/>
      <c r="HF206" s="99"/>
      <c r="HG206" s="99"/>
      <c r="HH206" s="99"/>
      <c r="HI206" s="99"/>
      <c r="HJ206" s="99"/>
      <c r="HK206" s="99"/>
      <c r="HL206" s="99"/>
      <c r="HM206" s="99"/>
      <c r="HN206" s="99"/>
      <c r="HO206" s="99"/>
      <c r="HP206" s="99"/>
      <c r="HQ206" s="99"/>
      <c r="HR206" s="99"/>
      <c r="HS206" s="99"/>
      <c r="HT206" s="99"/>
      <c r="HU206" s="99"/>
      <c r="HV206" s="99"/>
      <c r="HW206" s="99"/>
      <c r="HX206" s="99"/>
      <c r="HY206" s="99"/>
      <c r="HZ206" s="99"/>
      <c r="IA206" s="99"/>
      <c r="IB206" s="99"/>
      <c r="IC206" s="99"/>
      <c r="ID206" s="99"/>
      <c r="IE206" s="99"/>
      <c r="IF206" s="99"/>
      <c r="IG206" s="99"/>
      <c r="IH206" s="99"/>
      <c r="II206" s="99"/>
      <c r="IJ206" s="99"/>
      <c r="IK206" s="99"/>
      <c r="IL206" s="99"/>
      <c r="IM206" s="99"/>
      <c r="IN206" s="99"/>
      <c r="IO206" s="99"/>
      <c r="IP206" s="99"/>
      <c r="IQ206" s="99"/>
      <c r="IR206" s="99"/>
      <c r="IS206" s="99"/>
      <c r="IT206" s="99"/>
      <c r="IU206" s="99"/>
      <c r="IV206" s="99"/>
    </row>
    <row r="207" spans="1:256" ht="12.75">
      <c r="A207" s="33"/>
      <c r="B207" s="33"/>
      <c r="C207" s="33"/>
      <c r="D207" s="33"/>
      <c r="E207" s="33"/>
      <c r="F207" s="33"/>
      <c r="G207" s="33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  <c r="FB207" s="99"/>
      <c r="FC207" s="99"/>
      <c r="FD207" s="99"/>
      <c r="FE207" s="99"/>
      <c r="FF207" s="99"/>
      <c r="FG207" s="99"/>
      <c r="FH207" s="99"/>
      <c r="FI207" s="99"/>
      <c r="FJ207" s="99"/>
      <c r="FK207" s="99"/>
      <c r="FL207" s="99"/>
      <c r="FM207" s="99"/>
      <c r="FN207" s="99"/>
      <c r="FO207" s="99"/>
      <c r="FP207" s="99"/>
      <c r="FQ207" s="99"/>
      <c r="FR207" s="99"/>
      <c r="FS207" s="99"/>
      <c r="FT207" s="99"/>
      <c r="FU207" s="99"/>
      <c r="FV207" s="99"/>
      <c r="FW207" s="99"/>
      <c r="FX207" s="99"/>
      <c r="FY207" s="99"/>
      <c r="FZ207" s="99"/>
      <c r="GA207" s="99"/>
      <c r="GB207" s="99"/>
      <c r="GC207" s="99"/>
      <c r="GD207" s="99"/>
      <c r="GE207" s="99"/>
      <c r="GF207" s="99"/>
      <c r="GG207" s="99"/>
      <c r="GH207" s="99"/>
      <c r="GI207" s="99"/>
      <c r="GJ207" s="99"/>
      <c r="GK207" s="99"/>
      <c r="GL207" s="99"/>
      <c r="GM207" s="99"/>
      <c r="GN207" s="99"/>
      <c r="GO207" s="99"/>
      <c r="GP207" s="99"/>
      <c r="GQ207" s="99"/>
      <c r="GR207" s="99"/>
      <c r="GS207" s="99"/>
      <c r="GT207" s="99"/>
      <c r="GU207" s="99"/>
      <c r="GV207" s="99"/>
      <c r="GW207" s="99"/>
      <c r="GX207" s="99"/>
      <c r="GY207" s="99"/>
      <c r="GZ207" s="99"/>
      <c r="HA207" s="99"/>
      <c r="HB207" s="99"/>
      <c r="HC207" s="99"/>
      <c r="HD207" s="99"/>
      <c r="HE207" s="99"/>
      <c r="HF207" s="99"/>
      <c r="HG207" s="99"/>
      <c r="HH207" s="99"/>
      <c r="HI207" s="99"/>
      <c r="HJ207" s="99"/>
      <c r="HK207" s="99"/>
      <c r="HL207" s="99"/>
      <c r="HM207" s="99"/>
      <c r="HN207" s="99"/>
      <c r="HO207" s="99"/>
      <c r="HP207" s="99"/>
      <c r="HQ207" s="99"/>
      <c r="HR207" s="99"/>
      <c r="HS207" s="99"/>
      <c r="HT207" s="99"/>
      <c r="HU207" s="99"/>
      <c r="HV207" s="99"/>
      <c r="HW207" s="99"/>
      <c r="HX207" s="99"/>
      <c r="HY207" s="99"/>
      <c r="HZ207" s="99"/>
      <c r="IA207" s="99"/>
      <c r="IB207" s="99"/>
      <c r="IC207" s="99"/>
      <c r="ID207" s="99"/>
      <c r="IE207" s="99"/>
      <c r="IF207" s="99"/>
      <c r="IG207" s="99"/>
      <c r="IH207" s="99"/>
      <c r="II207" s="99"/>
      <c r="IJ207" s="99"/>
      <c r="IK207" s="99"/>
      <c r="IL207" s="99"/>
      <c r="IM207" s="99"/>
      <c r="IN207" s="99"/>
      <c r="IO207" s="99"/>
      <c r="IP207" s="99"/>
      <c r="IQ207" s="99"/>
      <c r="IR207" s="99"/>
      <c r="IS207" s="99"/>
      <c r="IT207" s="99"/>
      <c r="IU207" s="99"/>
      <c r="IV207" s="99"/>
    </row>
    <row r="208" spans="1:256" ht="12.75">
      <c r="A208" s="33"/>
      <c r="B208" s="33"/>
      <c r="C208" s="33"/>
      <c r="D208" s="33"/>
      <c r="E208" s="33"/>
      <c r="F208" s="33"/>
      <c r="G208" s="33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99"/>
      <c r="EY208" s="99"/>
      <c r="EZ208" s="99"/>
      <c r="FA208" s="99"/>
      <c r="FB208" s="99"/>
      <c r="FC208" s="99"/>
      <c r="FD208" s="99"/>
      <c r="FE208" s="99"/>
      <c r="FF208" s="99"/>
      <c r="FG208" s="99"/>
      <c r="FH208" s="99"/>
      <c r="FI208" s="99"/>
      <c r="FJ208" s="99"/>
      <c r="FK208" s="99"/>
      <c r="FL208" s="99"/>
      <c r="FM208" s="99"/>
      <c r="FN208" s="99"/>
      <c r="FO208" s="99"/>
      <c r="FP208" s="99"/>
      <c r="FQ208" s="99"/>
      <c r="FR208" s="99"/>
      <c r="FS208" s="99"/>
      <c r="FT208" s="99"/>
      <c r="FU208" s="99"/>
      <c r="FV208" s="99"/>
      <c r="FW208" s="99"/>
      <c r="FX208" s="99"/>
      <c r="FY208" s="99"/>
      <c r="FZ208" s="99"/>
      <c r="GA208" s="99"/>
      <c r="GB208" s="99"/>
      <c r="GC208" s="99"/>
      <c r="GD208" s="99"/>
      <c r="GE208" s="99"/>
      <c r="GF208" s="99"/>
      <c r="GG208" s="99"/>
      <c r="GH208" s="99"/>
      <c r="GI208" s="99"/>
      <c r="GJ208" s="99"/>
      <c r="GK208" s="99"/>
      <c r="GL208" s="99"/>
      <c r="GM208" s="99"/>
      <c r="GN208" s="99"/>
      <c r="GO208" s="99"/>
      <c r="GP208" s="99"/>
      <c r="GQ208" s="99"/>
      <c r="GR208" s="99"/>
      <c r="GS208" s="99"/>
      <c r="GT208" s="99"/>
      <c r="GU208" s="99"/>
      <c r="GV208" s="99"/>
      <c r="GW208" s="99"/>
      <c r="GX208" s="99"/>
      <c r="GY208" s="99"/>
      <c r="GZ208" s="99"/>
      <c r="HA208" s="99"/>
      <c r="HB208" s="99"/>
      <c r="HC208" s="99"/>
      <c r="HD208" s="99"/>
      <c r="HE208" s="99"/>
      <c r="HF208" s="99"/>
      <c r="HG208" s="99"/>
      <c r="HH208" s="99"/>
      <c r="HI208" s="99"/>
      <c r="HJ208" s="99"/>
      <c r="HK208" s="99"/>
      <c r="HL208" s="99"/>
      <c r="HM208" s="99"/>
      <c r="HN208" s="99"/>
      <c r="HO208" s="99"/>
      <c r="HP208" s="99"/>
      <c r="HQ208" s="99"/>
      <c r="HR208" s="99"/>
      <c r="HS208" s="99"/>
      <c r="HT208" s="99"/>
      <c r="HU208" s="99"/>
      <c r="HV208" s="99"/>
      <c r="HW208" s="99"/>
      <c r="HX208" s="99"/>
      <c r="HY208" s="99"/>
      <c r="HZ208" s="99"/>
      <c r="IA208" s="99"/>
      <c r="IB208" s="99"/>
      <c r="IC208" s="99"/>
      <c r="ID208" s="99"/>
      <c r="IE208" s="99"/>
      <c r="IF208" s="99"/>
      <c r="IG208" s="99"/>
      <c r="IH208" s="99"/>
      <c r="II208" s="99"/>
      <c r="IJ208" s="99"/>
      <c r="IK208" s="99"/>
      <c r="IL208" s="99"/>
      <c r="IM208" s="99"/>
      <c r="IN208" s="99"/>
      <c r="IO208" s="99"/>
      <c r="IP208" s="99"/>
      <c r="IQ208" s="99"/>
      <c r="IR208" s="99"/>
      <c r="IS208" s="99"/>
      <c r="IT208" s="99"/>
      <c r="IU208" s="99"/>
      <c r="IV208" s="99"/>
    </row>
    <row r="209" spans="1:256" ht="12.75">
      <c r="A209" s="33"/>
      <c r="B209" s="33"/>
      <c r="C209" s="33"/>
      <c r="D209" s="33"/>
      <c r="E209" s="33"/>
      <c r="F209" s="33"/>
      <c r="G209" s="33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  <c r="FB209" s="99"/>
      <c r="FC209" s="99"/>
      <c r="FD209" s="99"/>
      <c r="FE209" s="99"/>
      <c r="FF209" s="99"/>
      <c r="FG209" s="99"/>
      <c r="FH209" s="99"/>
      <c r="FI209" s="99"/>
      <c r="FJ209" s="99"/>
      <c r="FK209" s="99"/>
      <c r="FL209" s="99"/>
      <c r="FM209" s="99"/>
      <c r="FN209" s="99"/>
      <c r="FO209" s="99"/>
      <c r="FP209" s="99"/>
      <c r="FQ209" s="99"/>
      <c r="FR209" s="99"/>
      <c r="FS209" s="99"/>
      <c r="FT209" s="99"/>
      <c r="FU209" s="99"/>
      <c r="FV209" s="99"/>
      <c r="FW209" s="99"/>
      <c r="FX209" s="99"/>
      <c r="FY209" s="99"/>
      <c r="FZ209" s="99"/>
      <c r="GA209" s="99"/>
      <c r="GB209" s="99"/>
      <c r="GC209" s="99"/>
      <c r="GD209" s="99"/>
      <c r="GE209" s="99"/>
      <c r="GF209" s="99"/>
      <c r="GG209" s="99"/>
      <c r="GH209" s="99"/>
      <c r="GI209" s="99"/>
      <c r="GJ209" s="99"/>
      <c r="GK209" s="99"/>
      <c r="GL209" s="99"/>
      <c r="GM209" s="99"/>
      <c r="GN209" s="99"/>
      <c r="GO209" s="99"/>
      <c r="GP209" s="99"/>
      <c r="GQ209" s="99"/>
      <c r="GR209" s="99"/>
      <c r="GS209" s="99"/>
      <c r="GT209" s="99"/>
      <c r="GU209" s="99"/>
      <c r="GV209" s="99"/>
      <c r="GW209" s="99"/>
      <c r="GX209" s="99"/>
      <c r="GY209" s="99"/>
      <c r="GZ209" s="99"/>
      <c r="HA209" s="99"/>
      <c r="HB209" s="99"/>
      <c r="HC209" s="99"/>
      <c r="HD209" s="99"/>
      <c r="HE209" s="99"/>
      <c r="HF209" s="99"/>
      <c r="HG209" s="99"/>
      <c r="HH209" s="99"/>
      <c r="HI209" s="99"/>
      <c r="HJ209" s="99"/>
      <c r="HK209" s="99"/>
      <c r="HL209" s="99"/>
      <c r="HM209" s="99"/>
      <c r="HN209" s="99"/>
      <c r="HO209" s="99"/>
      <c r="HP209" s="99"/>
      <c r="HQ209" s="99"/>
      <c r="HR209" s="99"/>
      <c r="HS209" s="99"/>
      <c r="HT209" s="99"/>
      <c r="HU209" s="99"/>
      <c r="HV209" s="99"/>
      <c r="HW209" s="99"/>
      <c r="HX209" s="99"/>
      <c r="HY209" s="99"/>
      <c r="HZ209" s="99"/>
      <c r="IA209" s="99"/>
      <c r="IB209" s="99"/>
      <c r="IC209" s="99"/>
      <c r="ID209" s="99"/>
      <c r="IE209" s="99"/>
      <c r="IF209" s="99"/>
      <c r="IG209" s="99"/>
      <c r="IH209" s="99"/>
      <c r="II209" s="99"/>
      <c r="IJ209" s="99"/>
      <c r="IK209" s="99"/>
      <c r="IL209" s="99"/>
      <c r="IM209" s="99"/>
      <c r="IN209" s="99"/>
      <c r="IO209" s="99"/>
      <c r="IP209" s="99"/>
      <c r="IQ209" s="99"/>
      <c r="IR209" s="99"/>
      <c r="IS209" s="99"/>
      <c r="IT209" s="99"/>
      <c r="IU209" s="99"/>
      <c r="IV209" s="99"/>
    </row>
    <row r="210" spans="1:256" ht="12.75">
      <c r="A210" s="33"/>
      <c r="B210" s="33"/>
      <c r="C210" s="33"/>
      <c r="D210" s="33"/>
      <c r="E210" s="33"/>
      <c r="F210" s="33"/>
      <c r="G210" s="33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99"/>
      <c r="EY210" s="99"/>
      <c r="EZ210" s="99"/>
      <c r="FA210" s="99"/>
      <c r="FB210" s="99"/>
      <c r="FC210" s="99"/>
      <c r="FD210" s="99"/>
      <c r="FE210" s="99"/>
      <c r="FF210" s="99"/>
      <c r="FG210" s="99"/>
      <c r="FH210" s="99"/>
      <c r="FI210" s="99"/>
      <c r="FJ210" s="99"/>
      <c r="FK210" s="99"/>
      <c r="FL210" s="99"/>
      <c r="FM210" s="99"/>
      <c r="FN210" s="99"/>
      <c r="FO210" s="99"/>
      <c r="FP210" s="99"/>
      <c r="FQ210" s="99"/>
      <c r="FR210" s="99"/>
      <c r="FS210" s="99"/>
      <c r="FT210" s="99"/>
      <c r="FU210" s="99"/>
      <c r="FV210" s="99"/>
      <c r="FW210" s="99"/>
      <c r="FX210" s="99"/>
      <c r="FY210" s="99"/>
      <c r="FZ210" s="99"/>
      <c r="GA210" s="99"/>
      <c r="GB210" s="99"/>
      <c r="GC210" s="99"/>
      <c r="GD210" s="99"/>
      <c r="GE210" s="99"/>
      <c r="GF210" s="99"/>
      <c r="GG210" s="99"/>
      <c r="GH210" s="99"/>
      <c r="GI210" s="99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99"/>
      <c r="HI210" s="99"/>
      <c r="HJ210" s="99"/>
      <c r="HK210" s="99"/>
      <c r="HL210" s="99"/>
      <c r="HM210" s="99"/>
      <c r="HN210" s="99"/>
      <c r="HO210" s="99"/>
      <c r="HP210" s="99"/>
      <c r="HQ210" s="99"/>
      <c r="HR210" s="99"/>
      <c r="HS210" s="99"/>
      <c r="HT210" s="99"/>
      <c r="HU210" s="99"/>
      <c r="HV210" s="99"/>
      <c r="HW210" s="99"/>
      <c r="HX210" s="99"/>
      <c r="HY210" s="99"/>
      <c r="HZ210" s="99"/>
      <c r="IA210" s="99"/>
      <c r="IB210" s="99"/>
      <c r="IC210" s="99"/>
      <c r="ID210" s="99"/>
      <c r="IE210" s="99"/>
      <c r="IF210" s="99"/>
      <c r="IG210" s="99"/>
      <c r="IH210" s="99"/>
      <c r="II210" s="99"/>
      <c r="IJ210" s="99"/>
      <c r="IK210" s="99"/>
      <c r="IL210" s="99"/>
      <c r="IM210" s="99"/>
      <c r="IN210" s="99"/>
      <c r="IO210" s="99"/>
      <c r="IP210" s="99"/>
      <c r="IQ210" s="99"/>
      <c r="IR210" s="99"/>
      <c r="IS210" s="99"/>
      <c r="IT210" s="99"/>
      <c r="IU210" s="99"/>
      <c r="IV210" s="99"/>
    </row>
    <row r="211" spans="1:256" ht="12.75">
      <c r="A211" s="33"/>
      <c r="B211" s="33"/>
      <c r="C211" s="33"/>
      <c r="D211" s="33"/>
      <c r="E211" s="33"/>
      <c r="F211" s="33"/>
      <c r="G211" s="33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/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99"/>
      <c r="EY211" s="99"/>
      <c r="EZ211" s="99"/>
      <c r="FA211" s="99"/>
      <c r="FB211" s="99"/>
      <c r="FC211" s="99"/>
      <c r="FD211" s="99"/>
      <c r="FE211" s="99"/>
      <c r="FF211" s="99"/>
      <c r="FG211" s="99"/>
      <c r="FH211" s="99"/>
      <c r="FI211" s="99"/>
      <c r="FJ211" s="99"/>
      <c r="FK211" s="99"/>
      <c r="FL211" s="99"/>
      <c r="FM211" s="99"/>
      <c r="FN211" s="99"/>
      <c r="FO211" s="99"/>
      <c r="FP211" s="99"/>
      <c r="FQ211" s="99"/>
      <c r="FR211" s="99"/>
      <c r="FS211" s="99"/>
      <c r="FT211" s="99"/>
      <c r="FU211" s="99"/>
      <c r="FV211" s="99"/>
      <c r="FW211" s="99"/>
      <c r="FX211" s="99"/>
      <c r="FY211" s="99"/>
      <c r="FZ211" s="99"/>
      <c r="GA211" s="99"/>
      <c r="GB211" s="99"/>
      <c r="GC211" s="99"/>
      <c r="GD211" s="99"/>
      <c r="GE211" s="99"/>
      <c r="GF211" s="99"/>
      <c r="GG211" s="99"/>
      <c r="GH211" s="99"/>
      <c r="GI211" s="99"/>
      <c r="GJ211" s="99"/>
      <c r="GK211" s="99"/>
      <c r="GL211" s="99"/>
      <c r="GM211" s="99"/>
      <c r="GN211" s="99"/>
      <c r="GO211" s="99"/>
      <c r="GP211" s="99"/>
      <c r="GQ211" s="99"/>
      <c r="GR211" s="99"/>
      <c r="GS211" s="99"/>
      <c r="GT211" s="99"/>
      <c r="GU211" s="99"/>
      <c r="GV211" s="99"/>
      <c r="GW211" s="99"/>
      <c r="GX211" s="99"/>
      <c r="GY211" s="99"/>
      <c r="GZ211" s="99"/>
      <c r="HA211" s="99"/>
      <c r="HB211" s="99"/>
      <c r="HC211" s="99"/>
      <c r="HD211" s="99"/>
      <c r="HE211" s="99"/>
      <c r="HF211" s="99"/>
      <c r="HG211" s="99"/>
      <c r="HH211" s="99"/>
      <c r="HI211" s="99"/>
      <c r="HJ211" s="99"/>
      <c r="HK211" s="99"/>
      <c r="HL211" s="99"/>
      <c r="HM211" s="99"/>
      <c r="HN211" s="99"/>
      <c r="HO211" s="99"/>
      <c r="HP211" s="99"/>
      <c r="HQ211" s="99"/>
      <c r="HR211" s="99"/>
      <c r="HS211" s="99"/>
      <c r="HT211" s="99"/>
      <c r="HU211" s="99"/>
      <c r="HV211" s="99"/>
      <c r="HW211" s="99"/>
      <c r="HX211" s="99"/>
      <c r="HY211" s="99"/>
      <c r="HZ211" s="99"/>
      <c r="IA211" s="99"/>
      <c r="IB211" s="99"/>
      <c r="IC211" s="99"/>
      <c r="ID211" s="99"/>
      <c r="IE211" s="99"/>
      <c r="IF211" s="99"/>
      <c r="IG211" s="99"/>
      <c r="IH211" s="99"/>
      <c r="II211" s="99"/>
      <c r="IJ211" s="99"/>
      <c r="IK211" s="99"/>
      <c r="IL211" s="99"/>
      <c r="IM211" s="99"/>
      <c r="IN211" s="99"/>
      <c r="IO211" s="99"/>
      <c r="IP211" s="99"/>
      <c r="IQ211" s="99"/>
      <c r="IR211" s="99"/>
      <c r="IS211" s="99"/>
      <c r="IT211" s="99"/>
      <c r="IU211" s="99"/>
      <c r="IV211" s="99"/>
    </row>
    <row r="212" spans="1:256" ht="12.75">
      <c r="A212" s="33"/>
      <c r="B212" s="33"/>
      <c r="C212" s="33"/>
      <c r="D212" s="33"/>
      <c r="E212" s="33"/>
      <c r="F212" s="33"/>
      <c r="G212" s="33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99"/>
      <c r="GG212" s="99"/>
      <c r="GH212" s="99"/>
      <c r="GI212" s="99"/>
      <c r="GJ212" s="99"/>
      <c r="GK212" s="99"/>
      <c r="GL212" s="99"/>
      <c r="GM212" s="99"/>
      <c r="GN212" s="99"/>
      <c r="GO212" s="99"/>
      <c r="GP212" s="99"/>
      <c r="GQ212" s="99"/>
      <c r="GR212" s="99"/>
      <c r="GS212" s="99"/>
      <c r="GT212" s="99"/>
      <c r="GU212" s="99"/>
      <c r="GV212" s="99"/>
      <c r="GW212" s="99"/>
      <c r="GX212" s="99"/>
      <c r="GY212" s="99"/>
      <c r="GZ212" s="99"/>
      <c r="HA212" s="99"/>
      <c r="HB212" s="99"/>
      <c r="HC212" s="99"/>
      <c r="HD212" s="99"/>
      <c r="HE212" s="99"/>
      <c r="HF212" s="99"/>
      <c r="HG212" s="99"/>
      <c r="HH212" s="99"/>
      <c r="HI212" s="99"/>
      <c r="HJ212" s="99"/>
      <c r="HK212" s="99"/>
      <c r="HL212" s="99"/>
      <c r="HM212" s="99"/>
      <c r="HN212" s="99"/>
      <c r="HO212" s="99"/>
      <c r="HP212" s="99"/>
      <c r="HQ212" s="99"/>
      <c r="HR212" s="99"/>
      <c r="HS212" s="99"/>
      <c r="HT212" s="99"/>
      <c r="HU212" s="99"/>
      <c r="HV212" s="99"/>
      <c r="HW212" s="99"/>
      <c r="HX212" s="99"/>
      <c r="HY212" s="99"/>
      <c r="HZ212" s="99"/>
      <c r="IA212" s="99"/>
      <c r="IB212" s="99"/>
      <c r="IC212" s="99"/>
      <c r="ID212" s="99"/>
      <c r="IE212" s="99"/>
      <c r="IF212" s="99"/>
      <c r="IG212" s="99"/>
      <c r="IH212" s="99"/>
      <c r="II212" s="99"/>
      <c r="IJ212" s="99"/>
      <c r="IK212" s="99"/>
      <c r="IL212" s="99"/>
      <c r="IM212" s="99"/>
      <c r="IN212" s="99"/>
      <c r="IO212" s="99"/>
      <c r="IP212" s="99"/>
      <c r="IQ212" s="99"/>
      <c r="IR212" s="99"/>
      <c r="IS212" s="99"/>
      <c r="IT212" s="99"/>
      <c r="IU212" s="99"/>
      <c r="IV212" s="99"/>
    </row>
    <row r="213" spans="1:256" ht="12.75">
      <c r="A213" s="33"/>
      <c r="B213" s="33"/>
      <c r="C213" s="33"/>
      <c r="D213" s="33"/>
      <c r="E213" s="33"/>
      <c r="F213" s="33"/>
      <c r="G213" s="33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99"/>
      <c r="EB213" s="99"/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  <c r="FB213" s="99"/>
      <c r="FC213" s="99"/>
      <c r="FD213" s="99"/>
      <c r="FE213" s="99"/>
      <c r="FF213" s="99"/>
      <c r="FG213" s="99"/>
      <c r="FH213" s="99"/>
      <c r="FI213" s="99"/>
      <c r="FJ213" s="99"/>
      <c r="FK213" s="99"/>
      <c r="FL213" s="99"/>
      <c r="FM213" s="99"/>
      <c r="FN213" s="99"/>
      <c r="FO213" s="99"/>
      <c r="FP213" s="99"/>
      <c r="FQ213" s="99"/>
      <c r="FR213" s="99"/>
      <c r="FS213" s="99"/>
      <c r="FT213" s="99"/>
      <c r="FU213" s="99"/>
      <c r="FV213" s="99"/>
      <c r="FW213" s="99"/>
      <c r="FX213" s="99"/>
      <c r="FY213" s="99"/>
      <c r="FZ213" s="99"/>
      <c r="GA213" s="99"/>
      <c r="GB213" s="99"/>
      <c r="GC213" s="99"/>
      <c r="GD213" s="99"/>
      <c r="GE213" s="99"/>
      <c r="GF213" s="99"/>
      <c r="GG213" s="99"/>
      <c r="GH213" s="99"/>
      <c r="GI213" s="99"/>
      <c r="GJ213" s="99"/>
      <c r="GK213" s="99"/>
      <c r="GL213" s="99"/>
      <c r="GM213" s="99"/>
      <c r="GN213" s="99"/>
      <c r="GO213" s="99"/>
      <c r="GP213" s="99"/>
      <c r="GQ213" s="99"/>
      <c r="GR213" s="99"/>
      <c r="GS213" s="99"/>
      <c r="GT213" s="99"/>
      <c r="GU213" s="99"/>
      <c r="GV213" s="99"/>
      <c r="GW213" s="99"/>
      <c r="GX213" s="99"/>
      <c r="GY213" s="99"/>
      <c r="GZ213" s="99"/>
      <c r="HA213" s="99"/>
      <c r="HB213" s="99"/>
      <c r="HC213" s="99"/>
      <c r="HD213" s="99"/>
      <c r="HE213" s="99"/>
      <c r="HF213" s="99"/>
      <c r="HG213" s="99"/>
      <c r="HH213" s="99"/>
      <c r="HI213" s="99"/>
      <c r="HJ213" s="99"/>
      <c r="HK213" s="99"/>
      <c r="HL213" s="99"/>
      <c r="HM213" s="99"/>
      <c r="HN213" s="99"/>
      <c r="HO213" s="99"/>
      <c r="HP213" s="99"/>
      <c r="HQ213" s="99"/>
      <c r="HR213" s="99"/>
      <c r="HS213" s="99"/>
      <c r="HT213" s="99"/>
      <c r="HU213" s="99"/>
      <c r="HV213" s="99"/>
      <c r="HW213" s="99"/>
      <c r="HX213" s="99"/>
      <c r="HY213" s="99"/>
      <c r="HZ213" s="99"/>
      <c r="IA213" s="99"/>
      <c r="IB213" s="99"/>
      <c r="IC213" s="99"/>
      <c r="ID213" s="99"/>
      <c r="IE213" s="99"/>
      <c r="IF213" s="99"/>
      <c r="IG213" s="99"/>
      <c r="IH213" s="99"/>
      <c r="II213" s="99"/>
      <c r="IJ213" s="99"/>
      <c r="IK213" s="99"/>
      <c r="IL213" s="99"/>
      <c r="IM213" s="99"/>
      <c r="IN213" s="99"/>
      <c r="IO213" s="99"/>
      <c r="IP213" s="99"/>
      <c r="IQ213" s="99"/>
      <c r="IR213" s="99"/>
      <c r="IS213" s="99"/>
      <c r="IT213" s="99"/>
      <c r="IU213" s="99"/>
      <c r="IV213" s="99"/>
    </row>
    <row r="214" spans="1:256" ht="12.75">
      <c r="A214" s="33"/>
      <c r="B214" s="33"/>
      <c r="C214" s="33"/>
      <c r="D214" s="33"/>
      <c r="E214" s="33"/>
      <c r="F214" s="33"/>
      <c r="G214" s="33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99"/>
      <c r="DL214" s="99"/>
      <c r="DM214" s="99"/>
      <c r="DN214" s="99"/>
      <c r="DO214" s="99"/>
      <c r="DP214" s="99"/>
      <c r="DQ214" s="99"/>
      <c r="DR214" s="99"/>
      <c r="DS214" s="99"/>
      <c r="DT214" s="99"/>
      <c r="DU214" s="99"/>
      <c r="DV214" s="99"/>
      <c r="DW214" s="99"/>
      <c r="DX214" s="99"/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/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99"/>
      <c r="EY214" s="99"/>
      <c r="EZ214" s="99"/>
      <c r="FA214" s="99"/>
      <c r="FB214" s="99"/>
      <c r="FC214" s="99"/>
      <c r="FD214" s="99"/>
      <c r="FE214" s="99"/>
      <c r="FF214" s="99"/>
      <c r="FG214" s="99"/>
      <c r="FH214" s="99"/>
      <c r="FI214" s="99"/>
      <c r="FJ214" s="99"/>
      <c r="FK214" s="99"/>
      <c r="FL214" s="99"/>
      <c r="FM214" s="99"/>
      <c r="FN214" s="99"/>
      <c r="FO214" s="99"/>
      <c r="FP214" s="99"/>
      <c r="FQ214" s="99"/>
      <c r="FR214" s="99"/>
      <c r="FS214" s="99"/>
      <c r="FT214" s="99"/>
      <c r="FU214" s="99"/>
      <c r="FV214" s="99"/>
      <c r="FW214" s="99"/>
      <c r="FX214" s="99"/>
      <c r="FY214" s="99"/>
      <c r="FZ214" s="99"/>
      <c r="GA214" s="99"/>
      <c r="GB214" s="99"/>
      <c r="GC214" s="99"/>
      <c r="GD214" s="99"/>
      <c r="GE214" s="99"/>
      <c r="GF214" s="99"/>
      <c r="GG214" s="99"/>
      <c r="GH214" s="99"/>
      <c r="GI214" s="99"/>
      <c r="GJ214" s="99"/>
      <c r="GK214" s="99"/>
      <c r="GL214" s="99"/>
      <c r="GM214" s="99"/>
      <c r="GN214" s="99"/>
      <c r="GO214" s="99"/>
      <c r="GP214" s="99"/>
      <c r="GQ214" s="99"/>
      <c r="GR214" s="99"/>
      <c r="GS214" s="99"/>
      <c r="GT214" s="99"/>
      <c r="GU214" s="99"/>
      <c r="GV214" s="99"/>
      <c r="GW214" s="99"/>
      <c r="GX214" s="99"/>
      <c r="GY214" s="99"/>
      <c r="GZ214" s="99"/>
      <c r="HA214" s="99"/>
      <c r="HB214" s="99"/>
      <c r="HC214" s="99"/>
      <c r="HD214" s="99"/>
      <c r="HE214" s="99"/>
      <c r="HF214" s="99"/>
      <c r="HG214" s="99"/>
      <c r="HH214" s="99"/>
      <c r="HI214" s="99"/>
      <c r="HJ214" s="99"/>
      <c r="HK214" s="99"/>
      <c r="HL214" s="99"/>
      <c r="HM214" s="99"/>
      <c r="HN214" s="99"/>
      <c r="HO214" s="99"/>
      <c r="HP214" s="99"/>
      <c r="HQ214" s="99"/>
      <c r="HR214" s="99"/>
      <c r="HS214" s="99"/>
      <c r="HT214" s="99"/>
      <c r="HU214" s="99"/>
      <c r="HV214" s="99"/>
      <c r="HW214" s="99"/>
      <c r="HX214" s="99"/>
      <c r="HY214" s="99"/>
      <c r="HZ214" s="99"/>
      <c r="IA214" s="99"/>
      <c r="IB214" s="99"/>
      <c r="IC214" s="99"/>
      <c r="ID214" s="99"/>
      <c r="IE214" s="99"/>
      <c r="IF214" s="99"/>
      <c r="IG214" s="99"/>
      <c r="IH214" s="99"/>
      <c r="II214" s="99"/>
      <c r="IJ214" s="99"/>
      <c r="IK214" s="99"/>
      <c r="IL214" s="99"/>
      <c r="IM214" s="99"/>
      <c r="IN214" s="99"/>
      <c r="IO214" s="99"/>
      <c r="IP214" s="99"/>
      <c r="IQ214" s="99"/>
      <c r="IR214" s="99"/>
      <c r="IS214" s="99"/>
      <c r="IT214" s="99"/>
      <c r="IU214" s="99"/>
      <c r="IV214" s="99"/>
    </row>
    <row r="215" spans="1:256" ht="12.75">
      <c r="A215" s="33"/>
      <c r="B215" s="33"/>
      <c r="C215" s="33"/>
      <c r="D215" s="33"/>
      <c r="E215" s="33"/>
      <c r="F215" s="33"/>
      <c r="G215" s="33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99"/>
      <c r="DL215" s="99"/>
      <c r="DM215" s="99"/>
      <c r="DN215" s="99"/>
      <c r="DO215" s="99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99"/>
      <c r="EY215" s="99"/>
      <c r="EZ215" s="99"/>
      <c r="FA215" s="99"/>
      <c r="FB215" s="99"/>
      <c r="FC215" s="99"/>
      <c r="FD215" s="99"/>
      <c r="FE215" s="99"/>
      <c r="FF215" s="99"/>
      <c r="FG215" s="99"/>
      <c r="FH215" s="99"/>
      <c r="FI215" s="99"/>
      <c r="FJ215" s="99"/>
      <c r="FK215" s="99"/>
      <c r="FL215" s="99"/>
      <c r="FM215" s="99"/>
      <c r="FN215" s="99"/>
      <c r="FO215" s="99"/>
      <c r="FP215" s="99"/>
      <c r="FQ215" s="99"/>
      <c r="FR215" s="99"/>
      <c r="FS215" s="99"/>
      <c r="FT215" s="99"/>
      <c r="FU215" s="99"/>
      <c r="FV215" s="99"/>
      <c r="FW215" s="99"/>
      <c r="FX215" s="99"/>
      <c r="FY215" s="99"/>
      <c r="FZ215" s="99"/>
      <c r="GA215" s="99"/>
      <c r="GB215" s="99"/>
      <c r="GC215" s="99"/>
      <c r="GD215" s="99"/>
      <c r="GE215" s="99"/>
      <c r="GF215" s="99"/>
      <c r="GG215" s="99"/>
      <c r="GH215" s="99"/>
      <c r="GI215" s="99"/>
      <c r="GJ215" s="99"/>
      <c r="GK215" s="99"/>
      <c r="GL215" s="99"/>
      <c r="GM215" s="99"/>
      <c r="GN215" s="99"/>
      <c r="GO215" s="99"/>
      <c r="GP215" s="99"/>
      <c r="GQ215" s="99"/>
      <c r="GR215" s="99"/>
      <c r="GS215" s="99"/>
      <c r="GT215" s="99"/>
      <c r="GU215" s="99"/>
      <c r="GV215" s="99"/>
      <c r="GW215" s="99"/>
      <c r="GX215" s="99"/>
      <c r="GY215" s="99"/>
      <c r="GZ215" s="99"/>
      <c r="HA215" s="99"/>
      <c r="HB215" s="99"/>
      <c r="HC215" s="99"/>
      <c r="HD215" s="99"/>
      <c r="HE215" s="99"/>
      <c r="HF215" s="99"/>
      <c r="HG215" s="99"/>
      <c r="HH215" s="99"/>
      <c r="HI215" s="99"/>
      <c r="HJ215" s="99"/>
      <c r="HK215" s="99"/>
      <c r="HL215" s="99"/>
      <c r="HM215" s="99"/>
      <c r="HN215" s="99"/>
      <c r="HO215" s="99"/>
      <c r="HP215" s="99"/>
      <c r="HQ215" s="99"/>
      <c r="HR215" s="99"/>
      <c r="HS215" s="99"/>
      <c r="HT215" s="99"/>
      <c r="HU215" s="99"/>
      <c r="HV215" s="99"/>
      <c r="HW215" s="99"/>
      <c r="HX215" s="99"/>
      <c r="HY215" s="99"/>
      <c r="HZ215" s="99"/>
      <c r="IA215" s="99"/>
      <c r="IB215" s="99"/>
      <c r="IC215" s="99"/>
      <c r="ID215" s="99"/>
      <c r="IE215" s="99"/>
      <c r="IF215" s="99"/>
      <c r="IG215" s="99"/>
      <c r="IH215" s="99"/>
      <c r="II215" s="99"/>
      <c r="IJ215" s="99"/>
      <c r="IK215" s="99"/>
      <c r="IL215" s="99"/>
      <c r="IM215" s="99"/>
      <c r="IN215" s="99"/>
      <c r="IO215" s="99"/>
      <c r="IP215" s="99"/>
      <c r="IQ215" s="99"/>
      <c r="IR215" s="99"/>
      <c r="IS215" s="99"/>
      <c r="IT215" s="99"/>
      <c r="IU215" s="99"/>
      <c r="IV215" s="99"/>
    </row>
    <row r="216" spans="1:256" ht="12.75">
      <c r="A216" s="33"/>
      <c r="B216" s="33"/>
      <c r="C216" s="33"/>
      <c r="D216" s="33"/>
      <c r="E216" s="33"/>
      <c r="F216" s="33"/>
      <c r="G216" s="33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  <c r="FV216" s="99"/>
      <c r="FW216" s="99"/>
      <c r="FX216" s="99"/>
      <c r="FY216" s="99"/>
      <c r="FZ216" s="99"/>
      <c r="GA216" s="99"/>
      <c r="GB216" s="99"/>
      <c r="GC216" s="99"/>
      <c r="GD216" s="99"/>
      <c r="GE216" s="99"/>
      <c r="GF216" s="99"/>
      <c r="GG216" s="99"/>
      <c r="GH216" s="99"/>
      <c r="GI216" s="99"/>
      <c r="GJ216" s="99"/>
      <c r="GK216" s="99"/>
      <c r="GL216" s="99"/>
      <c r="GM216" s="99"/>
      <c r="GN216" s="99"/>
      <c r="GO216" s="99"/>
      <c r="GP216" s="99"/>
      <c r="GQ216" s="99"/>
      <c r="GR216" s="99"/>
      <c r="GS216" s="99"/>
      <c r="GT216" s="99"/>
      <c r="GU216" s="99"/>
      <c r="GV216" s="99"/>
      <c r="GW216" s="99"/>
      <c r="GX216" s="99"/>
      <c r="GY216" s="99"/>
      <c r="GZ216" s="99"/>
      <c r="HA216" s="99"/>
      <c r="HB216" s="99"/>
      <c r="HC216" s="99"/>
      <c r="HD216" s="99"/>
      <c r="HE216" s="99"/>
      <c r="HF216" s="99"/>
      <c r="HG216" s="99"/>
      <c r="HH216" s="99"/>
      <c r="HI216" s="99"/>
      <c r="HJ216" s="99"/>
      <c r="HK216" s="99"/>
      <c r="HL216" s="99"/>
      <c r="HM216" s="99"/>
      <c r="HN216" s="99"/>
      <c r="HO216" s="99"/>
      <c r="HP216" s="99"/>
      <c r="HQ216" s="99"/>
      <c r="HR216" s="99"/>
      <c r="HS216" s="99"/>
      <c r="HT216" s="99"/>
      <c r="HU216" s="99"/>
      <c r="HV216" s="99"/>
      <c r="HW216" s="99"/>
      <c r="HX216" s="99"/>
      <c r="HY216" s="99"/>
      <c r="HZ216" s="99"/>
      <c r="IA216" s="99"/>
      <c r="IB216" s="99"/>
      <c r="IC216" s="99"/>
      <c r="ID216" s="99"/>
      <c r="IE216" s="99"/>
      <c r="IF216" s="99"/>
      <c r="IG216" s="99"/>
      <c r="IH216" s="99"/>
      <c r="II216" s="99"/>
      <c r="IJ216" s="99"/>
      <c r="IK216" s="99"/>
      <c r="IL216" s="99"/>
      <c r="IM216" s="99"/>
      <c r="IN216" s="99"/>
      <c r="IO216" s="99"/>
      <c r="IP216" s="99"/>
      <c r="IQ216" s="99"/>
      <c r="IR216" s="99"/>
      <c r="IS216" s="99"/>
      <c r="IT216" s="99"/>
      <c r="IU216" s="99"/>
      <c r="IV216" s="99"/>
    </row>
    <row r="217" spans="1:256" ht="12.75">
      <c r="A217" s="33"/>
      <c r="B217" s="33"/>
      <c r="C217" s="33"/>
      <c r="D217" s="33"/>
      <c r="E217" s="33"/>
      <c r="F217" s="33"/>
      <c r="G217" s="33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  <c r="FB217" s="99"/>
      <c r="FC217" s="99"/>
      <c r="FD217" s="99"/>
      <c r="FE217" s="99"/>
      <c r="FF217" s="99"/>
      <c r="FG217" s="99"/>
      <c r="FH217" s="99"/>
      <c r="FI217" s="99"/>
      <c r="FJ217" s="99"/>
      <c r="FK217" s="99"/>
      <c r="FL217" s="99"/>
      <c r="FM217" s="99"/>
      <c r="FN217" s="99"/>
      <c r="FO217" s="99"/>
      <c r="FP217" s="99"/>
      <c r="FQ217" s="99"/>
      <c r="FR217" s="99"/>
      <c r="FS217" s="99"/>
      <c r="FT217" s="99"/>
      <c r="FU217" s="99"/>
      <c r="FV217" s="99"/>
      <c r="FW217" s="99"/>
      <c r="FX217" s="99"/>
      <c r="FY217" s="99"/>
      <c r="FZ217" s="99"/>
      <c r="GA217" s="99"/>
      <c r="GB217" s="99"/>
      <c r="GC217" s="99"/>
      <c r="GD217" s="99"/>
      <c r="GE217" s="99"/>
      <c r="GF217" s="99"/>
      <c r="GG217" s="99"/>
      <c r="GH217" s="99"/>
      <c r="GI217" s="99"/>
      <c r="GJ217" s="99"/>
      <c r="GK217" s="99"/>
      <c r="GL217" s="99"/>
      <c r="GM217" s="99"/>
      <c r="GN217" s="99"/>
      <c r="GO217" s="99"/>
      <c r="GP217" s="99"/>
      <c r="GQ217" s="99"/>
      <c r="GR217" s="99"/>
      <c r="GS217" s="99"/>
      <c r="GT217" s="99"/>
      <c r="GU217" s="99"/>
      <c r="GV217" s="99"/>
      <c r="GW217" s="99"/>
      <c r="GX217" s="99"/>
      <c r="GY217" s="99"/>
      <c r="GZ217" s="99"/>
      <c r="HA217" s="99"/>
      <c r="HB217" s="99"/>
      <c r="HC217" s="99"/>
      <c r="HD217" s="99"/>
      <c r="HE217" s="99"/>
      <c r="HF217" s="99"/>
      <c r="HG217" s="99"/>
      <c r="HH217" s="99"/>
      <c r="HI217" s="99"/>
      <c r="HJ217" s="99"/>
      <c r="HK217" s="99"/>
      <c r="HL217" s="99"/>
      <c r="HM217" s="99"/>
      <c r="HN217" s="99"/>
      <c r="HO217" s="99"/>
      <c r="HP217" s="99"/>
      <c r="HQ217" s="99"/>
      <c r="HR217" s="99"/>
      <c r="HS217" s="99"/>
      <c r="HT217" s="99"/>
      <c r="HU217" s="99"/>
      <c r="HV217" s="99"/>
      <c r="HW217" s="99"/>
      <c r="HX217" s="99"/>
      <c r="HY217" s="99"/>
      <c r="HZ217" s="99"/>
      <c r="IA217" s="99"/>
      <c r="IB217" s="99"/>
      <c r="IC217" s="99"/>
      <c r="ID217" s="99"/>
      <c r="IE217" s="99"/>
      <c r="IF217" s="99"/>
      <c r="IG217" s="99"/>
      <c r="IH217" s="99"/>
      <c r="II217" s="99"/>
      <c r="IJ217" s="99"/>
      <c r="IK217" s="99"/>
      <c r="IL217" s="99"/>
      <c r="IM217" s="99"/>
      <c r="IN217" s="99"/>
      <c r="IO217" s="99"/>
      <c r="IP217" s="99"/>
      <c r="IQ217" s="99"/>
      <c r="IR217" s="99"/>
      <c r="IS217" s="99"/>
      <c r="IT217" s="99"/>
      <c r="IU217" s="99"/>
      <c r="IV217" s="99"/>
    </row>
    <row r="218" spans="1:256" ht="12.75">
      <c r="A218" s="33"/>
      <c r="B218" s="33"/>
      <c r="C218" s="33"/>
      <c r="D218" s="33"/>
      <c r="E218" s="33"/>
      <c r="F218" s="33"/>
      <c r="G218" s="33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99"/>
      <c r="DE218" s="99"/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  <c r="FB218" s="99"/>
      <c r="FC218" s="99"/>
      <c r="FD218" s="99"/>
      <c r="FE218" s="99"/>
      <c r="FF218" s="99"/>
      <c r="FG218" s="99"/>
      <c r="FH218" s="99"/>
      <c r="FI218" s="99"/>
      <c r="FJ218" s="99"/>
      <c r="FK218" s="99"/>
      <c r="FL218" s="99"/>
      <c r="FM218" s="99"/>
      <c r="FN218" s="99"/>
      <c r="FO218" s="99"/>
      <c r="FP218" s="99"/>
      <c r="FQ218" s="99"/>
      <c r="FR218" s="99"/>
      <c r="FS218" s="99"/>
      <c r="FT218" s="99"/>
      <c r="FU218" s="99"/>
      <c r="FV218" s="99"/>
      <c r="FW218" s="99"/>
      <c r="FX218" s="99"/>
      <c r="FY218" s="99"/>
      <c r="FZ218" s="99"/>
      <c r="GA218" s="99"/>
      <c r="GB218" s="99"/>
      <c r="GC218" s="99"/>
      <c r="GD218" s="99"/>
      <c r="GE218" s="99"/>
      <c r="GF218" s="99"/>
      <c r="GG218" s="99"/>
      <c r="GH218" s="99"/>
      <c r="GI218" s="99"/>
      <c r="GJ218" s="99"/>
      <c r="GK218" s="99"/>
      <c r="GL218" s="99"/>
      <c r="GM218" s="99"/>
      <c r="GN218" s="99"/>
      <c r="GO218" s="99"/>
      <c r="GP218" s="99"/>
      <c r="GQ218" s="99"/>
      <c r="GR218" s="99"/>
      <c r="GS218" s="99"/>
      <c r="GT218" s="99"/>
      <c r="GU218" s="99"/>
      <c r="GV218" s="99"/>
      <c r="GW218" s="99"/>
      <c r="GX218" s="99"/>
      <c r="GY218" s="99"/>
      <c r="GZ218" s="99"/>
      <c r="HA218" s="99"/>
      <c r="HB218" s="99"/>
      <c r="HC218" s="99"/>
      <c r="HD218" s="99"/>
      <c r="HE218" s="99"/>
      <c r="HF218" s="99"/>
      <c r="HG218" s="99"/>
      <c r="HH218" s="99"/>
      <c r="HI218" s="99"/>
      <c r="HJ218" s="99"/>
      <c r="HK218" s="99"/>
      <c r="HL218" s="99"/>
      <c r="HM218" s="99"/>
      <c r="HN218" s="99"/>
      <c r="HO218" s="99"/>
      <c r="HP218" s="99"/>
      <c r="HQ218" s="99"/>
      <c r="HR218" s="99"/>
      <c r="HS218" s="99"/>
      <c r="HT218" s="99"/>
      <c r="HU218" s="99"/>
      <c r="HV218" s="99"/>
      <c r="HW218" s="99"/>
      <c r="HX218" s="99"/>
      <c r="HY218" s="99"/>
      <c r="HZ218" s="99"/>
      <c r="IA218" s="99"/>
      <c r="IB218" s="99"/>
      <c r="IC218" s="99"/>
      <c r="ID218" s="99"/>
      <c r="IE218" s="99"/>
      <c r="IF218" s="99"/>
      <c r="IG218" s="99"/>
      <c r="IH218" s="99"/>
      <c r="II218" s="99"/>
      <c r="IJ218" s="99"/>
      <c r="IK218" s="99"/>
      <c r="IL218" s="99"/>
      <c r="IM218" s="99"/>
      <c r="IN218" s="99"/>
      <c r="IO218" s="99"/>
      <c r="IP218" s="99"/>
      <c r="IQ218" s="99"/>
      <c r="IR218" s="99"/>
      <c r="IS218" s="99"/>
      <c r="IT218" s="99"/>
      <c r="IU218" s="99"/>
      <c r="IV218" s="99"/>
    </row>
    <row r="219" spans="1:256" ht="12.75">
      <c r="A219" s="33"/>
      <c r="B219" s="33"/>
      <c r="C219" s="33"/>
      <c r="D219" s="33"/>
      <c r="E219" s="33"/>
      <c r="F219" s="33"/>
      <c r="G219" s="33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  <c r="FB219" s="99"/>
      <c r="FC219" s="99"/>
      <c r="FD219" s="99"/>
      <c r="FE219" s="99"/>
      <c r="FF219" s="99"/>
      <c r="FG219" s="99"/>
      <c r="FH219" s="99"/>
      <c r="FI219" s="99"/>
      <c r="FJ219" s="99"/>
      <c r="FK219" s="99"/>
      <c r="FL219" s="99"/>
      <c r="FM219" s="99"/>
      <c r="FN219" s="99"/>
      <c r="FO219" s="99"/>
      <c r="FP219" s="99"/>
      <c r="FQ219" s="99"/>
      <c r="FR219" s="99"/>
      <c r="FS219" s="99"/>
      <c r="FT219" s="99"/>
      <c r="FU219" s="99"/>
      <c r="FV219" s="99"/>
      <c r="FW219" s="99"/>
      <c r="FX219" s="99"/>
      <c r="FY219" s="99"/>
      <c r="FZ219" s="99"/>
      <c r="GA219" s="99"/>
      <c r="GB219" s="99"/>
      <c r="GC219" s="99"/>
      <c r="GD219" s="99"/>
      <c r="GE219" s="99"/>
      <c r="GF219" s="99"/>
      <c r="GG219" s="99"/>
      <c r="GH219" s="99"/>
      <c r="GI219" s="99"/>
      <c r="GJ219" s="99"/>
      <c r="GK219" s="99"/>
      <c r="GL219" s="99"/>
      <c r="GM219" s="99"/>
      <c r="GN219" s="99"/>
      <c r="GO219" s="99"/>
      <c r="GP219" s="99"/>
      <c r="GQ219" s="99"/>
      <c r="GR219" s="99"/>
      <c r="GS219" s="99"/>
      <c r="GT219" s="99"/>
      <c r="GU219" s="99"/>
      <c r="GV219" s="99"/>
      <c r="GW219" s="99"/>
      <c r="GX219" s="99"/>
      <c r="GY219" s="99"/>
      <c r="GZ219" s="99"/>
      <c r="HA219" s="99"/>
      <c r="HB219" s="99"/>
      <c r="HC219" s="99"/>
      <c r="HD219" s="99"/>
      <c r="HE219" s="99"/>
      <c r="HF219" s="99"/>
      <c r="HG219" s="99"/>
      <c r="HH219" s="99"/>
      <c r="HI219" s="99"/>
      <c r="HJ219" s="99"/>
      <c r="HK219" s="99"/>
      <c r="HL219" s="99"/>
      <c r="HM219" s="99"/>
      <c r="HN219" s="99"/>
      <c r="HO219" s="99"/>
      <c r="HP219" s="99"/>
      <c r="HQ219" s="99"/>
      <c r="HR219" s="99"/>
      <c r="HS219" s="99"/>
      <c r="HT219" s="99"/>
      <c r="HU219" s="99"/>
      <c r="HV219" s="99"/>
      <c r="HW219" s="99"/>
      <c r="HX219" s="99"/>
      <c r="HY219" s="99"/>
      <c r="HZ219" s="99"/>
      <c r="IA219" s="99"/>
      <c r="IB219" s="99"/>
      <c r="IC219" s="99"/>
      <c r="ID219" s="99"/>
      <c r="IE219" s="99"/>
      <c r="IF219" s="99"/>
      <c r="IG219" s="99"/>
      <c r="IH219" s="99"/>
      <c r="II219" s="99"/>
      <c r="IJ219" s="99"/>
      <c r="IK219" s="99"/>
      <c r="IL219" s="99"/>
      <c r="IM219" s="99"/>
      <c r="IN219" s="99"/>
      <c r="IO219" s="99"/>
      <c r="IP219" s="99"/>
      <c r="IQ219" s="99"/>
      <c r="IR219" s="99"/>
      <c r="IS219" s="99"/>
      <c r="IT219" s="99"/>
      <c r="IU219" s="99"/>
      <c r="IV219" s="99"/>
    </row>
    <row r="220" spans="1:256" ht="12.75">
      <c r="A220" s="33"/>
      <c r="B220" s="33"/>
      <c r="C220" s="33"/>
      <c r="D220" s="33"/>
      <c r="E220" s="33"/>
      <c r="F220" s="33"/>
      <c r="G220" s="33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99"/>
      <c r="DD220" s="99"/>
      <c r="DE220" s="99"/>
      <c r="DF220" s="99"/>
      <c r="DG220" s="99"/>
      <c r="DH220" s="99"/>
      <c r="DI220" s="99"/>
      <c r="DJ220" s="99"/>
      <c r="DK220" s="99"/>
      <c r="DL220" s="99"/>
      <c r="DM220" s="99"/>
      <c r="DN220" s="99"/>
      <c r="DO220" s="99"/>
      <c r="DP220" s="99"/>
      <c r="DQ220" s="99"/>
      <c r="DR220" s="99"/>
      <c r="DS220" s="99"/>
      <c r="DT220" s="99"/>
      <c r="DU220" s="99"/>
      <c r="DV220" s="99"/>
      <c r="DW220" s="99"/>
      <c r="DX220" s="99"/>
      <c r="DY220" s="99"/>
      <c r="DZ220" s="99"/>
      <c r="EA220" s="99"/>
      <c r="EB220" s="99"/>
      <c r="EC220" s="99"/>
      <c r="ED220" s="99"/>
      <c r="EE220" s="99"/>
      <c r="EF220" s="99"/>
      <c r="EG220" s="99"/>
      <c r="EH220" s="99"/>
      <c r="EI220" s="99"/>
      <c r="EJ220" s="99"/>
      <c r="EK220" s="99"/>
      <c r="EL220" s="99"/>
      <c r="EM220" s="99"/>
      <c r="EN220" s="99"/>
      <c r="EO220" s="99"/>
      <c r="EP220" s="99"/>
      <c r="EQ220" s="99"/>
      <c r="ER220" s="99"/>
      <c r="ES220" s="99"/>
      <c r="ET220" s="99"/>
      <c r="EU220" s="99"/>
      <c r="EV220" s="99"/>
      <c r="EW220" s="99"/>
      <c r="EX220" s="99"/>
      <c r="EY220" s="99"/>
      <c r="EZ220" s="99"/>
      <c r="FA220" s="99"/>
      <c r="FB220" s="99"/>
      <c r="FC220" s="99"/>
      <c r="FD220" s="99"/>
      <c r="FE220" s="99"/>
      <c r="FF220" s="99"/>
      <c r="FG220" s="99"/>
      <c r="FH220" s="99"/>
      <c r="FI220" s="99"/>
      <c r="FJ220" s="99"/>
      <c r="FK220" s="99"/>
      <c r="FL220" s="99"/>
      <c r="FM220" s="99"/>
      <c r="FN220" s="99"/>
      <c r="FO220" s="99"/>
      <c r="FP220" s="99"/>
      <c r="FQ220" s="99"/>
      <c r="FR220" s="99"/>
      <c r="FS220" s="99"/>
      <c r="FT220" s="99"/>
      <c r="FU220" s="99"/>
      <c r="FV220" s="99"/>
      <c r="FW220" s="99"/>
      <c r="FX220" s="99"/>
      <c r="FY220" s="99"/>
      <c r="FZ220" s="99"/>
      <c r="GA220" s="99"/>
      <c r="GB220" s="99"/>
      <c r="GC220" s="99"/>
      <c r="GD220" s="99"/>
      <c r="GE220" s="99"/>
      <c r="GF220" s="99"/>
      <c r="GG220" s="99"/>
      <c r="GH220" s="99"/>
      <c r="GI220" s="99"/>
      <c r="GJ220" s="99"/>
      <c r="GK220" s="99"/>
      <c r="GL220" s="99"/>
      <c r="GM220" s="99"/>
      <c r="GN220" s="99"/>
      <c r="GO220" s="99"/>
      <c r="GP220" s="99"/>
      <c r="GQ220" s="99"/>
      <c r="GR220" s="99"/>
      <c r="GS220" s="99"/>
      <c r="GT220" s="99"/>
      <c r="GU220" s="99"/>
      <c r="GV220" s="99"/>
      <c r="GW220" s="99"/>
      <c r="GX220" s="99"/>
      <c r="GY220" s="99"/>
      <c r="GZ220" s="99"/>
      <c r="HA220" s="99"/>
      <c r="HB220" s="99"/>
      <c r="HC220" s="99"/>
      <c r="HD220" s="99"/>
      <c r="HE220" s="99"/>
      <c r="HF220" s="99"/>
      <c r="HG220" s="99"/>
      <c r="HH220" s="99"/>
      <c r="HI220" s="99"/>
      <c r="HJ220" s="99"/>
      <c r="HK220" s="99"/>
      <c r="HL220" s="99"/>
      <c r="HM220" s="99"/>
      <c r="HN220" s="99"/>
      <c r="HO220" s="99"/>
      <c r="HP220" s="99"/>
      <c r="HQ220" s="99"/>
      <c r="HR220" s="99"/>
      <c r="HS220" s="99"/>
      <c r="HT220" s="99"/>
      <c r="HU220" s="99"/>
      <c r="HV220" s="99"/>
      <c r="HW220" s="99"/>
      <c r="HX220" s="99"/>
      <c r="HY220" s="99"/>
      <c r="HZ220" s="99"/>
      <c r="IA220" s="99"/>
      <c r="IB220" s="99"/>
      <c r="IC220" s="99"/>
      <c r="ID220" s="99"/>
      <c r="IE220" s="99"/>
      <c r="IF220" s="99"/>
      <c r="IG220" s="99"/>
      <c r="IH220" s="99"/>
      <c r="II220" s="99"/>
      <c r="IJ220" s="99"/>
      <c r="IK220" s="99"/>
      <c r="IL220" s="99"/>
      <c r="IM220" s="99"/>
      <c r="IN220" s="99"/>
      <c r="IO220" s="99"/>
      <c r="IP220" s="99"/>
      <c r="IQ220" s="99"/>
      <c r="IR220" s="99"/>
      <c r="IS220" s="99"/>
      <c r="IT220" s="99"/>
      <c r="IU220" s="99"/>
      <c r="IV220" s="99"/>
    </row>
    <row r="221" spans="1:256" ht="12.75">
      <c r="A221" s="33"/>
      <c r="B221" s="33"/>
      <c r="C221" s="33"/>
      <c r="D221" s="33"/>
      <c r="E221" s="33"/>
      <c r="F221" s="33"/>
      <c r="G221" s="33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99"/>
      <c r="DF221" s="99"/>
      <c r="DG221" s="99"/>
      <c r="DH221" s="99"/>
      <c r="DI221" s="99"/>
      <c r="DJ221" s="99"/>
      <c r="DK221" s="99"/>
      <c r="DL221" s="99"/>
      <c r="DM221" s="99"/>
      <c r="DN221" s="99"/>
      <c r="DO221" s="99"/>
      <c r="DP221" s="99"/>
      <c r="DQ221" s="99"/>
      <c r="DR221" s="99"/>
      <c r="DS221" s="99"/>
      <c r="DT221" s="99"/>
      <c r="DU221" s="99"/>
      <c r="DV221" s="99"/>
      <c r="DW221" s="99"/>
      <c r="DX221" s="99"/>
      <c r="DY221" s="99"/>
      <c r="DZ221" s="99"/>
      <c r="EA221" s="99"/>
      <c r="EB221" s="99"/>
      <c r="EC221" s="99"/>
      <c r="ED221" s="99"/>
      <c r="EE221" s="99"/>
      <c r="EF221" s="99"/>
      <c r="EG221" s="99"/>
      <c r="EH221" s="99"/>
      <c r="EI221" s="99"/>
      <c r="EJ221" s="99"/>
      <c r="EK221" s="99"/>
      <c r="EL221" s="99"/>
      <c r="EM221" s="99"/>
      <c r="EN221" s="99"/>
      <c r="EO221" s="99"/>
      <c r="EP221" s="99"/>
      <c r="EQ221" s="99"/>
      <c r="ER221" s="99"/>
      <c r="ES221" s="99"/>
      <c r="ET221" s="99"/>
      <c r="EU221" s="99"/>
      <c r="EV221" s="99"/>
      <c r="EW221" s="99"/>
      <c r="EX221" s="99"/>
      <c r="EY221" s="99"/>
      <c r="EZ221" s="99"/>
      <c r="FA221" s="99"/>
      <c r="FB221" s="99"/>
      <c r="FC221" s="99"/>
      <c r="FD221" s="99"/>
      <c r="FE221" s="99"/>
      <c r="FF221" s="99"/>
      <c r="FG221" s="99"/>
      <c r="FH221" s="99"/>
      <c r="FI221" s="99"/>
      <c r="FJ221" s="99"/>
      <c r="FK221" s="99"/>
      <c r="FL221" s="99"/>
      <c r="FM221" s="99"/>
      <c r="FN221" s="99"/>
      <c r="FO221" s="99"/>
      <c r="FP221" s="99"/>
      <c r="FQ221" s="99"/>
      <c r="FR221" s="99"/>
      <c r="FS221" s="99"/>
      <c r="FT221" s="99"/>
      <c r="FU221" s="99"/>
      <c r="FV221" s="99"/>
      <c r="FW221" s="99"/>
      <c r="FX221" s="99"/>
      <c r="FY221" s="99"/>
      <c r="FZ221" s="99"/>
      <c r="GA221" s="99"/>
      <c r="GB221" s="99"/>
      <c r="GC221" s="99"/>
      <c r="GD221" s="99"/>
      <c r="GE221" s="99"/>
      <c r="GF221" s="99"/>
      <c r="GG221" s="99"/>
      <c r="GH221" s="99"/>
      <c r="GI221" s="99"/>
      <c r="GJ221" s="99"/>
      <c r="GK221" s="99"/>
      <c r="GL221" s="99"/>
      <c r="GM221" s="99"/>
      <c r="GN221" s="99"/>
      <c r="GO221" s="99"/>
      <c r="GP221" s="99"/>
      <c r="GQ221" s="99"/>
      <c r="GR221" s="99"/>
      <c r="GS221" s="99"/>
      <c r="GT221" s="99"/>
      <c r="GU221" s="99"/>
      <c r="GV221" s="99"/>
      <c r="GW221" s="99"/>
      <c r="GX221" s="99"/>
      <c r="GY221" s="99"/>
      <c r="GZ221" s="99"/>
      <c r="HA221" s="99"/>
      <c r="HB221" s="99"/>
      <c r="HC221" s="99"/>
      <c r="HD221" s="99"/>
      <c r="HE221" s="99"/>
      <c r="HF221" s="99"/>
      <c r="HG221" s="99"/>
      <c r="HH221" s="99"/>
      <c r="HI221" s="99"/>
      <c r="HJ221" s="99"/>
      <c r="HK221" s="99"/>
      <c r="HL221" s="99"/>
      <c r="HM221" s="99"/>
      <c r="HN221" s="99"/>
      <c r="HO221" s="99"/>
      <c r="HP221" s="99"/>
      <c r="HQ221" s="99"/>
      <c r="HR221" s="99"/>
      <c r="HS221" s="99"/>
      <c r="HT221" s="99"/>
      <c r="HU221" s="99"/>
      <c r="HV221" s="99"/>
      <c r="HW221" s="99"/>
      <c r="HX221" s="99"/>
      <c r="HY221" s="99"/>
      <c r="HZ221" s="99"/>
      <c r="IA221" s="99"/>
      <c r="IB221" s="99"/>
      <c r="IC221" s="99"/>
      <c r="ID221" s="99"/>
      <c r="IE221" s="99"/>
      <c r="IF221" s="99"/>
      <c r="IG221" s="99"/>
      <c r="IH221" s="99"/>
      <c r="II221" s="99"/>
      <c r="IJ221" s="99"/>
      <c r="IK221" s="99"/>
      <c r="IL221" s="99"/>
      <c r="IM221" s="99"/>
      <c r="IN221" s="99"/>
      <c r="IO221" s="99"/>
      <c r="IP221" s="99"/>
      <c r="IQ221" s="99"/>
      <c r="IR221" s="99"/>
      <c r="IS221" s="99"/>
      <c r="IT221" s="99"/>
      <c r="IU221" s="99"/>
      <c r="IV221" s="99"/>
    </row>
    <row r="222" spans="1:256" ht="12.75">
      <c r="A222" s="33"/>
      <c r="B222" s="33"/>
      <c r="C222" s="33"/>
      <c r="D222" s="33"/>
      <c r="E222" s="33"/>
      <c r="F222" s="33"/>
      <c r="G222" s="33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  <c r="DA222" s="99"/>
      <c r="DB222" s="99"/>
      <c r="DC222" s="99"/>
      <c r="DD222" s="99"/>
      <c r="DE222" s="99"/>
      <c r="DF222" s="99"/>
      <c r="DG222" s="99"/>
      <c r="DH222" s="99"/>
      <c r="DI222" s="99"/>
      <c r="DJ222" s="99"/>
      <c r="DK222" s="99"/>
      <c r="DL222" s="99"/>
      <c r="DM222" s="99"/>
      <c r="DN222" s="99"/>
      <c r="DO222" s="99"/>
      <c r="DP222" s="99"/>
      <c r="DQ222" s="99"/>
      <c r="DR222" s="99"/>
      <c r="DS222" s="99"/>
      <c r="DT222" s="99"/>
      <c r="DU222" s="99"/>
      <c r="DV222" s="99"/>
      <c r="DW222" s="99"/>
      <c r="DX222" s="99"/>
      <c r="DY222" s="99"/>
      <c r="DZ222" s="99"/>
      <c r="EA222" s="99"/>
      <c r="EB222" s="99"/>
      <c r="EC222" s="99"/>
      <c r="ED222" s="99"/>
      <c r="EE222" s="99"/>
      <c r="EF222" s="99"/>
      <c r="EG222" s="99"/>
      <c r="EH222" s="99"/>
      <c r="EI222" s="99"/>
      <c r="EJ222" s="99"/>
      <c r="EK222" s="99"/>
      <c r="EL222" s="99"/>
      <c r="EM222" s="99"/>
      <c r="EN222" s="99"/>
      <c r="EO222" s="99"/>
      <c r="EP222" s="99"/>
      <c r="EQ222" s="99"/>
      <c r="ER222" s="99"/>
      <c r="ES222" s="99"/>
      <c r="ET222" s="99"/>
      <c r="EU222" s="99"/>
      <c r="EV222" s="99"/>
      <c r="EW222" s="99"/>
      <c r="EX222" s="99"/>
      <c r="EY222" s="99"/>
      <c r="EZ222" s="99"/>
      <c r="FA222" s="99"/>
      <c r="FB222" s="99"/>
      <c r="FC222" s="99"/>
      <c r="FD222" s="99"/>
      <c r="FE222" s="99"/>
      <c r="FF222" s="99"/>
      <c r="FG222" s="99"/>
      <c r="FH222" s="99"/>
      <c r="FI222" s="99"/>
      <c r="FJ222" s="99"/>
      <c r="FK222" s="99"/>
      <c r="FL222" s="99"/>
      <c r="FM222" s="99"/>
      <c r="FN222" s="99"/>
      <c r="FO222" s="99"/>
      <c r="FP222" s="99"/>
      <c r="FQ222" s="99"/>
      <c r="FR222" s="99"/>
      <c r="FS222" s="99"/>
      <c r="FT222" s="99"/>
      <c r="FU222" s="99"/>
      <c r="FV222" s="99"/>
      <c r="FW222" s="99"/>
      <c r="FX222" s="99"/>
      <c r="FY222" s="99"/>
      <c r="FZ222" s="99"/>
      <c r="GA222" s="99"/>
      <c r="GB222" s="99"/>
      <c r="GC222" s="99"/>
      <c r="GD222" s="99"/>
      <c r="GE222" s="99"/>
      <c r="GF222" s="99"/>
      <c r="GG222" s="99"/>
      <c r="GH222" s="99"/>
      <c r="GI222" s="99"/>
      <c r="GJ222" s="99"/>
      <c r="GK222" s="99"/>
      <c r="GL222" s="99"/>
      <c r="GM222" s="99"/>
      <c r="GN222" s="99"/>
      <c r="GO222" s="99"/>
      <c r="GP222" s="99"/>
      <c r="GQ222" s="99"/>
      <c r="GR222" s="99"/>
      <c r="GS222" s="99"/>
      <c r="GT222" s="99"/>
      <c r="GU222" s="99"/>
      <c r="GV222" s="99"/>
      <c r="GW222" s="99"/>
      <c r="GX222" s="99"/>
      <c r="GY222" s="99"/>
      <c r="GZ222" s="99"/>
      <c r="HA222" s="99"/>
      <c r="HB222" s="99"/>
      <c r="HC222" s="99"/>
      <c r="HD222" s="99"/>
      <c r="HE222" s="99"/>
      <c r="HF222" s="99"/>
      <c r="HG222" s="99"/>
      <c r="HH222" s="99"/>
      <c r="HI222" s="99"/>
      <c r="HJ222" s="99"/>
      <c r="HK222" s="99"/>
      <c r="HL222" s="99"/>
      <c r="HM222" s="99"/>
      <c r="HN222" s="99"/>
      <c r="HO222" s="99"/>
      <c r="HP222" s="99"/>
      <c r="HQ222" s="99"/>
      <c r="HR222" s="99"/>
      <c r="HS222" s="99"/>
      <c r="HT222" s="99"/>
      <c r="HU222" s="99"/>
      <c r="HV222" s="99"/>
      <c r="HW222" s="99"/>
      <c r="HX222" s="99"/>
      <c r="HY222" s="99"/>
      <c r="HZ222" s="99"/>
      <c r="IA222" s="99"/>
      <c r="IB222" s="99"/>
      <c r="IC222" s="99"/>
      <c r="ID222" s="99"/>
      <c r="IE222" s="99"/>
      <c r="IF222" s="99"/>
      <c r="IG222" s="99"/>
      <c r="IH222" s="99"/>
      <c r="II222" s="99"/>
      <c r="IJ222" s="99"/>
      <c r="IK222" s="99"/>
      <c r="IL222" s="99"/>
      <c r="IM222" s="99"/>
      <c r="IN222" s="99"/>
      <c r="IO222" s="99"/>
      <c r="IP222" s="99"/>
      <c r="IQ222" s="99"/>
      <c r="IR222" s="99"/>
      <c r="IS222" s="99"/>
      <c r="IT222" s="99"/>
      <c r="IU222" s="99"/>
      <c r="IV222" s="99"/>
    </row>
    <row r="223" spans="1:256" ht="12.75">
      <c r="A223" s="33"/>
      <c r="B223" s="33"/>
      <c r="C223" s="33"/>
      <c r="D223" s="33"/>
      <c r="E223" s="33"/>
      <c r="F223" s="33"/>
      <c r="G223" s="33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99"/>
      <c r="FH223" s="99"/>
      <c r="FI223" s="99"/>
      <c r="FJ223" s="99"/>
      <c r="FK223" s="99"/>
      <c r="FL223" s="99"/>
      <c r="FM223" s="99"/>
      <c r="FN223" s="99"/>
      <c r="FO223" s="99"/>
      <c r="FP223" s="99"/>
      <c r="FQ223" s="99"/>
      <c r="FR223" s="99"/>
      <c r="FS223" s="99"/>
      <c r="FT223" s="99"/>
      <c r="FU223" s="99"/>
      <c r="FV223" s="99"/>
      <c r="FW223" s="99"/>
      <c r="FX223" s="99"/>
      <c r="FY223" s="99"/>
      <c r="FZ223" s="99"/>
      <c r="GA223" s="99"/>
      <c r="GB223" s="99"/>
      <c r="GC223" s="99"/>
      <c r="GD223" s="99"/>
      <c r="GE223" s="99"/>
      <c r="GF223" s="99"/>
      <c r="GG223" s="99"/>
      <c r="GH223" s="99"/>
      <c r="GI223" s="99"/>
      <c r="GJ223" s="99"/>
      <c r="GK223" s="99"/>
      <c r="GL223" s="99"/>
      <c r="GM223" s="99"/>
      <c r="GN223" s="99"/>
      <c r="GO223" s="99"/>
      <c r="GP223" s="99"/>
      <c r="GQ223" s="99"/>
      <c r="GR223" s="99"/>
      <c r="GS223" s="99"/>
      <c r="GT223" s="99"/>
      <c r="GU223" s="99"/>
      <c r="GV223" s="99"/>
      <c r="GW223" s="99"/>
      <c r="GX223" s="99"/>
      <c r="GY223" s="99"/>
      <c r="GZ223" s="99"/>
      <c r="HA223" s="99"/>
      <c r="HB223" s="99"/>
      <c r="HC223" s="99"/>
      <c r="HD223" s="99"/>
      <c r="HE223" s="99"/>
      <c r="HF223" s="99"/>
      <c r="HG223" s="99"/>
      <c r="HH223" s="99"/>
      <c r="HI223" s="99"/>
      <c r="HJ223" s="99"/>
      <c r="HK223" s="99"/>
      <c r="HL223" s="99"/>
      <c r="HM223" s="99"/>
      <c r="HN223" s="99"/>
      <c r="HO223" s="99"/>
      <c r="HP223" s="99"/>
      <c r="HQ223" s="99"/>
      <c r="HR223" s="99"/>
      <c r="HS223" s="99"/>
      <c r="HT223" s="99"/>
      <c r="HU223" s="99"/>
      <c r="HV223" s="99"/>
      <c r="HW223" s="99"/>
      <c r="HX223" s="99"/>
      <c r="HY223" s="99"/>
      <c r="HZ223" s="99"/>
      <c r="IA223" s="99"/>
      <c r="IB223" s="99"/>
      <c r="IC223" s="99"/>
      <c r="ID223" s="99"/>
      <c r="IE223" s="99"/>
      <c r="IF223" s="99"/>
      <c r="IG223" s="99"/>
      <c r="IH223" s="99"/>
      <c r="II223" s="99"/>
      <c r="IJ223" s="99"/>
      <c r="IK223" s="99"/>
      <c r="IL223" s="99"/>
      <c r="IM223" s="99"/>
      <c r="IN223" s="99"/>
      <c r="IO223" s="99"/>
      <c r="IP223" s="99"/>
      <c r="IQ223" s="99"/>
      <c r="IR223" s="99"/>
      <c r="IS223" s="99"/>
      <c r="IT223" s="99"/>
      <c r="IU223" s="99"/>
      <c r="IV223" s="99"/>
    </row>
    <row r="224" spans="1:256" ht="12.75">
      <c r="A224" s="33"/>
      <c r="B224" s="33"/>
      <c r="C224" s="33"/>
      <c r="D224" s="33"/>
      <c r="E224" s="33"/>
      <c r="F224" s="33"/>
      <c r="G224" s="33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  <c r="DA224" s="99"/>
      <c r="DB224" s="99"/>
      <c r="DC224" s="99"/>
      <c r="DD224" s="99"/>
      <c r="DE224" s="99"/>
      <c r="DF224" s="99"/>
      <c r="DG224" s="99"/>
      <c r="DH224" s="99"/>
      <c r="DI224" s="99"/>
      <c r="DJ224" s="99"/>
      <c r="DK224" s="99"/>
      <c r="DL224" s="99"/>
      <c r="DM224" s="99"/>
      <c r="DN224" s="99"/>
      <c r="DO224" s="99"/>
      <c r="DP224" s="99"/>
      <c r="DQ224" s="99"/>
      <c r="DR224" s="99"/>
      <c r="DS224" s="99"/>
      <c r="DT224" s="99"/>
      <c r="DU224" s="99"/>
      <c r="DV224" s="99"/>
      <c r="DW224" s="99"/>
      <c r="DX224" s="99"/>
      <c r="DY224" s="99"/>
      <c r="DZ224" s="99"/>
      <c r="EA224" s="99"/>
      <c r="EB224" s="99"/>
      <c r="EC224" s="99"/>
      <c r="ED224" s="99"/>
      <c r="EE224" s="99"/>
      <c r="EF224" s="99"/>
      <c r="EG224" s="99"/>
      <c r="EH224" s="99"/>
      <c r="EI224" s="99"/>
      <c r="EJ224" s="99"/>
      <c r="EK224" s="99"/>
      <c r="EL224" s="99"/>
      <c r="EM224" s="99"/>
      <c r="EN224" s="99"/>
      <c r="EO224" s="99"/>
      <c r="EP224" s="99"/>
      <c r="EQ224" s="99"/>
      <c r="ER224" s="99"/>
      <c r="ES224" s="99"/>
      <c r="ET224" s="99"/>
      <c r="EU224" s="99"/>
      <c r="EV224" s="99"/>
      <c r="EW224" s="99"/>
      <c r="EX224" s="99"/>
      <c r="EY224" s="99"/>
      <c r="EZ224" s="99"/>
      <c r="FA224" s="99"/>
      <c r="FB224" s="99"/>
      <c r="FC224" s="99"/>
      <c r="FD224" s="99"/>
      <c r="FE224" s="99"/>
      <c r="FF224" s="99"/>
      <c r="FG224" s="99"/>
      <c r="FH224" s="99"/>
      <c r="FI224" s="99"/>
      <c r="FJ224" s="99"/>
      <c r="FK224" s="99"/>
      <c r="FL224" s="99"/>
      <c r="FM224" s="99"/>
      <c r="FN224" s="99"/>
      <c r="FO224" s="99"/>
      <c r="FP224" s="99"/>
      <c r="FQ224" s="99"/>
      <c r="FR224" s="99"/>
      <c r="FS224" s="99"/>
      <c r="FT224" s="99"/>
      <c r="FU224" s="99"/>
      <c r="FV224" s="99"/>
      <c r="FW224" s="99"/>
      <c r="FX224" s="99"/>
      <c r="FY224" s="99"/>
      <c r="FZ224" s="99"/>
      <c r="GA224" s="99"/>
      <c r="GB224" s="99"/>
      <c r="GC224" s="99"/>
      <c r="GD224" s="99"/>
      <c r="GE224" s="99"/>
      <c r="GF224" s="99"/>
      <c r="GG224" s="99"/>
      <c r="GH224" s="99"/>
      <c r="GI224" s="99"/>
      <c r="GJ224" s="99"/>
      <c r="GK224" s="99"/>
      <c r="GL224" s="99"/>
      <c r="GM224" s="99"/>
      <c r="GN224" s="99"/>
      <c r="GO224" s="99"/>
      <c r="GP224" s="99"/>
      <c r="GQ224" s="99"/>
      <c r="GR224" s="99"/>
      <c r="GS224" s="99"/>
      <c r="GT224" s="99"/>
      <c r="GU224" s="99"/>
      <c r="GV224" s="99"/>
      <c r="GW224" s="99"/>
      <c r="GX224" s="99"/>
      <c r="GY224" s="99"/>
      <c r="GZ224" s="99"/>
      <c r="HA224" s="99"/>
      <c r="HB224" s="99"/>
      <c r="HC224" s="99"/>
      <c r="HD224" s="99"/>
      <c r="HE224" s="99"/>
      <c r="HF224" s="99"/>
      <c r="HG224" s="99"/>
      <c r="HH224" s="99"/>
      <c r="HI224" s="99"/>
      <c r="HJ224" s="99"/>
      <c r="HK224" s="99"/>
      <c r="HL224" s="99"/>
      <c r="HM224" s="99"/>
      <c r="HN224" s="99"/>
      <c r="HO224" s="99"/>
      <c r="HP224" s="99"/>
      <c r="HQ224" s="99"/>
      <c r="HR224" s="99"/>
      <c r="HS224" s="99"/>
      <c r="HT224" s="99"/>
      <c r="HU224" s="99"/>
      <c r="HV224" s="99"/>
      <c r="HW224" s="99"/>
      <c r="HX224" s="99"/>
      <c r="HY224" s="99"/>
      <c r="HZ224" s="99"/>
      <c r="IA224" s="99"/>
      <c r="IB224" s="99"/>
      <c r="IC224" s="99"/>
      <c r="ID224" s="99"/>
      <c r="IE224" s="99"/>
      <c r="IF224" s="99"/>
      <c r="IG224" s="99"/>
      <c r="IH224" s="99"/>
      <c r="II224" s="99"/>
      <c r="IJ224" s="99"/>
      <c r="IK224" s="99"/>
      <c r="IL224" s="99"/>
      <c r="IM224" s="99"/>
      <c r="IN224" s="99"/>
      <c r="IO224" s="99"/>
      <c r="IP224" s="99"/>
      <c r="IQ224" s="99"/>
      <c r="IR224" s="99"/>
      <c r="IS224" s="99"/>
      <c r="IT224" s="99"/>
      <c r="IU224" s="99"/>
      <c r="IV224" s="99"/>
    </row>
    <row r="225" spans="1:256" ht="12.75">
      <c r="A225" s="33"/>
      <c r="B225" s="33"/>
      <c r="C225" s="33"/>
      <c r="D225" s="33"/>
      <c r="E225" s="33"/>
      <c r="F225" s="33"/>
      <c r="G225" s="33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  <c r="CW225" s="99"/>
      <c r="CX225" s="99"/>
      <c r="CY225" s="99"/>
      <c r="CZ225" s="99"/>
      <c r="DA225" s="99"/>
      <c r="DB225" s="99"/>
      <c r="DC225" s="99"/>
      <c r="DD225" s="99"/>
      <c r="DE225" s="99"/>
      <c r="DF225" s="99"/>
      <c r="DG225" s="99"/>
      <c r="DH225" s="99"/>
      <c r="DI225" s="99"/>
      <c r="DJ225" s="99"/>
      <c r="DK225" s="99"/>
      <c r="DL225" s="99"/>
      <c r="DM225" s="99"/>
      <c r="DN225" s="99"/>
      <c r="DO225" s="99"/>
      <c r="DP225" s="99"/>
      <c r="DQ225" s="99"/>
      <c r="DR225" s="99"/>
      <c r="DS225" s="99"/>
      <c r="DT225" s="99"/>
      <c r="DU225" s="99"/>
      <c r="DV225" s="99"/>
      <c r="DW225" s="99"/>
      <c r="DX225" s="99"/>
      <c r="DY225" s="99"/>
      <c r="DZ225" s="99"/>
      <c r="EA225" s="99"/>
      <c r="EB225" s="99"/>
      <c r="EC225" s="99"/>
      <c r="ED225" s="99"/>
      <c r="EE225" s="99"/>
      <c r="EF225" s="99"/>
      <c r="EG225" s="99"/>
      <c r="EH225" s="99"/>
      <c r="EI225" s="99"/>
      <c r="EJ225" s="99"/>
      <c r="EK225" s="99"/>
      <c r="EL225" s="99"/>
      <c r="EM225" s="99"/>
      <c r="EN225" s="99"/>
      <c r="EO225" s="99"/>
      <c r="EP225" s="99"/>
      <c r="EQ225" s="99"/>
      <c r="ER225" s="99"/>
      <c r="ES225" s="99"/>
      <c r="ET225" s="99"/>
      <c r="EU225" s="99"/>
      <c r="EV225" s="99"/>
      <c r="EW225" s="99"/>
      <c r="EX225" s="99"/>
      <c r="EY225" s="99"/>
      <c r="EZ225" s="99"/>
      <c r="FA225" s="99"/>
      <c r="FB225" s="99"/>
      <c r="FC225" s="99"/>
      <c r="FD225" s="99"/>
      <c r="FE225" s="99"/>
      <c r="FF225" s="99"/>
      <c r="FG225" s="99"/>
      <c r="FH225" s="99"/>
      <c r="FI225" s="99"/>
      <c r="FJ225" s="99"/>
      <c r="FK225" s="99"/>
      <c r="FL225" s="99"/>
      <c r="FM225" s="99"/>
      <c r="FN225" s="99"/>
      <c r="FO225" s="99"/>
      <c r="FP225" s="99"/>
      <c r="FQ225" s="99"/>
      <c r="FR225" s="99"/>
      <c r="FS225" s="99"/>
      <c r="FT225" s="99"/>
      <c r="FU225" s="99"/>
      <c r="FV225" s="99"/>
      <c r="FW225" s="99"/>
      <c r="FX225" s="99"/>
      <c r="FY225" s="99"/>
      <c r="FZ225" s="99"/>
      <c r="GA225" s="99"/>
      <c r="GB225" s="99"/>
      <c r="GC225" s="99"/>
      <c r="GD225" s="99"/>
      <c r="GE225" s="99"/>
      <c r="GF225" s="99"/>
      <c r="GG225" s="99"/>
      <c r="GH225" s="99"/>
      <c r="GI225" s="99"/>
      <c r="GJ225" s="99"/>
      <c r="GK225" s="99"/>
      <c r="GL225" s="99"/>
      <c r="GM225" s="99"/>
      <c r="GN225" s="99"/>
      <c r="GO225" s="99"/>
      <c r="GP225" s="99"/>
      <c r="GQ225" s="99"/>
      <c r="GR225" s="99"/>
      <c r="GS225" s="99"/>
      <c r="GT225" s="99"/>
      <c r="GU225" s="99"/>
      <c r="GV225" s="99"/>
      <c r="GW225" s="99"/>
      <c r="GX225" s="99"/>
      <c r="GY225" s="99"/>
      <c r="GZ225" s="99"/>
      <c r="HA225" s="99"/>
      <c r="HB225" s="99"/>
      <c r="HC225" s="99"/>
      <c r="HD225" s="99"/>
      <c r="HE225" s="99"/>
      <c r="HF225" s="99"/>
      <c r="HG225" s="99"/>
      <c r="HH225" s="99"/>
      <c r="HI225" s="99"/>
      <c r="HJ225" s="99"/>
      <c r="HK225" s="99"/>
      <c r="HL225" s="99"/>
      <c r="HM225" s="99"/>
      <c r="HN225" s="99"/>
      <c r="HO225" s="99"/>
      <c r="HP225" s="99"/>
      <c r="HQ225" s="99"/>
      <c r="HR225" s="99"/>
      <c r="HS225" s="99"/>
      <c r="HT225" s="99"/>
      <c r="HU225" s="99"/>
      <c r="HV225" s="99"/>
      <c r="HW225" s="99"/>
      <c r="HX225" s="99"/>
      <c r="HY225" s="99"/>
      <c r="HZ225" s="99"/>
      <c r="IA225" s="99"/>
      <c r="IB225" s="99"/>
      <c r="IC225" s="99"/>
      <c r="ID225" s="99"/>
      <c r="IE225" s="99"/>
      <c r="IF225" s="99"/>
      <c r="IG225" s="99"/>
      <c r="IH225" s="99"/>
      <c r="II225" s="99"/>
      <c r="IJ225" s="99"/>
      <c r="IK225" s="99"/>
      <c r="IL225" s="99"/>
      <c r="IM225" s="99"/>
      <c r="IN225" s="99"/>
      <c r="IO225" s="99"/>
      <c r="IP225" s="99"/>
      <c r="IQ225" s="99"/>
      <c r="IR225" s="99"/>
      <c r="IS225" s="99"/>
      <c r="IT225" s="99"/>
      <c r="IU225" s="99"/>
      <c r="IV225" s="99"/>
    </row>
    <row r="226" spans="1:256" ht="12.75">
      <c r="A226" s="33"/>
      <c r="B226" s="33"/>
      <c r="C226" s="33"/>
      <c r="D226" s="33"/>
      <c r="E226" s="33"/>
      <c r="F226" s="33"/>
      <c r="G226" s="33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99"/>
      <c r="DD226" s="99"/>
      <c r="DE226" s="99"/>
      <c r="DF226" s="99"/>
      <c r="DG226" s="99"/>
      <c r="DH226" s="99"/>
      <c r="DI226" s="99"/>
      <c r="DJ226" s="99"/>
      <c r="DK226" s="99"/>
      <c r="DL226" s="99"/>
      <c r="DM226" s="99"/>
      <c r="DN226" s="99"/>
      <c r="DO226" s="99"/>
      <c r="DP226" s="99"/>
      <c r="DQ226" s="99"/>
      <c r="DR226" s="99"/>
      <c r="DS226" s="99"/>
      <c r="DT226" s="99"/>
      <c r="DU226" s="99"/>
      <c r="DV226" s="99"/>
      <c r="DW226" s="99"/>
      <c r="DX226" s="99"/>
      <c r="DY226" s="99"/>
      <c r="DZ226" s="99"/>
      <c r="EA226" s="99"/>
      <c r="EB226" s="99"/>
      <c r="EC226" s="99"/>
      <c r="ED226" s="99"/>
      <c r="EE226" s="99"/>
      <c r="EF226" s="99"/>
      <c r="EG226" s="99"/>
      <c r="EH226" s="99"/>
      <c r="EI226" s="99"/>
      <c r="EJ226" s="99"/>
      <c r="EK226" s="99"/>
      <c r="EL226" s="99"/>
      <c r="EM226" s="99"/>
      <c r="EN226" s="99"/>
      <c r="EO226" s="99"/>
      <c r="EP226" s="99"/>
      <c r="EQ226" s="99"/>
      <c r="ER226" s="99"/>
      <c r="ES226" s="99"/>
      <c r="ET226" s="99"/>
      <c r="EU226" s="99"/>
      <c r="EV226" s="99"/>
      <c r="EW226" s="99"/>
      <c r="EX226" s="99"/>
      <c r="EY226" s="99"/>
      <c r="EZ226" s="99"/>
      <c r="FA226" s="99"/>
      <c r="FB226" s="99"/>
      <c r="FC226" s="99"/>
      <c r="FD226" s="99"/>
      <c r="FE226" s="99"/>
      <c r="FF226" s="99"/>
      <c r="FG226" s="99"/>
      <c r="FH226" s="99"/>
      <c r="FI226" s="99"/>
      <c r="FJ226" s="99"/>
      <c r="FK226" s="99"/>
      <c r="FL226" s="99"/>
      <c r="FM226" s="99"/>
      <c r="FN226" s="99"/>
      <c r="FO226" s="99"/>
      <c r="FP226" s="99"/>
      <c r="FQ226" s="99"/>
      <c r="FR226" s="99"/>
      <c r="FS226" s="99"/>
      <c r="FT226" s="99"/>
      <c r="FU226" s="99"/>
      <c r="FV226" s="99"/>
      <c r="FW226" s="99"/>
      <c r="FX226" s="99"/>
      <c r="FY226" s="99"/>
      <c r="FZ226" s="99"/>
      <c r="GA226" s="99"/>
      <c r="GB226" s="99"/>
      <c r="GC226" s="99"/>
      <c r="GD226" s="99"/>
      <c r="GE226" s="99"/>
      <c r="GF226" s="99"/>
      <c r="GG226" s="99"/>
      <c r="GH226" s="99"/>
      <c r="GI226" s="99"/>
      <c r="GJ226" s="99"/>
      <c r="GK226" s="99"/>
      <c r="GL226" s="99"/>
      <c r="GM226" s="99"/>
      <c r="GN226" s="99"/>
      <c r="GO226" s="99"/>
      <c r="GP226" s="99"/>
      <c r="GQ226" s="99"/>
      <c r="GR226" s="99"/>
      <c r="GS226" s="99"/>
      <c r="GT226" s="99"/>
      <c r="GU226" s="99"/>
      <c r="GV226" s="99"/>
      <c r="GW226" s="99"/>
      <c r="GX226" s="99"/>
      <c r="GY226" s="99"/>
      <c r="GZ226" s="99"/>
      <c r="HA226" s="99"/>
      <c r="HB226" s="99"/>
      <c r="HC226" s="99"/>
      <c r="HD226" s="99"/>
      <c r="HE226" s="99"/>
      <c r="HF226" s="99"/>
      <c r="HG226" s="99"/>
      <c r="HH226" s="99"/>
      <c r="HI226" s="99"/>
      <c r="HJ226" s="99"/>
      <c r="HK226" s="99"/>
      <c r="HL226" s="99"/>
      <c r="HM226" s="99"/>
      <c r="HN226" s="99"/>
      <c r="HO226" s="99"/>
      <c r="HP226" s="99"/>
      <c r="HQ226" s="99"/>
      <c r="HR226" s="99"/>
      <c r="HS226" s="99"/>
      <c r="HT226" s="99"/>
      <c r="HU226" s="99"/>
      <c r="HV226" s="99"/>
      <c r="HW226" s="99"/>
      <c r="HX226" s="99"/>
      <c r="HY226" s="99"/>
      <c r="HZ226" s="99"/>
      <c r="IA226" s="99"/>
      <c r="IB226" s="99"/>
      <c r="IC226" s="99"/>
      <c r="ID226" s="99"/>
      <c r="IE226" s="99"/>
      <c r="IF226" s="99"/>
      <c r="IG226" s="99"/>
      <c r="IH226" s="99"/>
      <c r="II226" s="99"/>
      <c r="IJ226" s="99"/>
      <c r="IK226" s="99"/>
      <c r="IL226" s="99"/>
      <c r="IM226" s="99"/>
      <c r="IN226" s="99"/>
      <c r="IO226" s="99"/>
      <c r="IP226" s="99"/>
      <c r="IQ226" s="99"/>
      <c r="IR226" s="99"/>
      <c r="IS226" s="99"/>
      <c r="IT226" s="99"/>
      <c r="IU226" s="99"/>
      <c r="IV226" s="99"/>
    </row>
    <row r="227" spans="1:256" ht="12.75">
      <c r="A227" s="33"/>
      <c r="B227" s="33"/>
      <c r="C227" s="33"/>
      <c r="D227" s="33"/>
      <c r="E227" s="33"/>
      <c r="F227" s="33"/>
      <c r="G227" s="33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99"/>
      <c r="FI227" s="99"/>
      <c r="FJ227" s="99"/>
      <c r="FK227" s="99"/>
      <c r="FL227" s="99"/>
      <c r="FM227" s="99"/>
      <c r="FN227" s="99"/>
      <c r="FO227" s="99"/>
      <c r="FP227" s="99"/>
      <c r="FQ227" s="99"/>
      <c r="FR227" s="99"/>
      <c r="FS227" s="99"/>
      <c r="FT227" s="99"/>
      <c r="FU227" s="99"/>
      <c r="FV227" s="99"/>
      <c r="FW227" s="99"/>
      <c r="FX227" s="99"/>
      <c r="FY227" s="99"/>
      <c r="FZ227" s="99"/>
      <c r="GA227" s="99"/>
      <c r="GB227" s="99"/>
      <c r="GC227" s="99"/>
      <c r="GD227" s="99"/>
      <c r="GE227" s="99"/>
      <c r="GF227" s="99"/>
      <c r="GG227" s="99"/>
      <c r="GH227" s="99"/>
      <c r="GI227" s="99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99"/>
      <c r="HA227" s="99"/>
      <c r="HB227" s="99"/>
      <c r="HC227" s="99"/>
      <c r="HD227" s="99"/>
      <c r="HE227" s="99"/>
      <c r="HF227" s="99"/>
      <c r="HG227" s="99"/>
      <c r="HH227" s="99"/>
      <c r="HI227" s="99"/>
      <c r="HJ227" s="99"/>
      <c r="HK227" s="99"/>
      <c r="HL227" s="99"/>
      <c r="HM227" s="99"/>
      <c r="HN227" s="99"/>
      <c r="HO227" s="99"/>
      <c r="HP227" s="99"/>
      <c r="HQ227" s="99"/>
      <c r="HR227" s="99"/>
      <c r="HS227" s="99"/>
      <c r="HT227" s="99"/>
      <c r="HU227" s="99"/>
      <c r="HV227" s="99"/>
      <c r="HW227" s="99"/>
      <c r="HX227" s="99"/>
      <c r="HY227" s="99"/>
      <c r="HZ227" s="99"/>
      <c r="IA227" s="99"/>
      <c r="IB227" s="99"/>
      <c r="IC227" s="99"/>
      <c r="ID227" s="99"/>
      <c r="IE227" s="99"/>
      <c r="IF227" s="99"/>
      <c r="IG227" s="99"/>
      <c r="IH227" s="99"/>
      <c r="II227" s="99"/>
      <c r="IJ227" s="99"/>
      <c r="IK227" s="99"/>
      <c r="IL227" s="99"/>
      <c r="IM227" s="99"/>
      <c r="IN227" s="99"/>
      <c r="IO227" s="99"/>
      <c r="IP227" s="99"/>
      <c r="IQ227" s="99"/>
      <c r="IR227" s="99"/>
      <c r="IS227" s="99"/>
      <c r="IT227" s="99"/>
      <c r="IU227" s="99"/>
      <c r="IV227" s="99"/>
    </row>
    <row r="228" spans="1:256" ht="12.75">
      <c r="A228" s="33"/>
      <c r="B228" s="33"/>
      <c r="C228" s="33"/>
      <c r="D228" s="33"/>
      <c r="E228" s="33"/>
      <c r="F228" s="33"/>
      <c r="G228" s="33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  <c r="FB228" s="99"/>
      <c r="FC228" s="99"/>
      <c r="FD228" s="99"/>
      <c r="FE228" s="99"/>
      <c r="FF228" s="99"/>
      <c r="FG228" s="99"/>
      <c r="FH228" s="99"/>
      <c r="FI228" s="99"/>
      <c r="FJ228" s="99"/>
      <c r="FK228" s="99"/>
      <c r="FL228" s="99"/>
      <c r="FM228" s="99"/>
      <c r="FN228" s="99"/>
      <c r="FO228" s="99"/>
      <c r="FP228" s="99"/>
      <c r="FQ228" s="99"/>
      <c r="FR228" s="99"/>
      <c r="FS228" s="99"/>
      <c r="FT228" s="99"/>
      <c r="FU228" s="99"/>
      <c r="FV228" s="99"/>
      <c r="FW228" s="99"/>
      <c r="FX228" s="99"/>
      <c r="FY228" s="99"/>
      <c r="FZ228" s="99"/>
      <c r="GA228" s="99"/>
      <c r="GB228" s="99"/>
      <c r="GC228" s="99"/>
      <c r="GD228" s="99"/>
      <c r="GE228" s="99"/>
      <c r="GF228" s="99"/>
      <c r="GG228" s="99"/>
      <c r="GH228" s="99"/>
      <c r="GI228" s="99"/>
      <c r="GJ228" s="99"/>
      <c r="GK228" s="99"/>
      <c r="GL228" s="99"/>
      <c r="GM228" s="99"/>
      <c r="GN228" s="99"/>
      <c r="GO228" s="99"/>
      <c r="GP228" s="99"/>
      <c r="GQ228" s="99"/>
      <c r="GR228" s="99"/>
      <c r="GS228" s="99"/>
      <c r="GT228" s="99"/>
      <c r="GU228" s="99"/>
      <c r="GV228" s="99"/>
      <c r="GW228" s="99"/>
      <c r="GX228" s="99"/>
      <c r="GY228" s="99"/>
      <c r="GZ228" s="99"/>
      <c r="HA228" s="99"/>
      <c r="HB228" s="99"/>
      <c r="HC228" s="99"/>
      <c r="HD228" s="99"/>
      <c r="HE228" s="99"/>
      <c r="HF228" s="99"/>
      <c r="HG228" s="99"/>
      <c r="HH228" s="99"/>
      <c r="HI228" s="99"/>
      <c r="HJ228" s="99"/>
      <c r="HK228" s="99"/>
      <c r="HL228" s="99"/>
      <c r="HM228" s="99"/>
      <c r="HN228" s="99"/>
      <c r="HO228" s="99"/>
      <c r="HP228" s="99"/>
      <c r="HQ228" s="99"/>
      <c r="HR228" s="99"/>
      <c r="HS228" s="99"/>
      <c r="HT228" s="99"/>
      <c r="HU228" s="99"/>
      <c r="HV228" s="99"/>
      <c r="HW228" s="99"/>
      <c r="HX228" s="99"/>
      <c r="HY228" s="99"/>
      <c r="HZ228" s="99"/>
      <c r="IA228" s="99"/>
      <c r="IB228" s="99"/>
      <c r="IC228" s="99"/>
      <c r="ID228" s="99"/>
      <c r="IE228" s="99"/>
      <c r="IF228" s="99"/>
      <c r="IG228" s="99"/>
      <c r="IH228" s="99"/>
      <c r="II228" s="99"/>
      <c r="IJ228" s="99"/>
      <c r="IK228" s="99"/>
      <c r="IL228" s="99"/>
      <c r="IM228" s="99"/>
      <c r="IN228" s="99"/>
      <c r="IO228" s="99"/>
      <c r="IP228" s="99"/>
      <c r="IQ228" s="99"/>
      <c r="IR228" s="99"/>
      <c r="IS228" s="99"/>
      <c r="IT228" s="99"/>
      <c r="IU228" s="99"/>
      <c r="IV228" s="99"/>
    </row>
    <row r="229" spans="1:256" ht="12.75">
      <c r="A229" s="33"/>
      <c r="B229" s="33"/>
      <c r="C229" s="33"/>
      <c r="D229" s="33"/>
      <c r="E229" s="33"/>
      <c r="F229" s="33"/>
      <c r="G229" s="33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99"/>
      <c r="DD229" s="99"/>
      <c r="DE229" s="99"/>
      <c r="DF229" s="99"/>
      <c r="DG229" s="99"/>
      <c r="DH229" s="99"/>
      <c r="DI229" s="99"/>
      <c r="DJ229" s="99"/>
      <c r="DK229" s="99"/>
      <c r="DL229" s="99"/>
      <c r="DM229" s="99"/>
      <c r="DN229" s="99"/>
      <c r="DO229" s="99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99"/>
      <c r="EY229" s="99"/>
      <c r="EZ229" s="99"/>
      <c r="FA229" s="99"/>
      <c r="FB229" s="99"/>
      <c r="FC229" s="99"/>
      <c r="FD229" s="99"/>
      <c r="FE229" s="99"/>
      <c r="FF229" s="99"/>
      <c r="FG229" s="99"/>
      <c r="FH229" s="99"/>
      <c r="FI229" s="99"/>
      <c r="FJ229" s="99"/>
      <c r="FK229" s="99"/>
      <c r="FL229" s="99"/>
      <c r="FM229" s="99"/>
      <c r="FN229" s="99"/>
      <c r="FO229" s="99"/>
      <c r="FP229" s="99"/>
      <c r="FQ229" s="99"/>
      <c r="FR229" s="99"/>
      <c r="FS229" s="99"/>
      <c r="FT229" s="99"/>
      <c r="FU229" s="99"/>
      <c r="FV229" s="99"/>
      <c r="FW229" s="99"/>
      <c r="FX229" s="99"/>
      <c r="FY229" s="99"/>
      <c r="FZ229" s="99"/>
      <c r="GA229" s="99"/>
      <c r="GB229" s="99"/>
      <c r="GC229" s="99"/>
      <c r="GD229" s="99"/>
      <c r="GE229" s="99"/>
      <c r="GF229" s="99"/>
      <c r="GG229" s="99"/>
      <c r="GH229" s="99"/>
      <c r="GI229" s="99"/>
      <c r="GJ229" s="99"/>
      <c r="GK229" s="99"/>
      <c r="GL229" s="99"/>
      <c r="GM229" s="99"/>
      <c r="GN229" s="99"/>
      <c r="GO229" s="99"/>
      <c r="GP229" s="99"/>
      <c r="GQ229" s="99"/>
      <c r="GR229" s="99"/>
      <c r="GS229" s="99"/>
      <c r="GT229" s="99"/>
      <c r="GU229" s="99"/>
      <c r="GV229" s="99"/>
      <c r="GW229" s="99"/>
      <c r="GX229" s="99"/>
      <c r="GY229" s="99"/>
      <c r="GZ229" s="99"/>
      <c r="HA229" s="99"/>
      <c r="HB229" s="99"/>
      <c r="HC229" s="99"/>
      <c r="HD229" s="99"/>
      <c r="HE229" s="99"/>
      <c r="HF229" s="99"/>
      <c r="HG229" s="99"/>
      <c r="HH229" s="99"/>
      <c r="HI229" s="99"/>
      <c r="HJ229" s="99"/>
      <c r="HK229" s="99"/>
      <c r="HL229" s="99"/>
      <c r="HM229" s="99"/>
      <c r="HN229" s="99"/>
      <c r="HO229" s="99"/>
      <c r="HP229" s="99"/>
      <c r="HQ229" s="99"/>
      <c r="HR229" s="99"/>
      <c r="HS229" s="99"/>
      <c r="HT229" s="99"/>
      <c r="HU229" s="99"/>
      <c r="HV229" s="99"/>
      <c r="HW229" s="99"/>
      <c r="HX229" s="99"/>
      <c r="HY229" s="99"/>
      <c r="HZ229" s="99"/>
      <c r="IA229" s="99"/>
      <c r="IB229" s="99"/>
      <c r="IC229" s="99"/>
      <c r="ID229" s="99"/>
      <c r="IE229" s="99"/>
      <c r="IF229" s="99"/>
      <c r="IG229" s="99"/>
      <c r="IH229" s="99"/>
      <c r="II229" s="99"/>
      <c r="IJ229" s="99"/>
      <c r="IK229" s="99"/>
      <c r="IL229" s="99"/>
      <c r="IM229" s="99"/>
      <c r="IN229" s="99"/>
      <c r="IO229" s="99"/>
      <c r="IP229" s="99"/>
      <c r="IQ229" s="99"/>
      <c r="IR229" s="99"/>
      <c r="IS229" s="99"/>
      <c r="IT229" s="99"/>
      <c r="IU229" s="99"/>
      <c r="IV229" s="99"/>
    </row>
    <row r="230" spans="1:256" ht="12.75">
      <c r="A230" s="33"/>
      <c r="B230" s="33"/>
      <c r="C230" s="33"/>
      <c r="D230" s="33"/>
      <c r="E230" s="33"/>
      <c r="F230" s="33"/>
      <c r="G230" s="33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  <c r="CZ230" s="99"/>
      <c r="DA230" s="99"/>
      <c r="DB230" s="99"/>
      <c r="DC230" s="99"/>
      <c r="DD230" s="99"/>
      <c r="DE230" s="99"/>
      <c r="DF230" s="99"/>
      <c r="DG230" s="99"/>
      <c r="DH230" s="99"/>
      <c r="DI230" s="99"/>
      <c r="DJ230" s="99"/>
      <c r="DK230" s="99"/>
      <c r="DL230" s="99"/>
      <c r="DM230" s="99"/>
      <c r="DN230" s="99"/>
      <c r="DO230" s="99"/>
      <c r="DP230" s="99"/>
      <c r="DQ230" s="99"/>
      <c r="DR230" s="99"/>
      <c r="DS230" s="99"/>
      <c r="DT230" s="99"/>
      <c r="DU230" s="99"/>
      <c r="DV230" s="99"/>
      <c r="DW230" s="99"/>
      <c r="DX230" s="99"/>
      <c r="DY230" s="99"/>
      <c r="DZ230" s="99"/>
      <c r="EA230" s="99"/>
      <c r="EB230" s="99"/>
      <c r="EC230" s="99"/>
      <c r="ED230" s="99"/>
      <c r="EE230" s="99"/>
      <c r="EF230" s="99"/>
      <c r="EG230" s="99"/>
      <c r="EH230" s="99"/>
      <c r="EI230" s="99"/>
      <c r="EJ230" s="99"/>
      <c r="EK230" s="99"/>
      <c r="EL230" s="99"/>
      <c r="EM230" s="99"/>
      <c r="EN230" s="99"/>
      <c r="EO230" s="99"/>
      <c r="EP230" s="99"/>
      <c r="EQ230" s="99"/>
      <c r="ER230" s="99"/>
      <c r="ES230" s="99"/>
      <c r="ET230" s="99"/>
      <c r="EU230" s="99"/>
      <c r="EV230" s="99"/>
      <c r="EW230" s="99"/>
      <c r="EX230" s="99"/>
      <c r="EY230" s="99"/>
      <c r="EZ230" s="99"/>
      <c r="FA230" s="99"/>
      <c r="FB230" s="99"/>
      <c r="FC230" s="99"/>
      <c r="FD230" s="99"/>
      <c r="FE230" s="99"/>
      <c r="FF230" s="99"/>
      <c r="FG230" s="99"/>
      <c r="FH230" s="99"/>
      <c r="FI230" s="99"/>
      <c r="FJ230" s="99"/>
      <c r="FK230" s="99"/>
      <c r="FL230" s="99"/>
      <c r="FM230" s="99"/>
      <c r="FN230" s="99"/>
      <c r="FO230" s="99"/>
      <c r="FP230" s="99"/>
      <c r="FQ230" s="99"/>
      <c r="FR230" s="99"/>
      <c r="FS230" s="99"/>
      <c r="FT230" s="99"/>
      <c r="FU230" s="99"/>
      <c r="FV230" s="99"/>
      <c r="FW230" s="99"/>
      <c r="FX230" s="99"/>
      <c r="FY230" s="99"/>
      <c r="FZ230" s="99"/>
      <c r="GA230" s="99"/>
      <c r="GB230" s="99"/>
      <c r="GC230" s="99"/>
      <c r="GD230" s="99"/>
      <c r="GE230" s="99"/>
      <c r="GF230" s="99"/>
      <c r="GG230" s="99"/>
      <c r="GH230" s="99"/>
      <c r="GI230" s="99"/>
      <c r="GJ230" s="99"/>
      <c r="GK230" s="99"/>
      <c r="GL230" s="99"/>
      <c r="GM230" s="99"/>
      <c r="GN230" s="99"/>
      <c r="GO230" s="99"/>
      <c r="GP230" s="99"/>
      <c r="GQ230" s="99"/>
      <c r="GR230" s="99"/>
      <c r="GS230" s="99"/>
      <c r="GT230" s="99"/>
      <c r="GU230" s="99"/>
      <c r="GV230" s="99"/>
      <c r="GW230" s="99"/>
      <c r="GX230" s="99"/>
      <c r="GY230" s="99"/>
      <c r="GZ230" s="99"/>
      <c r="HA230" s="99"/>
      <c r="HB230" s="99"/>
      <c r="HC230" s="99"/>
      <c r="HD230" s="99"/>
      <c r="HE230" s="99"/>
      <c r="HF230" s="99"/>
      <c r="HG230" s="99"/>
      <c r="HH230" s="99"/>
      <c r="HI230" s="99"/>
      <c r="HJ230" s="99"/>
      <c r="HK230" s="99"/>
      <c r="HL230" s="99"/>
      <c r="HM230" s="99"/>
      <c r="HN230" s="99"/>
      <c r="HO230" s="99"/>
      <c r="HP230" s="99"/>
      <c r="HQ230" s="99"/>
      <c r="HR230" s="99"/>
      <c r="HS230" s="99"/>
      <c r="HT230" s="99"/>
      <c r="HU230" s="99"/>
      <c r="HV230" s="99"/>
      <c r="HW230" s="99"/>
      <c r="HX230" s="99"/>
      <c r="HY230" s="99"/>
      <c r="HZ230" s="99"/>
      <c r="IA230" s="99"/>
      <c r="IB230" s="99"/>
      <c r="IC230" s="99"/>
      <c r="ID230" s="99"/>
      <c r="IE230" s="99"/>
      <c r="IF230" s="99"/>
      <c r="IG230" s="99"/>
      <c r="IH230" s="99"/>
      <c r="II230" s="99"/>
      <c r="IJ230" s="99"/>
      <c r="IK230" s="99"/>
      <c r="IL230" s="99"/>
      <c r="IM230" s="99"/>
      <c r="IN230" s="99"/>
      <c r="IO230" s="99"/>
      <c r="IP230" s="99"/>
      <c r="IQ230" s="99"/>
      <c r="IR230" s="99"/>
      <c r="IS230" s="99"/>
      <c r="IT230" s="99"/>
      <c r="IU230" s="99"/>
      <c r="IV230" s="99"/>
    </row>
    <row r="231" spans="1:256" ht="12.75">
      <c r="A231" s="33"/>
      <c r="B231" s="33"/>
      <c r="C231" s="33"/>
      <c r="D231" s="33"/>
      <c r="E231" s="33"/>
      <c r="F231" s="33"/>
      <c r="G231" s="33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9"/>
      <c r="DK231" s="99"/>
      <c r="DL231" s="99"/>
      <c r="DM231" s="99"/>
      <c r="DN231" s="99"/>
      <c r="DO231" s="99"/>
      <c r="DP231" s="99"/>
      <c r="DQ231" s="99"/>
      <c r="DR231" s="99"/>
      <c r="DS231" s="99"/>
      <c r="DT231" s="99"/>
      <c r="DU231" s="99"/>
      <c r="DV231" s="99"/>
      <c r="DW231" s="99"/>
      <c r="DX231" s="99"/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9"/>
      <c r="EK231" s="99"/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9"/>
      <c r="EX231" s="99"/>
      <c r="EY231" s="99"/>
      <c r="EZ231" s="99"/>
      <c r="FA231" s="99"/>
      <c r="FB231" s="99"/>
      <c r="FC231" s="99"/>
      <c r="FD231" s="99"/>
      <c r="FE231" s="99"/>
      <c r="FF231" s="99"/>
      <c r="FG231" s="99"/>
      <c r="FH231" s="99"/>
      <c r="FI231" s="99"/>
      <c r="FJ231" s="99"/>
      <c r="FK231" s="99"/>
      <c r="FL231" s="99"/>
      <c r="FM231" s="99"/>
      <c r="FN231" s="99"/>
      <c r="FO231" s="99"/>
      <c r="FP231" s="99"/>
      <c r="FQ231" s="99"/>
      <c r="FR231" s="99"/>
      <c r="FS231" s="99"/>
      <c r="FT231" s="99"/>
      <c r="FU231" s="99"/>
      <c r="FV231" s="99"/>
      <c r="FW231" s="99"/>
      <c r="FX231" s="99"/>
      <c r="FY231" s="99"/>
      <c r="FZ231" s="99"/>
      <c r="GA231" s="99"/>
      <c r="GB231" s="99"/>
      <c r="GC231" s="99"/>
      <c r="GD231" s="99"/>
      <c r="GE231" s="99"/>
      <c r="GF231" s="99"/>
      <c r="GG231" s="99"/>
      <c r="GH231" s="99"/>
      <c r="GI231" s="99"/>
      <c r="GJ231" s="99"/>
      <c r="GK231" s="99"/>
      <c r="GL231" s="99"/>
      <c r="GM231" s="99"/>
      <c r="GN231" s="99"/>
      <c r="GO231" s="99"/>
      <c r="GP231" s="99"/>
      <c r="GQ231" s="99"/>
      <c r="GR231" s="99"/>
      <c r="GS231" s="99"/>
      <c r="GT231" s="99"/>
      <c r="GU231" s="99"/>
      <c r="GV231" s="99"/>
      <c r="GW231" s="99"/>
      <c r="GX231" s="99"/>
      <c r="GY231" s="99"/>
      <c r="GZ231" s="99"/>
      <c r="HA231" s="99"/>
      <c r="HB231" s="99"/>
      <c r="HC231" s="99"/>
      <c r="HD231" s="99"/>
      <c r="HE231" s="99"/>
      <c r="HF231" s="99"/>
      <c r="HG231" s="99"/>
      <c r="HH231" s="99"/>
      <c r="HI231" s="99"/>
      <c r="HJ231" s="99"/>
      <c r="HK231" s="99"/>
      <c r="HL231" s="99"/>
      <c r="HM231" s="99"/>
      <c r="HN231" s="99"/>
      <c r="HO231" s="99"/>
      <c r="HP231" s="99"/>
      <c r="HQ231" s="99"/>
      <c r="HR231" s="99"/>
      <c r="HS231" s="99"/>
      <c r="HT231" s="99"/>
      <c r="HU231" s="99"/>
      <c r="HV231" s="99"/>
      <c r="HW231" s="99"/>
      <c r="HX231" s="99"/>
      <c r="HY231" s="99"/>
      <c r="HZ231" s="99"/>
      <c r="IA231" s="99"/>
      <c r="IB231" s="99"/>
      <c r="IC231" s="99"/>
      <c r="ID231" s="99"/>
      <c r="IE231" s="99"/>
      <c r="IF231" s="99"/>
      <c r="IG231" s="99"/>
      <c r="IH231" s="99"/>
      <c r="II231" s="99"/>
      <c r="IJ231" s="99"/>
      <c r="IK231" s="99"/>
      <c r="IL231" s="99"/>
      <c r="IM231" s="99"/>
      <c r="IN231" s="99"/>
      <c r="IO231" s="99"/>
      <c r="IP231" s="99"/>
      <c r="IQ231" s="99"/>
      <c r="IR231" s="99"/>
      <c r="IS231" s="99"/>
      <c r="IT231" s="99"/>
      <c r="IU231" s="99"/>
      <c r="IV231" s="99"/>
    </row>
    <row r="232" spans="1:256" ht="12.75">
      <c r="A232" s="33"/>
      <c r="B232" s="33"/>
      <c r="C232" s="33"/>
      <c r="D232" s="33"/>
      <c r="E232" s="33"/>
      <c r="F232" s="33"/>
      <c r="G232" s="33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  <c r="DA232" s="99"/>
      <c r="DB232" s="99"/>
      <c r="DC232" s="99"/>
      <c r="DD232" s="99"/>
      <c r="DE232" s="99"/>
      <c r="DF232" s="99"/>
      <c r="DG232" s="99"/>
      <c r="DH232" s="99"/>
      <c r="DI232" s="99"/>
      <c r="DJ232" s="99"/>
      <c r="DK232" s="99"/>
      <c r="DL232" s="99"/>
      <c r="DM232" s="99"/>
      <c r="DN232" s="99"/>
      <c r="DO232" s="99"/>
      <c r="DP232" s="99"/>
      <c r="DQ232" s="99"/>
      <c r="DR232" s="99"/>
      <c r="DS232" s="99"/>
      <c r="DT232" s="99"/>
      <c r="DU232" s="99"/>
      <c r="DV232" s="99"/>
      <c r="DW232" s="99"/>
      <c r="DX232" s="99"/>
      <c r="DY232" s="99"/>
      <c r="DZ232" s="99"/>
      <c r="EA232" s="99"/>
      <c r="EB232" s="99"/>
      <c r="EC232" s="99"/>
      <c r="ED232" s="99"/>
      <c r="EE232" s="99"/>
      <c r="EF232" s="99"/>
      <c r="EG232" s="99"/>
      <c r="EH232" s="99"/>
      <c r="EI232" s="99"/>
      <c r="EJ232" s="99"/>
      <c r="EK232" s="99"/>
      <c r="EL232" s="99"/>
      <c r="EM232" s="99"/>
      <c r="EN232" s="99"/>
      <c r="EO232" s="99"/>
      <c r="EP232" s="99"/>
      <c r="EQ232" s="99"/>
      <c r="ER232" s="99"/>
      <c r="ES232" s="99"/>
      <c r="ET232" s="99"/>
      <c r="EU232" s="99"/>
      <c r="EV232" s="99"/>
      <c r="EW232" s="99"/>
      <c r="EX232" s="99"/>
      <c r="EY232" s="99"/>
      <c r="EZ232" s="99"/>
      <c r="FA232" s="99"/>
      <c r="FB232" s="99"/>
      <c r="FC232" s="99"/>
      <c r="FD232" s="99"/>
      <c r="FE232" s="99"/>
      <c r="FF232" s="99"/>
      <c r="FG232" s="99"/>
      <c r="FH232" s="99"/>
      <c r="FI232" s="99"/>
      <c r="FJ232" s="99"/>
      <c r="FK232" s="99"/>
      <c r="FL232" s="99"/>
      <c r="FM232" s="99"/>
      <c r="FN232" s="99"/>
      <c r="FO232" s="99"/>
      <c r="FP232" s="99"/>
      <c r="FQ232" s="99"/>
      <c r="FR232" s="99"/>
      <c r="FS232" s="99"/>
      <c r="FT232" s="99"/>
      <c r="FU232" s="99"/>
      <c r="FV232" s="99"/>
      <c r="FW232" s="99"/>
      <c r="FX232" s="99"/>
      <c r="FY232" s="99"/>
      <c r="FZ232" s="99"/>
      <c r="GA232" s="99"/>
      <c r="GB232" s="99"/>
      <c r="GC232" s="99"/>
      <c r="GD232" s="99"/>
      <c r="GE232" s="99"/>
      <c r="GF232" s="99"/>
      <c r="GG232" s="99"/>
      <c r="GH232" s="99"/>
      <c r="GI232" s="99"/>
      <c r="GJ232" s="99"/>
      <c r="GK232" s="99"/>
      <c r="GL232" s="99"/>
      <c r="GM232" s="99"/>
      <c r="GN232" s="99"/>
      <c r="GO232" s="99"/>
      <c r="GP232" s="99"/>
      <c r="GQ232" s="99"/>
      <c r="GR232" s="99"/>
      <c r="GS232" s="99"/>
      <c r="GT232" s="99"/>
      <c r="GU232" s="99"/>
      <c r="GV232" s="99"/>
      <c r="GW232" s="99"/>
      <c r="GX232" s="99"/>
      <c r="GY232" s="99"/>
      <c r="GZ232" s="99"/>
      <c r="HA232" s="99"/>
      <c r="HB232" s="99"/>
      <c r="HC232" s="99"/>
      <c r="HD232" s="99"/>
      <c r="HE232" s="99"/>
      <c r="HF232" s="99"/>
      <c r="HG232" s="99"/>
      <c r="HH232" s="99"/>
      <c r="HI232" s="99"/>
      <c r="HJ232" s="99"/>
      <c r="HK232" s="99"/>
      <c r="HL232" s="99"/>
      <c r="HM232" s="99"/>
      <c r="HN232" s="99"/>
      <c r="HO232" s="99"/>
      <c r="HP232" s="99"/>
      <c r="HQ232" s="99"/>
      <c r="HR232" s="99"/>
      <c r="HS232" s="99"/>
      <c r="HT232" s="99"/>
      <c r="HU232" s="99"/>
      <c r="HV232" s="99"/>
      <c r="HW232" s="99"/>
      <c r="HX232" s="99"/>
      <c r="HY232" s="99"/>
      <c r="HZ232" s="99"/>
      <c r="IA232" s="99"/>
      <c r="IB232" s="99"/>
      <c r="IC232" s="99"/>
      <c r="ID232" s="99"/>
      <c r="IE232" s="99"/>
      <c r="IF232" s="99"/>
      <c r="IG232" s="99"/>
      <c r="IH232" s="99"/>
      <c r="II232" s="99"/>
      <c r="IJ232" s="99"/>
      <c r="IK232" s="99"/>
      <c r="IL232" s="99"/>
      <c r="IM232" s="99"/>
      <c r="IN232" s="99"/>
      <c r="IO232" s="99"/>
      <c r="IP232" s="99"/>
      <c r="IQ232" s="99"/>
      <c r="IR232" s="99"/>
      <c r="IS232" s="99"/>
      <c r="IT232" s="99"/>
      <c r="IU232" s="99"/>
      <c r="IV232" s="99"/>
    </row>
    <row r="233" spans="1:256" ht="12.75">
      <c r="A233" s="33"/>
      <c r="B233" s="33"/>
      <c r="C233" s="33"/>
      <c r="D233" s="33"/>
      <c r="E233" s="33"/>
      <c r="F233" s="33"/>
      <c r="G233" s="33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  <c r="DA233" s="99"/>
      <c r="DB233" s="99"/>
      <c r="DC233" s="99"/>
      <c r="DD233" s="99"/>
      <c r="DE233" s="99"/>
      <c r="DF233" s="99"/>
      <c r="DG233" s="99"/>
      <c r="DH233" s="99"/>
      <c r="DI233" s="99"/>
      <c r="DJ233" s="99"/>
      <c r="DK233" s="99"/>
      <c r="DL233" s="99"/>
      <c r="DM233" s="99"/>
      <c r="DN233" s="99"/>
      <c r="DO233" s="99"/>
      <c r="DP233" s="99"/>
      <c r="DQ233" s="99"/>
      <c r="DR233" s="99"/>
      <c r="DS233" s="99"/>
      <c r="DT233" s="99"/>
      <c r="DU233" s="99"/>
      <c r="DV233" s="99"/>
      <c r="DW233" s="99"/>
      <c r="DX233" s="99"/>
      <c r="DY233" s="99"/>
      <c r="DZ233" s="99"/>
      <c r="EA233" s="99"/>
      <c r="EB233" s="99"/>
      <c r="EC233" s="99"/>
      <c r="ED233" s="99"/>
      <c r="EE233" s="99"/>
      <c r="EF233" s="99"/>
      <c r="EG233" s="99"/>
      <c r="EH233" s="99"/>
      <c r="EI233" s="99"/>
      <c r="EJ233" s="99"/>
      <c r="EK233" s="99"/>
      <c r="EL233" s="99"/>
      <c r="EM233" s="99"/>
      <c r="EN233" s="99"/>
      <c r="EO233" s="99"/>
      <c r="EP233" s="99"/>
      <c r="EQ233" s="99"/>
      <c r="ER233" s="99"/>
      <c r="ES233" s="99"/>
      <c r="ET233" s="99"/>
      <c r="EU233" s="99"/>
      <c r="EV233" s="99"/>
      <c r="EW233" s="99"/>
      <c r="EX233" s="99"/>
      <c r="EY233" s="99"/>
      <c r="EZ233" s="99"/>
      <c r="FA233" s="99"/>
      <c r="FB233" s="99"/>
      <c r="FC233" s="99"/>
      <c r="FD233" s="99"/>
      <c r="FE233" s="99"/>
      <c r="FF233" s="99"/>
      <c r="FG233" s="99"/>
      <c r="FH233" s="99"/>
      <c r="FI233" s="99"/>
      <c r="FJ233" s="99"/>
      <c r="FK233" s="99"/>
      <c r="FL233" s="99"/>
      <c r="FM233" s="99"/>
      <c r="FN233" s="99"/>
      <c r="FO233" s="99"/>
      <c r="FP233" s="99"/>
      <c r="FQ233" s="99"/>
      <c r="FR233" s="99"/>
      <c r="FS233" s="99"/>
      <c r="FT233" s="99"/>
      <c r="FU233" s="99"/>
      <c r="FV233" s="99"/>
      <c r="FW233" s="99"/>
      <c r="FX233" s="99"/>
      <c r="FY233" s="99"/>
      <c r="FZ233" s="99"/>
      <c r="GA233" s="99"/>
      <c r="GB233" s="99"/>
      <c r="GC233" s="99"/>
      <c r="GD233" s="99"/>
      <c r="GE233" s="99"/>
      <c r="GF233" s="99"/>
      <c r="GG233" s="99"/>
      <c r="GH233" s="99"/>
      <c r="GI233" s="99"/>
      <c r="GJ233" s="99"/>
      <c r="GK233" s="99"/>
      <c r="GL233" s="99"/>
      <c r="GM233" s="99"/>
      <c r="GN233" s="99"/>
      <c r="GO233" s="99"/>
      <c r="GP233" s="99"/>
      <c r="GQ233" s="99"/>
      <c r="GR233" s="99"/>
      <c r="GS233" s="99"/>
      <c r="GT233" s="99"/>
      <c r="GU233" s="99"/>
      <c r="GV233" s="99"/>
      <c r="GW233" s="99"/>
      <c r="GX233" s="99"/>
      <c r="GY233" s="99"/>
      <c r="GZ233" s="99"/>
      <c r="HA233" s="99"/>
      <c r="HB233" s="99"/>
      <c r="HC233" s="99"/>
      <c r="HD233" s="99"/>
      <c r="HE233" s="99"/>
      <c r="HF233" s="99"/>
      <c r="HG233" s="99"/>
      <c r="HH233" s="99"/>
      <c r="HI233" s="99"/>
      <c r="HJ233" s="99"/>
      <c r="HK233" s="99"/>
      <c r="HL233" s="99"/>
      <c r="HM233" s="99"/>
      <c r="HN233" s="99"/>
      <c r="HO233" s="99"/>
      <c r="HP233" s="99"/>
      <c r="HQ233" s="99"/>
      <c r="HR233" s="99"/>
      <c r="HS233" s="99"/>
      <c r="HT233" s="99"/>
      <c r="HU233" s="99"/>
      <c r="HV233" s="99"/>
      <c r="HW233" s="99"/>
      <c r="HX233" s="99"/>
      <c r="HY233" s="99"/>
      <c r="HZ233" s="99"/>
      <c r="IA233" s="99"/>
      <c r="IB233" s="99"/>
      <c r="IC233" s="99"/>
      <c r="ID233" s="99"/>
      <c r="IE233" s="99"/>
      <c r="IF233" s="99"/>
      <c r="IG233" s="99"/>
      <c r="IH233" s="99"/>
      <c r="II233" s="99"/>
      <c r="IJ233" s="99"/>
      <c r="IK233" s="99"/>
      <c r="IL233" s="99"/>
      <c r="IM233" s="99"/>
      <c r="IN233" s="99"/>
      <c r="IO233" s="99"/>
      <c r="IP233" s="99"/>
      <c r="IQ233" s="99"/>
      <c r="IR233" s="99"/>
      <c r="IS233" s="99"/>
      <c r="IT233" s="99"/>
      <c r="IU233" s="99"/>
      <c r="IV233" s="99"/>
    </row>
    <row r="234" spans="1:256" ht="12.75">
      <c r="A234" s="33"/>
      <c r="B234" s="33"/>
      <c r="C234" s="33"/>
      <c r="D234" s="33"/>
      <c r="E234" s="33"/>
      <c r="F234" s="33"/>
      <c r="G234" s="33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99"/>
      <c r="DE234" s="99"/>
      <c r="DF234" s="99"/>
      <c r="DG234" s="99"/>
      <c r="DH234" s="99"/>
      <c r="DI234" s="99"/>
      <c r="DJ234" s="99"/>
      <c r="DK234" s="99"/>
      <c r="DL234" s="99"/>
      <c r="DM234" s="99"/>
      <c r="DN234" s="99"/>
      <c r="DO234" s="99"/>
      <c r="DP234" s="99"/>
      <c r="DQ234" s="99"/>
      <c r="DR234" s="99"/>
      <c r="DS234" s="99"/>
      <c r="DT234" s="99"/>
      <c r="DU234" s="99"/>
      <c r="DV234" s="99"/>
      <c r="DW234" s="99"/>
      <c r="DX234" s="99"/>
      <c r="DY234" s="99"/>
      <c r="DZ234" s="99"/>
      <c r="EA234" s="99"/>
      <c r="EB234" s="99"/>
      <c r="EC234" s="99"/>
      <c r="ED234" s="99"/>
      <c r="EE234" s="99"/>
      <c r="EF234" s="99"/>
      <c r="EG234" s="99"/>
      <c r="EH234" s="99"/>
      <c r="EI234" s="99"/>
      <c r="EJ234" s="99"/>
      <c r="EK234" s="99"/>
      <c r="EL234" s="99"/>
      <c r="EM234" s="99"/>
      <c r="EN234" s="99"/>
      <c r="EO234" s="99"/>
      <c r="EP234" s="99"/>
      <c r="EQ234" s="99"/>
      <c r="ER234" s="99"/>
      <c r="ES234" s="99"/>
      <c r="ET234" s="99"/>
      <c r="EU234" s="99"/>
      <c r="EV234" s="99"/>
      <c r="EW234" s="99"/>
      <c r="EX234" s="99"/>
      <c r="EY234" s="99"/>
      <c r="EZ234" s="99"/>
      <c r="FA234" s="99"/>
      <c r="FB234" s="99"/>
      <c r="FC234" s="99"/>
      <c r="FD234" s="99"/>
      <c r="FE234" s="99"/>
      <c r="FF234" s="99"/>
      <c r="FG234" s="99"/>
      <c r="FH234" s="99"/>
      <c r="FI234" s="99"/>
      <c r="FJ234" s="99"/>
      <c r="FK234" s="99"/>
      <c r="FL234" s="99"/>
      <c r="FM234" s="99"/>
      <c r="FN234" s="99"/>
      <c r="FO234" s="99"/>
      <c r="FP234" s="99"/>
      <c r="FQ234" s="99"/>
      <c r="FR234" s="99"/>
      <c r="FS234" s="99"/>
      <c r="FT234" s="99"/>
      <c r="FU234" s="99"/>
      <c r="FV234" s="99"/>
      <c r="FW234" s="99"/>
      <c r="FX234" s="99"/>
      <c r="FY234" s="99"/>
      <c r="FZ234" s="99"/>
      <c r="GA234" s="99"/>
      <c r="GB234" s="99"/>
      <c r="GC234" s="99"/>
      <c r="GD234" s="99"/>
      <c r="GE234" s="99"/>
      <c r="GF234" s="99"/>
      <c r="GG234" s="99"/>
      <c r="GH234" s="99"/>
      <c r="GI234" s="99"/>
      <c r="GJ234" s="99"/>
      <c r="GK234" s="99"/>
      <c r="GL234" s="99"/>
      <c r="GM234" s="99"/>
      <c r="GN234" s="99"/>
      <c r="GO234" s="99"/>
      <c r="GP234" s="99"/>
      <c r="GQ234" s="99"/>
      <c r="GR234" s="99"/>
      <c r="GS234" s="99"/>
      <c r="GT234" s="99"/>
      <c r="GU234" s="99"/>
      <c r="GV234" s="99"/>
      <c r="GW234" s="99"/>
      <c r="GX234" s="99"/>
      <c r="GY234" s="99"/>
      <c r="GZ234" s="99"/>
      <c r="HA234" s="99"/>
      <c r="HB234" s="99"/>
      <c r="HC234" s="99"/>
      <c r="HD234" s="99"/>
      <c r="HE234" s="99"/>
      <c r="HF234" s="99"/>
      <c r="HG234" s="99"/>
      <c r="HH234" s="99"/>
      <c r="HI234" s="99"/>
      <c r="HJ234" s="99"/>
      <c r="HK234" s="99"/>
      <c r="HL234" s="99"/>
      <c r="HM234" s="99"/>
      <c r="HN234" s="99"/>
      <c r="HO234" s="99"/>
      <c r="HP234" s="99"/>
      <c r="HQ234" s="99"/>
      <c r="HR234" s="99"/>
      <c r="HS234" s="99"/>
      <c r="HT234" s="99"/>
      <c r="HU234" s="99"/>
      <c r="HV234" s="99"/>
      <c r="HW234" s="99"/>
      <c r="HX234" s="99"/>
      <c r="HY234" s="99"/>
      <c r="HZ234" s="99"/>
      <c r="IA234" s="99"/>
      <c r="IB234" s="99"/>
      <c r="IC234" s="99"/>
      <c r="ID234" s="99"/>
      <c r="IE234" s="99"/>
      <c r="IF234" s="99"/>
      <c r="IG234" s="99"/>
      <c r="IH234" s="99"/>
      <c r="II234" s="99"/>
      <c r="IJ234" s="99"/>
      <c r="IK234" s="99"/>
      <c r="IL234" s="99"/>
      <c r="IM234" s="99"/>
      <c r="IN234" s="99"/>
      <c r="IO234" s="99"/>
      <c r="IP234" s="99"/>
      <c r="IQ234" s="99"/>
      <c r="IR234" s="99"/>
      <c r="IS234" s="99"/>
      <c r="IT234" s="99"/>
      <c r="IU234" s="99"/>
      <c r="IV234" s="99"/>
    </row>
    <row r="235" spans="1:256" ht="12.75">
      <c r="A235" s="33"/>
      <c r="B235" s="33"/>
      <c r="C235" s="33"/>
      <c r="D235" s="33"/>
      <c r="E235" s="33"/>
      <c r="F235" s="33"/>
      <c r="G235" s="33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99"/>
      <c r="FF235" s="99"/>
      <c r="FG235" s="99"/>
      <c r="FH235" s="99"/>
      <c r="FI235" s="99"/>
      <c r="FJ235" s="99"/>
      <c r="FK235" s="99"/>
      <c r="FL235" s="99"/>
      <c r="FM235" s="99"/>
      <c r="FN235" s="99"/>
      <c r="FO235" s="99"/>
      <c r="FP235" s="99"/>
      <c r="FQ235" s="99"/>
      <c r="FR235" s="99"/>
      <c r="FS235" s="99"/>
      <c r="FT235" s="99"/>
      <c r="FU235" s="99"/>
      <c r="FV235" s="99"/>
      <c r="FW235" s="99"/>
      <c r="FX235" s="99"/>
      <c r="FY235" s="99"/>
      <c r="FZ235" s="99"/>
      <c r="GA235" s="99"/>
      <c r="GB235" s="99"/>
      <c r="GC235" s="99"/>
      <c r="GD235" s="99"/>
      <c r="GE235" s="99"/>
      <c r="GF235" s="99"/>
      <c r="GG235" s="99"/>
      <c r="GH235" s="99"/>
      <c r="GI235" s="99"/>
      <c r="GJ235" s="99"/>
      <c r="GK235" s="99"/>
      <c r="GL235" s="99"/>
      <c r="GM235" s="99"/>
      <c r="GN235" s="99"/>
      <c r="GO235" s="99"/>
      <c r="GP235" s="99"/>
      <c r="GQ235" s="99"/>
      <c r="GR235" s="99"/>
      <c r="GS235" s="99"/>
      <c r="GT235" s="99"/>
      <c r="GU235" s="99"/>
      <c r="GV235" s="99"/>
      <c r="GW235" s="99"/>
      <c r="GX235" s="99"/>
      <c r="GY235" s="99"/>
      <c r="GZ235" s="99"/>
      <c r="HA235" s="99"/>
      <c r="HB235" s="99"/>
      <c r="HC235" s="99"/>
      <c r="HD235" s="99"/>
      <c r="HE235" s="99"/>
      <c r="HF235" s="99"/>
      <c r="HG235" s="99"/>
      <c r="HH235" s="99"/>
      <c r="HI235" s="99"/>
      <c r="HJ235" s="99"/>
      <c r="HK235" s="99"/>
      <c r="HL235" s="99"/>
      <c r="HM235" s="99"/>
      <c r="HN235" s="99"/>
      <c r="HO235" s="99"/>
      <c r="HP235" s="99"/>
      <c r="HQ235" s="99"/>
      <c r="HR235" s="99"/>
      <c r="HS235" s="99"/>
      <c r="HT235" s="99"/>
      <c r="HU235" s="99"/>
      <c r="HV235" s="99"/>
      <c r="HW235" s="99"/>
      <c r="HX235" s="99"/>
      <c r="HY235" s="99"/>
      <c r="HZ235" s="99"/>
      <c r="IA235" s="99"/>
      <c r="IB235" s="99"/>
      <c r="IC235" s="99"/>
      <c r="ID235" s="99"/>
      <c r="IE235" s="99"/>
      <c r="IF235" s="99"/>
      <c r="IG235" s="99"/>
      <c r="IH235" s="99"/>
      <c r="II235" s="99"/>
      <c r="IJ235" s="99"/>
      <c r="IK235" s="99"/>
      <c r="IL235" s="99"/>
      <c r="IM235" s="99"/>
      <c r="IN235" s="99"/>
      <c r="IO235" s="99"/>
      <c r="IP235" s="99"/>
      <c r="IQ235" s="99"/>
      <c r="IR235" s="99"/>
      <c r="IS235" s="99"/>
      <c r="IT235" s="99"/>
      <c r="IU235" s="99"/>
      <c r="IV235" s="99"/>
    </row>
    <row r="236" spans="1:256" ht="12.75">
      <c r="A236" s="33"/>
      <c r="B236" s="33"/>
      <c r="C236" s="33"/>
      <c r="D236" s="33"/>
      <c r="E236" s="33"/>
      <c r="F236" s="33"/>
      <c r="G236" s="33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99"/>
      <c r="DL236" s="99"/>
      <c r="DM236" s="99"/>
      <c r="DN236" s="99"/>
      <c r="DO236" s="99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  <c r="EQ236" s="99"/>
      <c r="ER236" s="99"/>
      <c r="ES236" s="99"/>
      <c r="ET236" s="99"/>
      <c r="EU236" s="99"/>
      <c r="EV236" s="99"/>
      <c r="EW236" s="99"/>
      <c r="EX236" s="99"/>
      <c r="EY236" s="99"/>
      <c r="EZ236" s="99"/>
      <c r="FA236" s="99"/>
      <c r="FB236" s="99"/>
      <c r="FC236" s="99"/>
      <c r="FD236" s="99"/>
      <c r="FE236" s="99"/>
      <c r="FF236" s="99"/>
      <c r="FG236" s="99"/>
      <c r="FH236" s="99"/>
      <c r="FI236" s="99"/>
      <c r="FJ236" s="99"/>
      <c r="FK236" s="99"/>
      <c r="FL236" s="99"/>
      <c r="FM236" s="99"/>
      <c r="FN236" s="99"/>
      <c r="FO236" s="99"/>
      <c r="FP236" s="99"/>
      <c r="FQ236" s="99"/>
      <c r="FR236" s="99"/>
      <c r="FS236" s="99"/>
      <c r="FT236" s="99"/>
      <c r="FU236" s="99"/>
      <c r="FV236" s="99"/>
      <c r="FW236" s="99"/>
      <c r="FX236" s="99"/>
      <c r="FY236" s="99"/>
      <c r="FZ236" s="99"/>
      <c r="GA236" s="99"/>
      <c r="GB236" s="99"/>
      <c r="GC236" s="99"/>
      <c r="GD236" s="99"/>
      <c r="GE236" s="99"/>
      <c r="GF236" s="99"/>
      <c r="GG236" s="99"/>
      <c r="GH236" s="99"/>
      <c r="GI236" s="99"/>
      <c r="GJ236" s="99"/>
      <c r="GK236" s="99"/>
      <c r="GL236" s="99"/>
      <c r="GM236" s="99"/>
      <c r="GN236" s="99"/>
      <c r="GO236" s="99"/>
      <c r="GP236" s="99"/>
      <c r="GQ236" s="99"/>
      <c r="GR236" s="99"/>
      <c r="GS236" s="99"/>
      <c r="GT236" s="99"/>
      <c r="GU236" s="99"/>
      <c r="GV236" s="99"/>
      <c r="GW236" s="99"/>
      <c r="GX236" s="99"/>
      <c r="GY236" s="99"/>
      <c r="GZ236" s="99"/>
      <c r="HA236" s="99"/>
      <c r="HB236" s="99"/>
      <c r="HC236" s="99"/>
      <c r="HD236" s="99"/>
      <c r="HE236" s="99"/>
      <c r="HF236" s="99"/>
      <c r="HG236" s="99"/>
      <c r="HH236" s="99"/>
      <c r="HI236" s="99"/>
      <c r="HJ236" s="99"/>
      <c r="HK236" s="99"/>
      <c r="HL236" s="99"/>
      <c r="HM236" s="99"/>
      <c r="HN236" s="99"/>
      <c r="HO236" s="99"/>
      <c r="HP236" s="99"/>
      <c r="HQ236" s="99"/>
      <c r="HR236" s="99"/>
      <c r="HS236" s="99"/>
      <c r="HT236" s="99"/>
      <c r="HU236" s="99"/>
      <c r="HV236" s="99"/>
      <c r="HW236" s="99"/>
      <c r="HX236" s="99"/>
      <c r="HY236" s="99"/>
      <c r="HZ236" s="99"/>
      <c r="IA236" s="99"/>
      <c r="IB236" s="99"/>
      <c r="IC236" s="99"/>
      <c r="ID236" s="99"/>
      <c r="IE236" s="99"/>
      <c r="IF236" s="99"/>
      <c r="IG236" s="99"/>
      <c r="IH236" s="99"/>
      <c r="II236" s="99"/>
      <c r="IJ236" s="99"/>
      <c r="IK236" s="99"/>
      <c r="IL236" s="99"/>
      <c r="IM236" s="99"/>
      <c r="IN236" s="99"/>
      <c r="IO236" s="99"/>
      <c r="IP236" s="99"/>
      <c r="IQ236" s="99"/>
      <c r="IR236" s="99"/>
      <c r="IS236" s="99"/>
      <c r="IT236" s="99"/>
      <c r="IU236" s="99"/>
      <c r="IV236" s="99"/>
    </row>
    <row r="237" spans="1:256" ht="12.75">
      <c r="A237" s="33"/>
      <c r="B237" s="33"/>
      <c r="C237" s="33"/>
      <c r="D237" s="33"/>
      <c r="E237" s="33"/>
      <c r="F237" s="33"/>
      <c r="G237" s="33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99"/>
      <c r="DE237" s="99"/>
      <c r="DF237" s="99"/>
      <c r="DG237" s="99"/>
      <c r="DH237" s="99"/>
      <c r="DI237" s="99"/>
      <c r="DJ237" s="99"/>
      <c r="DK237" s="99"/>
      <c r="DL237" s="99"/>
      <c r="DM237" s="99"/>
      <c r="DN237" s="99"/>
      <c r="DO237" s="99"/>
      <c r="DP237" s="99"/>
      <c r="DQ237" s="99"/>
      <c r="DR237" s="99"/>
      <c r="DS237" s="99"/>
      <c r="DT237" s="99"/>
      <c r="DU237" s="99"/>
      <c r="DV237" s="99"/>
      <c r="DW237" s="99"/>
      <c r="DX237" s="99"/>
      <c r="DY237" s="99"/>
      <c r="DZ237" s="99"/>
      <c r="EA237" s="99"/>
      <c r="EB237" s="99"/>
      <c r="EC237" s="99"/>
      <c r="ED237" s="99"/>
      <c r="EE237" s="99"/>
      <c r="EF237" s="99"/>
      <c r="EG237" s="99"/>
      <c r="EH237" s="99"/>
      <c r="EI237" s="99"/>
      <c r="EJ237" s="99"/>
      <c r="EK237" s="99"/>
      <c r="EL237" s="99"/>
      <c r="EM237" s="99"/>
      <c r="EN237" s="99"/>
      <c r="EO237" s="99"/>
      <c r="EP237" s="99"/>
      <c r="EQ237" s="99"/>
      <c r="ER237" s="99"/>
      <c r="ES237" s="99"/>
      <c r="ET237" s="99"/>
      <c r="EU237" s="99"/>
      <c r="EV237" s="99"/>
      <c r="EW237" s="99"/>
      <c r="EX237" s="99"/>
      <c r="EY237" s="99"/>
      <c r="EZ237" s="99"/>
      <c r="FA237" s="99"/>
      <c r="FB237" s="99"/>
      <c r="FC237" s="99"/>
      <c r="FD237" s="99"/>
      <c r="FE237" s="99"/>
      <c r="FF237" s="99"/>
      <c r="FG237" s="99"/>
      <c r="FH237" s="99"/>
      <c r="FI237" s="99"/>
      <c r="FJ237" s="99"/>
      <c r="FK237" s="99"/>
      <c r="FL237" s="99"/>
      <c r="FM237" s="99"/>
      <c r="FN237" s="99"/>
      <c r="FO237" s="99"/>
      <c r="FP237" s="99"/>
      <c r="FQ237" s="99"/>
      <c r="FR237" s="99"/>
      <c r="FS237" s="99"/>
      <c r="FT237" s="99"/>
      <c r="FU237" s="99"/>
      <c r="FV237" s="99"/>
      <c r="FW237" s="99"/>
      <c r="FX237" s="99"/>
      <c r="FY237" s="99"/>
      <c r="FZ237" s="99"/>
      <c r="GA237" s="99"/>
      <c r="GB237" s="99"/>
      <c r="GC237" s="99"/>
      <c r="GD237" s="99"/>
      <c r="GE237" s="99"/>
      <c r="GF237" s="99"/>
      <c r="GG237" s="99"/>
      <c r="GH237" s="99"/>
      <c r="GI237" s="99"/>
      <c r="GJ237" s="99"/>
      <c r="GK237" s="99"/>
      <c r="GL237" s="99"/>
      <c r="GM237" s="99"/>
      <c r="GN237" s="99"/>
      <c r="GO237" s="99"/>
      <c r="GP237" s="99"/>
      <c r="GQ237" s="99"/>
      <c r="GR237" s="99"/>
      <c r="GS237" s="99"/>
      <c r="GT237" s="99"/>
      <c r="GU237" s="99"/>
      <c r="GV237" s="99"/>
      <c r="GW237" s="99"/>
      <c r="GX237" s="99"/>
      <c r="GY237" s="99"/>
      <c r="GZ237" s="99"/>
      <c r="HA237" s="99"/>
      <c r="HB237" s="99"/>
      <c r="HC237" s="99"/>
      <c r="HD237" s="99"/>
      <c r="HE237" s="99"/>
      <c r="HF237" s="99"/>
      <c r="HG237" s="99"/>
      <c r="HH237" s="99"/>
      <c r="HI237" s="99"/>
      <c r="HJ237" s="99"/>
      <c r="HK237" s="99"/>
      <c r="HL237" s="99"/>
      <c r="HM237" s="99"/>
      <c r="HN237" s="99"/>
      <c r="HO237" s="99"/>
      <c r="HP237" s="99"/>
      <c r="HQ237" s="99"/>
      <c r="HR237" s="99"/>
      <c r="HS237" s="99"/>
      <c r="HT237" s="99"/>
      <c r="HU237" s="99"/>
      <c r="HV237" s="99"/>
      <c r="HW237" s="99"/>
      <c r="HX237" s="99"/>
      <c r="HY237" s="99"/>
      <c r="HZ237" s="99"/>
      <c r="IA237" s="99"/>
      <c r="IB237" s="99"/>
      <c r="IC237" s="99"/>
      <c r="ID237" s="99"/>
      <c r="IE237" s="99"/>
      <c r="IF237" s="99"/>
      <c r="IG237" s="99"/>
      <c r="IH237" s="99"/>
      <c r="II237" s="99"/>
      <c r="IJ237" s="99"/>
      <c r="IK237" s="99"/>
      <c r="IL237" s="99"/>
      <c r="IM237" s="99"/>
      <c r="IN237" s="99"/>
      <c r="IO237" s="99"/>
      <c r="IP237" s="99"/>
      <c r="IQ237" s="99"/>
      <c r="IR237" s="99"/>
      <c r="IS237" s="99"/>
      <c r="IT237" s="99"/>
      <c r="IU237" s="99"/>
      <c r="IV237" s="99"/>
    </row>
    <row r="238" spans="1:256" ht="12.75">
      <c r="A238" s="33"/>
      <c r="B238" s="33"/>
      <c r="C238" s="33"/>
      <c r="D238" s="33"/>
      <c r="E238" s="33"/>
      <c r="F238" s="33"/>
      <c r="G238" s="33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  <c r="DA238" s="99"/>
      <c r="DB238" s="99"/>
      <c r="DC238" s="99"/>
      <c r="DD238" s="99"/>
      <c r="DE238" s="99"/>
      <c r="DF238" s="99"/>
      <c r="DG238" s="99"/>
      <c r="DH238" s="99"/>
      <c r="DI238" s="99"/>
      <c r="DJ238" s="99"/>
      <c r="DK238" s="99"/>
      <c r="DL238" s="99"/>
      <c r="DM238" s="99"/>
      <c r="DN238" s="99"/>
      <c r="DO238" s="99"/>
      <c r="DP238" s="99"/>
      <c r="DQ238" s="99"/>
      <c r="DR238" s="99"/>
      <c r="DS238" s="99"/>
      <c r="DT238" s="99"/>
      <c r="DU238" s="99"/>
      <c r="DV238" s="99"/>
      <c r="DW238" s="99"/>
      <c r="DX238" s="99"/>
      <c r="DY238" s="99"/>
      <c r="DZ238" s="99"/>
      <c r="EA238" s="99"/>
      <c r="EB238" s="99"/>
      <c r="EC238" s="99"/>
      <c r="ED238" s="99"/>
      <c r="EE238" s="99"/>
      <c r="EF238" s="99"/>
      <c r="EG238" s="99"/>
      <c r="EH238" s="99"/>
      <c r="EI238" s="99"/>
      <c r="EJ238" s="99"/>
      <c r="EK238" s="99"/>
      <c r="EL238" s="99"/>
      <c r="EM238" s="99"/>
      <c r="EN238" s="99"/>
      <c r="EO238" s="99"/>
      <c r="EP238" s="99"/>
      <c r="EQ238" s="99"/>
      <c r="ER238" s="99"/>
      <c r="ES238" s="99"/>
      <c r="ET238" s="99"/>
      <c r="EU238" s="99"/>
      <c r="EV238" s="99"/>
      <c r="EW238" s="99"/>
      <c r="EX238" s="99"/>
      <c r="EY238" s="99"/>
      <c r="EZ238" s="99"/>
      <c r="FA238" s="99"/>
      <c r="FB238" s="99"/>
      <c r="FC238" s="99"/>
      <c r="FD238" s="99"/>
      <c r="FE238" s="99"/>
      <c r="FF238" s="99"/>
      <c r="FG238" s="99"/>
      <c r="FH238" s="99"/>
      <c r="FI238" s="99"/>
      <c r="FJ238" s="99"/>
      <c r="FK238" s="99"/>
      <c r="FL238" s="99"/>
      <c r="FM238" s="99"/>
      <c r="FN238" s="99"/>
      <c r="FO238" s="99"/>
      <c r="FP238" s="99"/>
      <c r="FQ238" s="99"/>
      <c r="FR238" s="99"/>
      <c r="FS238" s="99"/>
      <c r="FT238" s="99"/>
      <c r="FU238" s="99"/>
      <c r="FV238" s="99"/>
      <c r="FW238" s="99"/>
      <c r="FX238" s="99"/>
      <c r="FY238" s="99"/>
      <c r="FZ238" s="99"/>
      <c r="GA238" s="99"/>
      <c r="GB238" s="99"/>
      <c r="GC238" s="99"/>
      <c r="GD238" s="99"/>
      <c r="GE238" s="99"/>
      <c r="GF238" s="99"/>
      <c r="GG238" s="99"/>
      <c r="GH238" s="99"/>
      <c r="GI238" s="99"/>
      <c r="GJ238" s="99"/>
      <c r="GK238" s="99"/>
      <c r="GL238" s="99"/>
      <c r="GM238" s="99"/>
      <c r="GN238" s="99"/>
      <c r="GO238" s="99"/>
      <c r="GP238" s="99"/>
      <c r="GQ238" s="99"/>
      <c r="GR238" s="99"/>
      <c r="GS238" s="99"/>
      <c r="GT238" s="99"/>
      <c r="GU238" s="99"/>
      <c r="GV238" s="99"/>
      <c r="GW238" s="99"/>
      <c r="GX238" s="99"/>
      <c r="GY238" s="99"/>
      <c r="GZ238" s="99"/>
      <c r="HA238" s="99"/>
      <c r="HB238" s="99"/>
      <c r="HC238" s="99"/>
      <c r="HD238" s="99"/>
      <c r="HE238" s="99"/>
      <c r="HF238" s="99"/>
      <c r="HG238" s="99"/>
      <c r="HH238" s="99"/>
      <c r="HI238" s="99"/>
      <c r="HJ238" s="99"/>
      <c r="HK238" s="99"/>
      <c r="HL238" s="99"/>
      <c r="HM238" s="99"/>
      <c r="HN238" s="99"/>
      <c r="HO238" s="99"/>
      <c r="HP238" s="99"/>
      <c r="HQ238" s="99"/>
      <c r="HR238" s="99"/>
      <c r="HS238" s="99"/>
      <c r="HT238" s="99"/>
      <c r="HU238" s="99"/>
      <c r="HV238" s="99"/>
      <c r="HW238" s="99"/>
      <c r="HX238" s="99"/>
      <c r="HY238" s="99"/>
      <c r="HZ238" s="99"/>
      <c r="IA238" s="99"/>
      <c r="IB238" s="99"/>
      <c r="IC238" s="99"/>
      <c r="ID238" s="99"/>
      <c r="IE238" s="99"/>
      <c r="IF238" s="99"/>
      <c r="IG238" s="99"/>
      <c r="IH238" s="99"/>
      <c r="II238" s="99"/>
      <c r="IJ238" s="99"/>
      <c r="IK238" s="99"/>
      <c r="IL238" s="99"/>
      <c r="IM238" s="99"/>
      <c r="IN238" s="99"/>
      <c r="IO238" s="99"/>
      <c r="IP238" s="99"/>
      <c r="IQ238" s="99"/>
      <c r="IR238" s="99"/>
      <c r="IS238" s="99"/>
      <c r="IT238" s="99"/>
      <c r="IU238" s="99"/>
      <c r="IV238" s="99"/>
    </row>
    <row r="239" spans="1:256" ht="12.75">
      <c r="A239" s="33"/>
      <c r="B239" s="33"/>
      <c r="C239" s="33"/>
      <c r="D239" s="33"/>
      <c r="E239" s="33"/>
      <c r="F239" s="33"/>
      <c r="G239" s="33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  <c r="CZ239" s="99"/>
      <c r="DA239" s="99"/>
      <c r="DB239" s="99"/>
      <c r="DC239" s="99"/>
      <c r="DD239" s="99"/>
      <c r="DE239" s="99"/>
      <c r="DF239" s="99"/>
      <c r="DG239" s="99"/>
      <c r="DH239" s="99"/>
      <c r="DI239" s="99"/>
      <c r="DJ239" s="99"/>
      <c r="DK239" s="99"/>
      <c r="DL239" s="99"/>
      <c r="DM239" s="99"/>
      <c r="DN239" s="99"/>
      <c r="DO239" s="99"/>
      <c r="DP239" s="99"/>
      <c r="DQ239" s="99"/>
      <c r="DR239" s="99"/>
      <c r="DS239" s="99"/>
      <c r="DT239" s="99"/>
      <c r="DU239" s="99"/>
      <c r="DV239" s="99"/>
      <c r="DW239" s="99"/>
      <c r="DX239" s="99"/>
      <c r="DY239" s="99"/>
      <c r="DZ239" s="99"/>
      <c r="EA239" s="99"/>
      <c r="EB239" s="99"/>
      <c r="EC239" s="99"/>
      <c r="ED239" s="99"/>
      <c r="EE239" s="99"/>
      <c r="EF239" s="99"/>
      <c r="EG239" s="99"/>
      <c r="EH239" s="99"/>
      <c r="EI239" s="99"/>
      <c r="EJ239" s="99"/>
      <c r="EK239" s="99"/>
      <c r="EL239" s="99"/>
      <c r="EM239" s="99"/>
      <c r="EN239" s="99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  <c r="FA239" s="99"/>
      <c r="FB239" s="99"/>
      <c r="FC239" s="99"/>
      <c r="FD239" s="99"/>
      <c r="FE239" s="99"/>
      <c r="FF239" s="99"/>
      <c r="FG239" s="99"/>
      <c r="FH239" s="99"/>
      <c r="FI239" s="99"/>
      <c r="FJ239" s="99"/>
      <c r="FK239" s="99"/>
      <c r="FL239" s="99"/>
      <c r="FM239" s="99"/>
      <c r="FN239" s="99"/>
      <c r="FO239" s="99"/>
      <c r="FP239" s="99"/>
      <c r="FQ239" s="99"/>
      <c r="FR239" s="99"/>
      <c r="FS239" s="99"/>
      <c r="FT239" s="99"/>
      <c r="FU239" s="99"/>
      <c r="FV239" s="99"/>
      <c r="FW239" s="99"/>
      <c r="FX239" s="99"/>
      <c r="FY239" s="99"/>
      <c r="FZ239" s="99"/>
      <c r="GA239" s="99"/>
      <c r="GB239" s="99"/>
      <c r="GC239" s="99"/>
      <c r="GD239" s="99"/>
      <c r="GE239" s="99"/>
      <c r="GF239" s="99"/>
      <c r="GG239" s="99"/>
      <c r="GH239" s="99"/>
      <c r="GI239" s="99"/>
      <c r="GJ239" s="99"/>
      <c r="GK239" s="99"/>
      <c r="GL239" s="99"/>
      <c r="GM239" s="99"/>
      <c r="GN239" s="99"/>
      <c r="GO239" s="99"/>
      <c r="GP239" s="99"/>
      <c r="GQ239" s="99"/>
      <c r="GR239" s="99"/>
      <c r="GS239" s="99"/>
      <c r="GT239" s="99"/>
      <c r="GU239" s="99"/>
      <c r="GV239" s="99"/>
      <c r="GW239" s="99"/>
      <c r="GX239" s="99"/>
      <c r="GY239" s="99"/>
      <c r="GZ239" s="99"/>
      <c r="HA239" s="99"/>
      <c r="HB239" s="99"/>
      <c r="HC239" s="99"/>
      <c r="HD239" s="99"/>
      <c r="HE239" s="99"/>
      <c r="HF239" s="99"/>
      <c r="HG239" s="99"/>
      <c r="HH239" s="99"/>
      <c r="HI239" s="99"/>
      <c r="HJ239" s="99"/>
      <c r="HK239" s="99"/>
      <c r="HL239" s="99"/>
      <c r="HM239" s="99"/>
      <c r="HN239" s="99"/>
      <c r="HO239" s="99"/>
      <c r="HP239" s="99"/>
      <c r="HQ239" s="99"/>
      <c r="HR239" s="99"/>
      <c r="HS239" s="99"/>
      <c r="HT239" s="99"/>
      <c r="HU239" s="99"/>
      <c r="HV239" s="99"/>
      <c r="HW239" s="99"/>
      <c r="HX239" s="99"/>
      <c r="HY239" s="99"/>
      <c r="HZ239" s="99"/>
      <c r="IA239" s="99"/>
      <c r="IB239" s="99"/>
      <c r="IC239" s="99"/>
      <c r="ID239" s="99"/>
      <c r="IE239" s="99"/>
      <c r="IF239" s="99"/>
      <c r="IG239" s="99"/>
      <c r="IH239" s="99"/>
      <c r="II239" s="99"/>
      <c r="IJ239" s="99"/>
      <c r="IK239" s="99"/>
      <c r="IL239" s="99"/>
      <c r="IM239" s="99"/>
      <c r="IN239" s="99"/>
      <c r="IO239" s="99"/>
      <c r="IP239" s="99"/>
      <c r="IQ239" s="99"/>
      <c r="IR239" s="99"/>
      <c r="IS239" s="99"/>
      <c r="IT239" s="99"/>
      <c r="IU239" s="99"/>
      <c r="IV239" s="99"/>
    </row>
    <row r="240" spans="1:256" ht="12.75">
      <c r="A240" s="33"/>
      <c r="B240" s="33"/>
      <c r="C240" s="33"/>
      <c r="D240" s="33"/>
      <c r="E240" s="33"/>
      <c r="F240" s="33"/>
      <c r="G240" s="33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  <c r="CW240" s="99"/>
      <c r="CX240" s="99"/>
      <c r="CY240" s="99"/>
      <c r="CZ240" s="99"/>
      <c r="DA240" s="99"/>
      <c r="DB240" s="99"/>
      <c r="DC240" s="99"/>
      <c r="DD240" s="99"/>
      <c r="DE240" s="99"/>
      <c r="DF240" s="99"/>
      <c r="DG240" s="99"/>
      <c r="DH240" s="99"/>
      <c r="DI240" s="99"/>
      <c r="DJ240" s="99"/>
      <c r="DK240" s="99"/>
      <c r="DL240" s="99"/>
      <c r="DM240" s="99"/>
      <c r="DN240" s="99"/>
      <c r="DO240" s="99"/>
      <c r="DP240" s="99"/>
      <c r="DQ240" s="99"/>
      <c r="DR240" s="99"/>
      <c r="DS240" s="99"/>
      <c r="DT240" s="99"/>
      <c r="DU240" s="99"/>
      <c r="DV240" s="99"/>
      <c r="DW240" s="99"/>
      <c r="DX240" s="99"/>
      <c r="DY240" s="99"/>
      <c r="DZ240" s="99"/>
      <c r="EA240" s="99"/>
      <c r="EB240" s="99"/>
      <c r="EC240" s="99"/>
      <c r="ED240" s="99"/>
      <c r="EE240" s="99"/>
      <c r="EF240" s="99"/>
      <c r="EG240" s="99"/>
      <c r="EH240" s="99"/>
      <c r="EI240" s="99"/>
      <c r="EJ240" s="99"/>
      <c r="EK240" s="99"/>
      <c r="EL240" s="99"/>
      <c r="EM240" s="99"/>
      <c r="EN240" s="99"/>
      <c r="EO240" s="99"/>
      <c r="EP240" s="99"/>
      <c r="EQ240" s="99"/>
      <c r="ER240" s="99"/>
      <c r="ES240" s="99"/>
      <c r="ET240" s="99"/>
      <c r="EU240" s="99"/>
      <c r="EV240" s="99"/>
      <c r="EW240" s="99"/>
      <c r="EX240" s="99"/>
      <c r="EY240" s="99"/>
      <c r="EZ240" s="99"/>
      <c r="FA240" s="99"/>
      <c r="FB240" s="99"/>
      <c r="FC240" s="99"/>
      <c r="FD240" s="99"/>
      <c r="FE240" s="99"/>
      <c r="FF240" s="99"/>
      <c r="FG240" s="99"/>
      <c r="FH240" s="99"/>
      <c r="FI240" s="99"/>
      <c r="FJ240" s="99"/>
      <c r="FK240" s="99"/>
      <c r="FL240" s="99"/>
      <c r="FM240" s="99"/>
      <c r="FN240" s="99"/>
      <c r="FO240" s="99"/>
      <c r="FP240" s="99"/>
      <c r="FQ240" s="99"/>
      <c r="FR240" s="99"/>
      <c r="FS240" s="99"/>
      <c r="FT240" s="99"/>
      <c r="FU240" s="99"/>
      <c r="FV240" s="99"/>
      <c r="FW240" s="99"/>
      <c r="FX240" s="99"/>
      <c r="FY240" s="99"/>
      <c r="FZ240" s="99"/>
      <c r="GA240" s="99"/>
      <c r="GB240" s="99"/>
      <c r="GC240" s="99"/>
      <c r="GD240" s="99"/>
      <c r="GE240" s="99"/>
      <c r="GF240" s="99"/>
      <c r="GG240" s="99"/>
      <c r="GH240" s="99"/>
      <c r="GI240" s="99"/>
      <c r="GJ240" s="99"/>
      <c r="GK240" s="99"/>
      <c r="GL240" s="99"/>
      <c r="GM240" s="99"/>
      <c r="GN240" s="99"/>
      <c r="GO240" s="99"/>
      <c r="GP240" s="99"/>
      <c r="GQ240" s="99"/>
      <c r="GR240" s="99"/>
      <c r="GS240" s="99"/>
      <c r="GT240" s="99"/>
      <c r="GU240" s="99"/>
      <c r="GV240" s="99"/>
      <c r="GW240" s="99"/>
      <c r="GX240" s="99"/>
      <c r="GY240" s="99"/>
      <c r="GZ240" s="99"/>
      <c r="HA240" s="99"/>
      <c r="HB240" s="99"/>
      <c r="HC240" s="99"/>
      <c r="HD240" s="99"/>
      <c r="HE240" s="99"/>
      <c r="HF240" s="99"/>
      <c r="HG240" s="99"/>
      <c r="HH240" s="99"/>
      <c r="HI240" s="99"/>
      <c r="HJ240" s="99"/>
      <c r="HK240" s="99"/>
      <c r="HL240" s="99"/>
      <c r="HM240" s="99"/>
      <c r="HN240" s="99"/>
      <c r="HO240" s="99"/>
      <c r="HP240" s="99"/>
      <c r="HQ240" s="99"/>
      <c r="HR240" s="99"/>
      <c r="HS240" s="99"/>
      <c r="HT240" s="99"/>
      <c r="HU240" s="99"/>
      <c r="HV240" s="99"/>
      <c r="HW240" s="99"/>
      <c r="HX240" s="99"/>
      <c r="HY240" s="99"/>
      <c r="HZ240" s="99"/>
      <c r="IA240" s="99"/>
      <c r="IB240" s="99"/>
      <c r="IC240" s="99"/>
      <c r="ID240" s="99"/>
      <c r="IE240" s="99"/>
      <c r="IF240" s="99"/>
      <c r="IG240" s="99"/>
      <c r="IH240" s="99"/>
      <c r="II240" s="99"/>
      <c r="IJ240" s="99"/>
      <c r="IK240" s="99"/>
      <c r="IL240" s="99"/>
      <c r="IM240" s="99"/>
      <c r="IN240" s="99"/>
      <c r="IO240" s="99"/>
      <c r="IP240" s="99"/>
      <c r="IQ240" s="99"/>
      <c r="IR240" s="99"/>
      <c r="IS240" s="99"/>
      <c r="IT240" s="99"/>
      <c r="IU240" s="99"/>
      <c r="IV240" s="99"/>
    </row>
    <row r="241" spans="1:256" ht="12.75">
      <c r="A241" s="33"/>
      <c r="B241" s="33"/>
      <c r="C241" s="33"/>
      <c r="D241" s="33"/>
      <c r="E241" s="33"/>
      <c r="F241" s="33"/>
      <c r="G241" s="33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  <c r="CW241" s="99"/>
      <c r="CX241" s="99"/>
      <c r="CY241" s="99"/>
      <c r="CZ241" s="99"/>
      <c r="DA241" s="99"/>
      <c r="DB241" s="99"/>
      <c r="DC241" s="99"/>
      <c r="DD241" s="99"/>
      <c r="DE241" s="99"/>
      <c r="DF241" s="99"/>
      <c r="DG241" s="99"/>
      <c r="DH241" s="99"/>
      <c r="DI241" s="99"/>
      <c r="DJ241" s="99"/>
      <c r="DK241" s="99"/>
      <c r="DL241" s="99"/>
      <c r="DM241" s="99"/>
      <c r="DN241" s="99"/>
      <c r="DO241" s="99"/>
      <c r="DP241" s="99"/>
      <c r="DQ241" s="99"/>
      <c r="DR241" s="99"/>
      <c r="DS241" s="99"/>
      <c r="DT241" s="99"/>
      <c r="DU241" s="99"/>
      <c r="DV241" s="99"/>
      <c r="DW241" s="99"/>
      <c r="DX241" s="99"/>
      <c r="DY241" s="99"/>
      <c r="DZ241" s="99"/>
      <c r="EA241" s="99"/>
      <c r="EB241" s="99"/>
      <c r="EC241" s="99"/>
      <c r="ED241" s="99"/>
      <c r="EE241" s="99"/>
      <c r="EF241" s="99"/>
      <c r="EG241" s="99"/>
      <c r="EH241" s="99"/>
      <c r="EI241" s="99"/>
      <c r="EJ241" s="99"/>
      <c r="EK241" s="99"/>
      <c r="EL241" s="99"/>
      <c r="EM241" s="99"/>
      <c r="EN241" s="99"/>
      <c r="EO241" s="99"/>
      <c r="EP241" s="99"/>
      <c r="EQ241" s="99"/>
      <c r="ER241" s="99"/>
      <c r="ES241" s="99"/>
      <c r="ET241" s="99"/>
      <c r="EU241" s="99"/>
      <c r="EV241" s="99"/>
      <c r="EW241" s="99"/>
      <c r="EX241" s="99"/>
      <c r="EY241" s="99"/>
      <c r="EZ241" s="99"/>
      <c r="FA241" s="99"/>
      <c r="FB241" s="99"/>
      <c r="FC241" s="99"/>
      <c r="FD241" s="99"/>
      <c r="FE241" s="99"/>
      <c r="FF241" s="99"/>
      <c r="FG241" s="99"/>
      <c r="FH241" s="99"/>
      <c r="FI241" s="99"/>
      <c r="FJ241" s="99"/>
      <c r="FK241" s="99"/>
      <c r="FL241" s="99"/>
      <c r="FM241" s="99"/>
      <c r="FN241" s="99"/>
      <c r="FO241" s="99"/>
      <c r="FP241" s="99"/>
      <c r="FQ241" s="99"/>
      <c r="FR241" s="99"/>
      <c r="FS241" s="99"/>
      <c r="FT241" s="99"/>
      <c r="FU241" s="99"/>
      <c r="FV241" s="99"/>
      <c r="FW241" s="99"/>
      <c r="FX241" s="99"/>
      <c r="FY241" s="99"/>
      <c r="FZ241" s="99"/>
      <c r="GA241" s="99"/>
      <c r="GB241" s="99"/>
      <c r="GC241" s="99"/>
      <c r="GD241" s="99"/>
      <c r="GE241" s="99"/>
      <c r="GF241" s="99"/>
      <c r="GG241" s="99"/>
      <c r="GH241" s="99"/>
      <c r="GI241" s="99"/>
      <c r="GJ241" s="99"/>
      <c r="GK241" s="99"/>
      <c r="GL241" s="99"/>
      <c r="GM241" s="99"/>
      <c r="GN241" s="99"/>
      <c r="GO241" s="99"/>
      <c r="GP241" s="99"/>
      <c r="GQ241" s="99"/>
      <c r="GR241" s="99"/>
      <c r="GS241" s="99"/>
      <c r="GT241" s="99"/>
      <c r="GU241" s="99"/>
      <c r="GV241" s="99"/>
      <c r="GW241" s="99"/>
      <c r="GX241" s="99"/>
      <c r="GY241" s="99"/>
      <c r="GZ241" s="99"/>
      <c r="HA241" s="99"/>
      <c r="HB241" s="99"/>
      <c r="HC241" s="99"/>
      <c r="HD241" s="99"/>
      <c r="HE241" s="99"/>
      <c r="HF241" s="99"/>
      <c r="HG241" s="99"/>
      <c r="HH241" s="99"/>
      <c r="HI241" s="99"/>
      <c r="HJ241" s="99"/>
      <c r="HK241" s="99"/>
      <c r="HL241" s="99"/>
      <c r="HM241" s="99"/>
      <c r="HN241" s="99"/>
      <c r="HO241" s="99"/>
      <c r="HP241" s="99"/>
      <c r="HQ241" s="99"/>
      <c r="HR241" s="99"/>
      <c r="HS241" s="99"/>
      <c r="HT241" s="99"/>
      <c r="HU241" s="99"/>
      <c r="HV241" s="99"/>
      <c r="HW241" s="99"/>
      <c r="HX241" s="99"/>
      <c r="HY241" s="99"/>
      <c r="HZ241" s="99"/>
      <c r="IA241" s="99"/>
      <c r="IB241" s="99"/>
      <c r="IC241" s="99"/>
      <c r="ID241" s="99"/>
      <c r="IE241" s="99"/>
      <c r="IF241" s="99"/>
      <c r="IG241" s="99"/>
      <c r="IH241" s="99"/>
      <c r="II241" s="99"/>
      <c r="IJ241" s="99"/>
      <c r="IK241" s="99"/>
      <c r="IL241" s="99"/>
      <c r="IM241" s="99"/>
      <c r="IN241" s="99"/>
      <c r="IO241" s="99"/>
      <c r="IP241" s="99"/>
      <c r="IQ241" s="99"/>
      <c r="IR241" s="99"/>
      <c r="IS241" s="99"/>
      <c r="IT241" s="99"/>
      <c r="IU241" s="99"/>
      <c r="IV241" s="99"/>
    </row>
    <row r="242" spans="1:256" ht="12.75">
      <c r="A242" s="33"/>
      <c r="B242" s="33"/>
      <c r="C242" s="33"/>
      <c r="D242" s="33"/>
      <c r="E242" s="33"/>
      <c r="F242" s="33"/>
      <c r="G242" s="33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99"/>
      <c r="DE242" s="99"/>
      <c r="DF242" s="99"/>
      <c r="DG242" s="99"/>
      <c r="DH242" s="99"/>
      <c r="DI242" s="99"/>
      <c r="DJ242" s="99"/>
      <c r="DK242" s="99"/>
      <c r="DL242" s="99"/>
      <c r="DM242" s="99"/>
      <c r="DN242" s="99"/>
      <c r="DO242" s="99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  <c r="FB242" s="99"/>
      <c r="FC242" s="99"/>
      <c r="FD242" s="99"/>
      <c r="FE242" s="99"/>
      <c r="FF242" s="99"/>
      <c r="FG242" s="99"/>
      <c r="FH242" s="99"/>
      <c r="FI242" s="99"/>
      <c r="FJ242" s="99"/>
      <c r="FK242" s="99"/>
      <c r="FL242" s="99"/>
      <c r="FM242" s="99"/>
      <c r="FN242" s="99"/>
      <c r="FO242" s="99"/>
      <c r="FP242" s="99"/>
      <c r="FQ242" s="99"/>
      <c r="FR242" s="99"/>
      <c r="FS242" s="99"/>
      <c r="FT242" s="99"/>
      <c r="FU242" s="99"/>
      <c r="FV242" s="99"/>
      <c r="FW242" s="99"/>
      <c r="FX242" s="99"/>
      <c r="FY242" s="99"/>
      <c r="FZ242" s="99"/>
      <c r="GA242" s="99"/>
      <c r="GB242" s="99"/>
      <c r="GC242" s="99"/>
      <c r="GD242" s="99"/>
      <c r="GE242" s="99"/>
      <c r="GF242" s="99"/>
      <c r="GG242" s="99"/>
      <c r="GH242" s="99"/>
      <c r="GI242" s="99"/>
      <c r="GJ242" s="99"/>
      <c r="GK242" s="99"/>
      <c r="GL242" s="99"/>
      <c r="GM242" s="99"/>
      <c r="GN242" s="99"/>
      <c r="GO242" s="99"/>
      <c r="GP242" s="99"/>
      <c r="GQ242" s="99"/>
      <c r="GR242" s="99"/>
      <c r="GS242" s="99"/>
      <c r="GT242" s="99"/>
      <c r="GU242" s="99"/>
      <c r="GV242" s="99"/>
      <c r="GW242" s="99"/>
      <c r="GX242" s="99"/>
      <c r="GY242" s="99"/>
      <c r="GZ242" s="99"/>
      <c r="HA242" s="99"/>
      <c r="HB242" s="99"/>
      <c r="HC242" s="99"/>
      <c r="HD242" s="99"/>
      <c r="HE242" s="99"/>
      <c r="HF242" s="99"/>
      <c r="HG242" s="99"/>
      <c r="HH242" s="99"/>
      <c r="HI242" s="99"/>
      <c r="HJ242" s="99"/>
      <c r="HK242" s="99"/>
      <c r="HL242" s="99"/>
      <c r="HM242" s="99"/>
      <c r="HN242" s="99"/>
      <c r="HO242" s="99"/>
      <c r="HP242" s="99"/>
      <c r="HQ242" s="99"/>
      <c r="HR242" s="99"/>
      <c r="HS242" s="99"/>
      <c r="HT242" s="99"/>
      <c r="HU242" s="99"/>
      <c r="HV242" s="99"/>
      <c r="HW242" s="99"/>
      <c r="HX242" s="99"/>
      <c r="HY242" s="99"/>
      <c r="HZ242" s="99"/>
      <c r="IA242" s="99"/>
      <c r="IB242" s="99"/>
      <c r="IC242" s="99"/>
      <c r="ID242" s="99"/>
      <c r="IE242" s="99"/>
      <c r="IF242" s="99"/>
      <c r="IG242" s="99"/>
      <c r="IH242" s="99"/>
      <c r="II242" s="99"/>
      <c r="IJ242" s="99"/>
      <c r="IK242" s="99"/>
      <c r="IL242" s="99"/>
      <c r="IM242" s="99"/>
      <c r="IN242" s="99"/>
      <c r="IO242" s="99"/>
      <c r="IP242" s="99"/>
      <c r="IQ242" s="99"/>
      <c r="IR242" s="99"/>
      <c r="IS242" s="99"/>
      <c r="IT242" s="99"/>
      <c r="IU242" s="99"/>
      <c r="IV242" s="99"/>
    </row>
    <row r="243" spans="1:256" ht="12.75">
      <c r="A243" s="33"/>
      <c r="B243" s="33"/>
      <c r="C243" s="33"/>
      <c r="D243" s="33"/>
      <c r="E243" s="33"/>
      <c r="F243" s="33"/>
      <c r="G243" s="33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  <c r="DC243" s="99"/>
      <c r="DD243" s="99"/>
      <c r="DE243" s="99"/>
      <c r="DF243" s="99"/>
      <c r="DG243" s="99"/>
      <c r="DH243" s="99"/>
      <c r="DI243" s="99"/>
      <c r="DJ243" s="99"/>
      <c r="DK243" s="99"/>
      <c r="DL243" s="99"/>
      <c r="DM243" s="99"/>
      <c r="DN243" s="99"/>
      <c r="DO243" s="99"/>
      <c r="DP243" s="99"/>
      <c r="DQ243" s="99"/>
      <c r="DR243" s="99"/>
      <c r="DS243" s="99"/>
      <c r="DT243" s="99"/>
      <c r="DU243" s="99"/>
      <c r="DV243" s="99"/>
      <c r="DW243" s="99"/>
      <c r="DX243" s="99"/>
      <c r="DY243" s="99"/>
      <c r="DZ243" s="99"/>
      <c r="EA243" s="99"/>
      <c r="EB243" s="99"/>
      <c r="EC243" s="99"/>
      <c r="ED243" s="99"/>
      <c r="EE243" s="99"/>
      <c r="EF243" s="99"/>
      <c r="EG243" s="99"/>
      <c r="EH243" s="99"/>
      <c r="EI243" s="99"/>
      <c r="EJ243" s="99"/>
      <c r="EK243" s="99"/>
      <c r="EL243" s="99"/>
      <c r="EM243" s="99"/>
      <c r="EN243" s="99"/>
      <c r="EO243" s="99"/>
      <c r="EP243" s="99"/>
      <c r="EQ243" s="99"/>
      <c r="ER243" s="99"/>
      <c r="ES243" s="99"/>
      <c r="ET243" s="99"/>
      <c r="EU243" s="99"/>
      <c r="EV243" s="99"/>
      <c r="EW243" s="99"/>
      <c r="EX243" s="99"/>
      <c r="EY243" s="99"/>
      <c r="EZ243" s="99"/>
      <c r="FA243" s="99"/>
      <c r="FB243" s="99"/>
      <c r="FC243" s="99"/>
      <c r="FD243" s="99"/>
      <c r="FE243" s="99"/>
      <c r="FF243" s="99"/>
      <c r="FG243" s="99"/>
      <c r="FH243" s="99"/>
      <c r="FI243" s="99"/>
      <c r="FJ243" s="99"/>
      <c r="FK243" s="99"/>
      <c r="FL243" s="99"/>
      <c r="FM243" s="99"/>
      <c r="FN243" s="99"/>
      <c r="FO243" s="99"/>
      <c r="FP243" s="99"/>
      <c r="FQ243" s="99"/>
      <c r="FR243" s="99"/>
      <c r="FS243" s="99"/>
      <c r="FT243" s="99"/>
      <c r="FU243" s="99"/>
      <c r="FV243" s="99"/>
      <c r="FW243" s="99"/>
      <c r="FX243" s="99"/>
      <c r="FY243" s="99"/>
      <c r="FZ243" s="99"/>
      <c r="GA243" s="99"/>
      <c r="GB243" s="99"/>
      <c r="GC243" s="99"/>
      <c r="GD243" s="99"/>
      <c r="GE243" s="99"/>
      <c r="GF243" s="99"/>
      <c r="GG243" s="99"/>
      <c r="GH243" s="99"/>
      <c r="GI243" s="99"/>
      <c r="GJ243" s="99"/>
      <c r="GK243" s="99"/>
      <c r="GL243" s="99"/>
      <c r="GM243" s="99"/>
      <c r="GN243" s="99"/>
      <c r="GO243" s="99"/>
      <c r="GP243" s="99"/>
      <c r="GQ243" s="99"/>
      <c r="GR243" s="99"/>
      <c r="GS243" s="99"/>
      <c r="GT243" s="99"/>
      <c r="GU243" s="99"/>
      <c r="GV243" s="99"/>
      <c r="GW243" s="99"/>
      <c r="GX243" s="99"/>
      <c r="GY243" s="99"/>
      <c r="GZ243" s="99"/>
      <c r="HA243" s="99"/>
      <c r="HB243" s="99"/>
      <c r="HC243" s="99"/>
      <c r="HD243" s="99"/>
      <c r="HE243" s="99"/>
      <c r="HF243" s="99"/>
      <c r="HG243" s="99"/>
      <c r="HH243" s="99"/>
      <c r="HI243" s="99"/>
      <c r="HJ243" s="99"/>
      <c r="HK243" s="99"/>
      <c r="HL243" s="99"/>
      <c r="HM243" s="99"/>
      <c r="HN243" s="99"/>
      <c r="HO243" s="99"/>
      <c r="HP243" s="99"/>
      <c r="HQ243" s="99"/>
      <c r="HR243" s="99"/>
      <c r="HS243" s="99"/>
      <c r="HT243" s="99"/>
      <c r="HU243" s="99"/>
      <c r="HV243" s="99"/>
      <c r="HW243" s="99"/>
      <c r="HX243" s="99"/>
      <c r="HY243" s="99"/>
      <c r="HZ243" s="99"/>
      <c r="IA243" s="99"/>
      <c r="IB243" s="99"/>
      <c r="IC243" s="99"/>
      <c r="ID243" s="99"/>
      <c r="IE243" s="99"/>
      <c r="IF243" s="99"/>
      <c r="IG243" s="99"/>
      <c r="IH243" s="99"/>
      <c r="II243" s="99"/>
      <c r="IJ243" s="99"/>
      <c r="IK243" s="99"/>
      <c r="IL243" s="99"/>
      <c r="IM243" s="99"/>
      <c r="IN243" s="99"/>
      <c r="IO243" s="99"/>
      <c r="IP243" s="99"/>
      <c r="IQ243" s="99"/>
      <c r="IR243" s="99"/>
      <c r="IS243" s="99"/>
      <c r="IT243" s="99"/>
      <c r="IU243" s="99"/>
      <c r="IV243" s="99"/>
    </row>
    <row r="244" spans="1:256" ht="12.75">
      <c r="A244" s="33"/>
      <c r="B244" s="33"/>
      <c r="C244" s="33"/>
      <c r="D244" s="33"/>
      <c r="E244" s="33"/>
      <c r="F244" s="33"/>
      <c r="G244" s="33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  <c r="DC244" s="99"/>
      <c r="DD244" s="99"/>
      <c r="DE244" s="99"/>
      <c r="DF244" s="99"/>
      <c r="DG244" s="99"/>
      <c r="DH244" s="99"/>
      <c r="DI244" s="99"/>
      <c r="DJ244" s="99"/>
      <c r="DK244" s="99"/>
      <c r="DL244" s="99"/>
      <c r="DM244" s="99"/>
      <c r="DN244" s="99"/>
      <c r="DO244" s="99"/>
      <c r="DP244" s="99"/>
      <c r="DQ244" s="99"/>
      <c r="DR244" s="99"/>
      <c r="DS244" s="99"/>
      <c r="DT244" s="99"/>
      <c r="DU244" s="99"/>
      <c r="DV244" s="99"/>
      <c r="DW244" s="99"/>
      <c r="DX244" s="99"/>
      <c r="DY244" s="99"/>
      <c r="DZ244" s="99"/>
      <c r="EA244" s="99"/>
      <c r="EB244" s="99"/>
      <c r="EC244" s="99"/>
      <c r="ED244" s="99"/>
      <c r="EE244" s="99"/>
      <c r="EF244" s="99"/>
      <c r="EG244" s="99"/>
      <c r="EH244" s="99"/>
      <c r="EI244" s="99"/>
      <c r="EJ244" s="99"/>
      <c r="EK244" s="99"/>
      <c r="EL244" s="99"/>
      <c r="EM244" s="99"/>
      <c r="EN244" s="99"/>
      <c r="EO244" s="99"/>
      <c r="EP244" s="99"/>
      <c r="EQ244" s="99"/>
      <c r="ER244" s="99"/>
      <c r="ES244" s="99"/>
      <c r="ET244" s="99"/>
      <c r="EU244" s="99"/>
      <c r="EV244" s="99"/>
      <c r="EW244" s="99"/>
      <c r="EX244" s="99"/>
      <c r="EY244" s="99"/>
      <c r="EZ244" s="99"/>
      <c r="FA244" s="99"/>
      <c r="FB244" s="99"/>
      <c r="FC244" s="99"/>
      <c r="FD244" s="99"/>
      <c r="FE244" s="99"/>
      <c r="FF244" s="99"/>
      <c r="FG244" s="99"/>
      <c r="FH244" s="99"/>
      <c r="FI244" s="99"/>
      <c r="FJ244" s="99"/>
      <c r="FK244" s="99"/>
      <c r="FL244" s="99"/>
      <c r="FM244" s="99"/>
      <c r="FN244" s="99"/>
      <c r="FO244" s="99"/>
      <c r="FP244" s="99"/>
      <c r="FQ244" s="99"/>
      <c r="FR244" s="99"/>
      <c r="FS244" s="99"/>
      <c r="FT244" s="99"/>
      <c r="FU244" s="99"/>
      <c r="FV244" s="99"/>
      <c r="FW244" s="99"/>
      <c r="FX244" s="99"/>
      <c r="FY244" s="99"/>
      <c r="FZ244" s="99"/>
      <c r="GA244" s="99"/>
      <c r="GB244" s="99"/>
      <c r="GC244" s="99"/>
      <c r="GD244" s="99"/>
      <c r="GE244" s="99"/>
      <c r="GF244" s="99"/>
      <c r="GG244" s="99"/>
      <c r="GH244" s="99"/>
      <c r="GI244" s="99"/>
      <c r="GJ244" s="99"/>
      <c r="GK244" s="99"/>
      <c r="GL244" s="99"/>
      <c r="GM244" s="99"/>
      <c r="GN244" s="99"/>
      <c r="GO244" s="99"/>
      <c r="GP244" s="99"/>
      <c r="GQ244" s="99"/>
      <c r="GR244" s="99"/>
      <c r="GS244" s="99"/>
      <c r="GT244" s="99"/>
      <c r="GU244" s="99"/>
      <c r="GV244" s="99"/>
      <c r="GW244" s="99"/>
      <c r="GX244" s="99"/>
      <c r="GY244" s="99"/>
      <c r="GZ244" s="99"/>
      <c r="HA244" s="99"/>
      <c r="HB244" s="99"/>
      <c r="HC244" s="99"/>
      <c r="HD244" s="99"/>
      <c r="HE244" s="99"/>
      <c r="HF244" s="99"/>
      <c r="HG244" s="99"/>
      <c r="HH244" s="99"/>
      <c r="HI244" s="99"/>
      <c r="HJ244" s="99"/>
      <c r="HK244" s="99"/>
      <c r="HL244" s="99"/>
      <c r="HM244" s="99"/>
      <c r="HN244" s="99"/>
      <c r="HO244" s="99"/>
      <c r="HP244" s="99"/>
      <c r="HQ244" s="99"/>
      <c r="HR244" s="99"/>
      <c r="HS244" s="99"/>
      <c r="HT244" s="99"/>
      <c r="HU244" s="99"/>
      <c r="HV244" s="99"/>
      <c r="HW244" s="99"/>
      <c r="HX244" s="99"/>
      <c r="HY244" s="99"/>
      <c r="HZ244" s="99"/>
      <c r="IA244" s="99"/>
      <c r="IB244" s="99"/>
      <c r="IC244" s="99"/>
      <c r="ID244" s="99"/>
      <c r="IE244" s="99"/>
      <c r="IF244" s="99"/>
      <c r="IG244" s="99"/>
      <c r="IH244" s="99"/>
      <c r="II244" s="99"/>
      <c r="IJ244" s="99"/>
      <c r="IK244" s="99"/>
      <c r="IL244" s="99"/>
      <c r="IM244" s="99"/>
      <c r="IN244" s="99"/>
      <c r="IO244" s="99"/>
      <c r="IP244" s="99"/>
      <c r="IQ244" s="99"/>
      <c r="IR244" s="99"/>
      <c r="IS244" s="99"/>
      <c r="IT244" s="99"/>
      <c r="IU244" s="99"/>
      <c r="IV244" s="99"/>
    </row>
    <row r="245" spans="1:256" ht="12.75">
      <c r="A245" s="33"/>
      <c r="B245" s="33"/>
      <c r="C245" s="33"/>
      <c r="D245" s="33"/>
      <c r="E245" s="33"/>
      <c r="F245" s="33"/>
      <c r="G245" s="33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99"/>
      <c r="DD245" s="99"/>
      <c r="DE245" s="99"/>
      <c r="DF245" s="99"/>
      <c r="DG245" s="99"/>
      <c r="DH245" s="99"/>
      <c r="DI245" s="99"/>
      <c r="DJ245" s="99"/>
      <c r="DK245" s="99"/>
      <c r="DL245" s="99"/>
      <c r="DM245" s="99"/>
      <c r="DN245" s="99"/>
      <c r="DO245" s="99"/>
      <c r="DP245" s="99"/>
      <c r="DQ245" s="99"/>
      <c r="DR245" s="99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/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/>
      <c r="EY245" s="99"/>
      <c r="EZ245" s="99"/>
      <c r="FA245" s="99"/>
      <c r="FB245" s="99"/>
      <c r="FC245" s="99"/>
      <c r="FD245" s="99"/>
      <c r="FE245" s="99"/>
      <c r="FF245" s="99"/>
      <c r="FG245" s="99"/>
      <c r="FH245" s="99"/>
      <c r="FI245" s="99"/>
      <c r="FJ245" s="99"/>
      <c r="FK245" s="99"/>
      <c r="FL245" s="99"/>
      <c r="FM245" s="99"/>
      <c r="FN245" s="99"/>
      <c r="FO245" s="99"/>
      <c r="FP245" s="99"/>
      <c r="FQ245" s="99"/>
      <c r="FR245" s="99"/>
      <c r="FS245" s="99"/>
      <c r="FT245" s="99"/>
      <c r="FU245" s="99"/>
      <c r="FV245" s="99"/>
      <c r="FW245" s="99"/>
      <c r="FX245" s="99"/>
      <c r="FY245" s="99"/>
      <c r="FZ245" s="99"/>
      <c r="GA245" s="99"/>
      <c r="GB245" s="99"/>
      <c r="GC245" s="99"/>
      <c r="GD245" s="99"/>
      <c r="GE245" s="99"/>
      <c r="GF245" s="99"/>
      <c r="GG245" s="99"/>
      <c r="GH245" s="99"/>
      <c r="GI245" s="99"/>
      <c r="GJ245" s="99"/>
      <c r="GK245" s="99"/>
      <c r="GL245" s="99"/>
      <c r="GM245" s="99"/>
      <c r="GN245" s="99"/>
      <c r="GO245" s="99"/>
      <c r="GP245" s="99"/>
      <c r="GQ245" s="99"/>
      <c r="GR245" s="99"/>
      <c r="GS245" s="99"/>
      <c r="GT245" s="99"/>
      <c r="GU245" s="99"/>
      <c r="GV245" s="99"/>
      <c r="GW245" s="99"/>
      <c r="GX245" s="99"/>
      <c r="GY245" s="99"/>
      <c r="GZ245" s="99"/>
      <c r="HA245" s="99"/>
      <c r="HB245" s="99"/>
      <c r="HC245" s="99"/>
      <c r="HD245" s="99"/>
      <c r="HE245" s="99"/>
      <c r="HF245" s="99"/>
      <c r="HG245" s="99"/>
      <c r="HH245" s="99"/>
      <c r="HI245" s="99"/>
      <c r="HJ245" s="99"/>
      <c r="HK245" s="99"/>
      <c r="HL245" s="99"/>
      <c r="HM245" s="99"/>
      <c r="HN245" s="99"/>
      <c r="HO245" s="99"/>
      <c r="HP245" s="99"/>
      <c r="HQ245" s="99"/>
      <c r="HR245" s="99"/>
      <c r="HS245" s="99"/>
      <c r="HT245" s="99"/>
      <c r="HU245" s="99"/>
      <c r="HV245" s="99"/>
      <c r="HW245" s="99"/>
      <c r="HX245" s="99"/>
      <c r="HY245" s="99"/>
      <c r="HZ245" s="99"/>
      <c r="IA245" s="99"/>
      <c r="IB245" s="99"/>
      <c r="IC245" s="99"/>
      <c r="ID245" s="99"/>
      <c r="IE245" s="99"/>
      <c r="IF245" s="99"/>
      <c r="IG245" s="99"/>
      <c r="IH245" s="99"/>
      <c r="II245" s="99"/>
      <c r="IJ245" s="99"/>
      <c r="IK245" s="99"/>
      <c r="IL245" s="99"/>
      <c r="IM245" s="99"/>
      <c r="IN245" s="99"/>
      <c r="IO245" s="99"/>
      <c r="IP245" s="99"/>
      <c r="IQ245" s="99"/>
      <c r="IR245" s="99"/>
      <c r="IS245" s="99"/>
      <c r="IT245" s="99"/>
      <c r="IU245" s="99"/>
      <c r="IV245" s="99"/>
    </row>
    <row r="246" spans="1:256" ht="12.75">
      <c r="A246" s="33"/>
      <c r="B246" s="33"/>
      <c r="C246" s="33"/>
      <c r="D246" s="33"/>
      <c r="E246" s="33"/>
      <c r="F246" s="33"/>
      <c r="G246" s="33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  <c r="DA246" s="99"/>
      <c r="DB246" s="99"/>
      <c r="DC246" s="99"/>
      <c r="DD246" s="99"/>
      <c r="DE246" s="99"/>
      <c r="DF246" s="99"/>
      <c r="DG246" s="99"/>
      <c r="DH246" s="99"/>
      <c r="DI246" s="99"/>
      <c r="DJ246" s="99"/>
      <c r="DK246" s="99"/>
      <c r="DL246" s="99"/>
      <c r="DM246" s="99"/>
      <c r="DN246" s="99"/>
      <c r="DO246" s="99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  <c r="FB246" s="99"/>
      <c r="FC246" s="99"/>
      <c r="FD246" s="99"/>
      <c r="FE246" s="99"/>
      <c r="FF246" s="99"/>
      <c r="FG246" s="99"/>
      <c r="FH246" s="99"/>
      <c r="FI246" s="99"/>
      <c r="FJ246" s="99"/>
      <c r="FK246" s="99"/>
      <c r="FL246" s="99"/>
      <c r="FM246" s="99"/>
      <c r="FN246" s="99"/>
      <c r="FO246" s="99"/>
      <c r="FP246" s="99"/>
      <c r="FQ246" s="99"/>
      <c r="FR246" s="99"/>
      <c r="FS246" s="99"/>
      <c r="FT246" s="99"/>
      <c r="FU246" s="99"/>
      <c r="FV246" s="99"/>
      <c r="FW246" s="99"/>
      <c r="FX246" s="99"/>
      <c r="FY246" s="99"/>
      <c r="FZ246" s="99"/>
      <c r="GA246" s="99"/>
      <c r="GB246" s="99"/>
      <c r="GC246" s="99"/>
      <c r="GD246" s="99"/>
      <c r="GE246" s="99"/>
      <c r="GF246" s="99"/>
      <c r="GG246" s="99"/>
      <c r="GH246" s="99"/>
      <c r="GI246" s="99"/>
      <c r="GJ246" s="99"/>
      <c r="GK246" s="99"/>
      <c r="GL246" s="99"/>
      <c r="GM246" s="99"/>
      <c r="GN246" s="99"/>
      <c r="GO246" s="99"/>
      <c r="GP246" s="99"/>
      <c r="GQ246" s="99"/>
      <c r="GR246" s="99"/>
      <c r="GS246" s="99"/>
      <c r="GT246" s="99"/>
      <c r="GU246" s="99"/>
      <c r="GV246" s="99"/>
      <c r="GW246" s="99"/>
      <c r="GX246" s="99"/>
      <c r="GY246" s="99"/>
      <c r="GZ246" s="99"/>
      <c r="HA246" s="99"/>
      <c r="HB246" s="99"/>
      <c r="HC246" s="99"/>
      <c r="HD246" s="99"/>
      <c r="HE246" s="99"/>
      <c r="HF246" s="99"/>
      <c r="HG246" s="99"/>
      <c r="HH246" s="99"/>
      <c r="HI246" s="99"/>
      <c r="HJ246" s="99"/>
      <c r="HK246" s="99"/>
      <c r="HL246" s="99"/>
      <c r="HM246" s="99"/>
      <c r="HN246" s="99"/>
      <c r="HO246" s="99"/>
      <c r="HP246" s="99"/>
      <c r="HQ246" s="99"/>
      <c r="HR246" s="99"/>
      <c r="HS246" s="99"/>
      <c r="HT246" s="99"/>
      <c r="HU246" s="99"/>
      <c r="HV246" s="99"/>
      <c r="HW246" s="99"/>
      <c r="HX246" s="99"/>
      <c r="HY246" s="99"/>
      <c r="HZ246" s="99"/>
      <c r="IA246" s="99"/>
      <c r="IB246" s="99"/>
      <c r="IC246" s="99"/>
      <c r="ID246" s="99"/>
      <c r="IE246" s="99"/>
      <c r="IF246" s="99"/>
      <c r="IG246" s="99"/>
      <c r="IH246" s="99"/>
      <c r="II246" s="99"/>
      <c r="IJ246" s="99"/>
      <c r="IK246" s="99"/>
      <c r="IL246" s="99"/>
      <c r="IM246" s="99"/>
      <c r="IN246" s="99"/>
      <c r="IO246" s="99"/>
      <c r="IP246" s="99"/>
      <c r="IQ246" s="99"/>
      <c r="IR246" s="99"/>
      <c r="IS246" s="99"/>
      <c r="IT246" s="99"/>
      <c r="IU246" s="99"/>
      <c r="IV246" s="99"/>
    </row>
    <row r="247" spans="1:256" ht="12.75">
      <c r="A247" s="33"/>
      <c r="B247" s="33"/>
      <c r="C247" s="33"/>
      <c r="D247" s="33"/>
      <c r="E247" s="33"/>
      <c r="F247" s="33"/>
      <c r="G247" s="33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  <c r="DA247" s="99"/>
      <c r="DB247" s="99"/>
      <c r="DC247" s="99"/>
      <c r="DD247" s="99"/>
      <c r="DE247" s="99"/>
      <c r="DF247" s="99"/>
      <c r="DG247" s="99"/>
      <c r="DH247" s="99"/>
      <c r="DI247" s="99"/>
      <c r="DJ247" s="99"/>
      <c r="DK247" s="99"/>
      <c r="DL247" s="99"/>
      <c r="DM247" s="99"/>
      <c r="DN247" s="99"/>
      <c r="DO247" s="99"/>
      <c r="DP247" s="99"/>
      <c r="DQ247" s="99"/>
      <c r="DR247" s="99"/>
      <c r="DS247" s="99"/>
      <c r="DT247" s="99"/>
      <c r="DU247" s="99"/>
      <c r="DV247" s="99"/>
      <c r="DW247" s="99"/>
      <c r="DX247" s="99"/>
      <c r="DY247" s="99"/>
      <c r="DZ247" s="99"/>
      <c r="EA247" s="99"/>
      <c r="EB247" s="99"/>
      <c r="EC247" s="99"/>
      <c r="ED247" s="99"/>
      <c r="EE247" s="99"/>
      <c r="EF247" s="99"/>
      <c r="EG247" s="99"/>
      <c r="EH247" s="99"/>
      <c r="EI247" s="99"/>
      <c r="EJ247" s="99"/>
      <c r="EK247" s="99"/>
      <c r="EL247" s="99"/>
      <c r="EM247" s="99"/>
      <c r="EN247" s="99"/>
      <c r="EO247" s="99"/>
      <c r="EP247" s="99"/>
      <c r="EQ247" s="99"/>
      <c r="ER247" s="99"/>
      <c r="ES247" s="99"/>
      <c r="ET247" s="99"/>
      <c r="EU247" s="99"/>
      <c r="EV247" s="99"/>
      <c r="EW247" s="99"/>
      <c r="EX247" s="99"/>
      <c r="EY247" s="99"/>
      <c r="EZ247" s="99"/>
      <c r="FA247" s="99"/>
      <c r="FB247" s="99"/>
      <c r="FC247" s="99"/>
      <c r="FD247" s="99"/>
      <c r="FE247" s="99"/>
      <c r="FF247" s="99"/>
      <c r="FG247" s="99"/>
      <c r="FH247" s="99"/>
      <c r="FI247" s="99"/>
      <c r="FJ247" s="99"/>
      <c r="FK247" s="99"/>
      <c r="FL247" s="99"/>
      <c r="FM247" s="99"/>
      <c r="FN247" s="99"/>
      <c r="FO247" s="99"/>
      <c r="FP247" s="99"/>
      <c r="FQ247" s="99"/>
      <c r="FR247" s="99"/>
      <c r="FS247" s="99"/>
      <c r="FT247" s="99"/>
      <c r="FU247" s="99"/>
      <c r="FV247" s="99"/>
      <c r="FW247" s="99"/>
      <c r="FX247" s="99"/>
      <c r="FY247" s="99"/>
      <c r="FZ247" s="99"/>
      <c r="GA247" s="99"/>
      <c r="GB247" s="99"/>
      <c r="GC247" s="99"/>
      <c r="GD247" s="99"/>
      <c r="GE247" s="99"/>
      <c r="GF247" s="99"/>
      <c r="GG247" s="99"/>
      <c r="GH247" s="99"/>
      <c r="GI247" s="99"/>
      <c r="GJ247" s="99"/>
      <c r="GK247" s="99"/>
      <c r="GL247" s="99"/>
      <c r="GM247" s="99"/>
      <c r="GN247" s="99"/>
      <c r="GO247" s="99"/>
      <c r="GP247" s="99"/>
      <c r="GQ247" s="99"/>
      <c r="GR247" s="99"/>
      <c r="GS247" s="99"/>
      <c r="GT247" s="99"/>
      <c r="GU247" s="99"/>
      <c r="GV247" s="99"/>
      <c r="GW247" s="99"/>
      <c r="GX247" s="99"/>
      <c r="GY247" s="99"/>
      <c r="GZ247" s="99"/>
      <c r="HA247" s="99"/>
      <c r="HB247" s="99"/>
      <c r="HC247" s="99"/>
      <c r="HD247" s="99"/>
      <c r="HE247" s="99"/>
      <c r="HF247" s="99"/>
      <c r="HG247" s="99"/>
      <c r="HH247" s="99"/>
      <c r="HI247" s="99"/>
      <c r="HJ247" s="99"/>
      <c r="HK247" s="99"/>
      <c r="HL247" s="99"/>
      <c r="HM247" s="99"/>
      <c r="HN247" s="99"/>
      <c r="HO247" s="99"/>
      <c r="HP247" s="99"/>
      <c r="HQ247" s="99"/>
      <c r="HR247" s="99"/>
      <c r="HS247" s="99"/>
      <c r="HT247" s="99"/>
      <c r="HU247" s="99"/>
      <c r="HV247" s="99"/>
      <c r="HW247" s="99"/>
      <c r="HX247" s="99"/>
      <c r="HY247" s="99"/>
      <c r="HZ247" s="99"/>
      <c r="IA247" s="99"/>
      <c r="IB247" s="99"/>
      <c r="IC247" s="99"/>
      <c r="ID247" s="99"/>
      <c r="IE247" s="99"/>
      <c r="IF247" s="99"/>
      <c r="IG247" s="99"/>
      <c r="IH247" s="99"/>
      <c r="II247" s="99"/>
      <c r="IJ247" s="99"/>
      <c r="IK247" s="99"/>
      <c r="IL247" s="99"/>
      <c r="IM247" s="99"/>
      <c r="IN247" s="99"/>
      <c r="IO247" s="99"/>
      <c r="IP247" s="99"/>
      <c r="IQ247" s="99"/>
      <c r="IR247" s="99"/>
      <c r="IS247" s="99"/>
      <c r="IT247" s="99"/>
      <c r="IU247" s="99"/>
      <c r="IV247" s="99"/>
    </row>
    <row r="248" spans="1:256" ht="12.75">
      <c r="A248" s="33"/>
      <c r="B248" s="33"/>
      <c r="C248" s="33"/>
      <c r="D248" s="33"/>
      <c r="E248" s="33"/>
      <c r="F248" s="33"/>
      <c r="G248" s="33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  <c r="CW248" s="99"/>
      <c r="CX248" s="99"/>
      <c r="CY248" s="99"/>
      <c r="CZ248" s="99"/>
      <c r="DA248" s="99"/>
      <c r="DB248" s="99"/>
      <c r="DC248" s="99"/>
      <c r="DD248" s="99"/>
      <c r="DE248" s="99"/>
      <c r="DF248" s="99"/>
      <c r="DG248" s="99"/>
      <c r="DH248" s="99"/>
      <c r="DI248" s="99"/>
      <c r="DJ248" s="99"/>
      <c r="DK248" s="99"/>
      <c r="DL248" s="99"/>
      <c r="DM248" s="99"/>
      <c r="DN248" s="99"/>
      <c r="DO248" s="99"/>
      <c r="DP248" s="99"/>
      <c r="DQ248" s="99"/>
      <c r="DR248" s="99"/>
      <c r="DS248" s="99"/>
      <c r="DT248" s="99"/>
      <c r="DU248" s="99"/>
      <c r="DV248" s="99"/>
      <c r="DW248" s="99"/>
      <c r="DX248" s="99"/>
      <c r="DY248" s="99"/>
      <c r="DZ248" s="99"/>
      <c r="EA248" s="99"/>
      <c r="EB248" s="99"/>
      <c r="EC248" s="99"/>
      <c r="ED248" s="99"/>
      <c r="EE248" s="99"/>
      <c r="EF248" s="99"/>
      <c r="EG248" s="99"/>
      <c r="EH248" s="99"/>
      <c r="EI248" s="99"/>
      <c r="EJ248" s="99"/>
      <c r="EK248" s="99"/>
      <c r="EL248" s="99"/>
      <c r="EM248" s="99"/>
      <c r="EN248" s="99"/>
      <c r="EO248" s="99"/>
      <c r="EP248" s="99"/>
      <c r="EQ248" s="99"/>
      <c r="ER248" s="99"/>
      <c r="ES248" s="99"/>
      <c r="ET248" s="99"/>
      <c r="EU248" s="99"/>
      <c r="EV248" s="99"/>
      <c r="EW248" s="99"/>
      <c r="EX248" s="99"/>
      <c r="EY248" s="99"/>
      <c r="EZ248" s="99"/>
      <c r="FA248" s="99"/>
      <c r="FB248" s="99"/>
      <c r="FC248" s="99"/>
      <c r="FD248" s="99"/>
      <c r="FE248" s="99"/>
      <c r="FF248" s="99"/>
      <c r="FG248" s="99"/>
      <c r="FH248" s="99"/>
      <c r="FI248" s="99"/>
      <c r="FJ248" s="99"/>
      <c r="FK248" s="99"/>
      <c r="FL248" s="99"/>
      <c r="FM248" s="99"/>
      <c r="FN248" s="99"/>
      <c r="FO248" s="99"/>
      <c r="FP248" s="99"/>
      <c r="FQ248" s="99"/>
      <c r="FR248" s="99"/>
      <c r="FS248" s="99"/>
      <c r="FT248" s="99"/>
      <c r="FU248" s="99"/>
      <c r="FV248" s="99"/>
      <c r="FW248" s="99"/>
      <c r="FX248" s="99"/>
      <c r="FY248" s="99"/>
      <c r="FZ248" s="99"/>
      <c r="GA248" s="99"/>
      <c r="GB248" s="99"/>
      <c r="GC248" s="99"/>
      <c r="GD248" s="99"/>
      <c r="GE248" s="99"/>
      <c r="GF248" s="99"/>
      <c r="GG248" s="99"/>
      <c r="GH248" s="99"/>
      <c r="GI248" s="99"/>
      <c r="GJ248" s="99"/>
      <c r="GK248" s="99"/>
      <c r="GL248" s="99"/>
      <c r="GM248" s="99"/>
      <c r="GN248" s="99"/>
      <c r="GO248" s="99"/>
      <c r="GP248" s="99"/>
      <c r="GQ248" s="99"/>
      <c r="GR248" s="99"/>
      <c r="GS248" s="99"/>
      <c r="GT248" s="99"/>
      <c r="GU248" s="99"/>
      <c r="GV248" s="99"/>
      <c r="GW248" s="99"/>
      <c r="GX248" s="99"/>
      <c r="GY248" s="99"/>
      <c r="GZ248" s="99"/>
      <c r="HA248" s="99"/>
      <c r="HB248" s="99"/>
      <c r="HC248" s="99"/>
      <c r="HD248" s="99"/>
      <c r="HE248" s="99"/>
      <c r="HF248" s="99"/>
      <c r="HG248" s="99"/>
      <c r="HH248" s="99"/>
      <c r="HI248" s="99"/>
      <c r="HJ248" s="99"/>
      <c r="HK248" s="99"/>
      <c r="HL248" s="99"/>
      <c r="HM248" s="99"/>
      <c r="HN248" s="99"/>
      <c r="HO248" s="99"/>
      <c r="HP248" s="99"/>
      <c r="HQ248" s="99"/>
      <c r="HR248" s="99"/>
      <c r="HS248" s="99"/>
      <c r="HT248" s="99"/>
      <c r="HU248" s="99"/>
      <c r="HV248" s="99"/>
      <c r="HW248" s="99"/>
      <c r="HX248" s="99"/>
      <c r="HY248" s="99"/>
      <c r="HZ248" s="99"/>
      <c r="IA248" s="99"/>
      <c r="IB248" s="99"/>
      <c r="IC248" s="99"/>
      <c r="ID248" s="99"/>
      <c r="IE248" s="99"/>
      <c r="IF248" s="99"/>
      <c r="IG248" s="99"/>
      <c r="IH248" s="99"/>
      <c r="II248" s="99"/>
      <c r="IJ248" s="99"/>
      <c r="IK248" s="99"/>
      <c r="IL248" s="99"/>
      <c r="IM248" s="99"/>
      <c r="IN248" s="99"/>
      <c r="IO248" s="99"/>
      <c r="IP248" s="99"/>
      <c r="IQ248" s="99"/>
      <c r="IR248" s="99"/>
      <c r="IS248" s="99"/>
      <c r="IT248" s="99"/>
      <c r="IU248" s="99"/>
      <c r="IV248" s="99"/>
    </row>
    <row r="249" spans="1:256" ht="12.75">
      <c r="A249" s="33"/>
      <c r="B249" s="33"/>
      <c r="C249" s="33"/>
      <c r="D249" s="33"/>
      <c r="E249" s="33"/>
      <c r="F249" s="33"/>
      <c r="G249" s="33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  <c r="CZ249" s="99"/>
      <c r="DA249" s="99"/>
      <c r="DB249" s="99"/>
      <c r="DC249" s="99"/>
      <c r="DD249" s="99"/>
      <c r="DE249" s="99"/>
      <c r="DF249" s="99"/>
      <c r="DG249" s="99"/>
      <c r="DH249" s="99"/>
      <c r="DI249" s="99"/>
      <c r="DJ249" s="99"/>
      <c r="DK249" s="99"/>
      <c r="DL249" s="99"/>
      <c r="DM249" s="99"/>
      <c r="DN249" s="99"/>
      <c r="DO249" s="99"/>
      <c r="DP249" s="99"/>
      <c r="DQ249" s="99"/>
      <c r="DR249" s="99"/>
      <c r="DS249" s="99"/>
      <c r="DT249" s="99"/>
      <c r="DU249" s="99"/>
      <c r="DV249" s="99"/>
      <c r="DW249" s="99"/>
      <c r="DX249" s="99"/>
      <c r="DY249" s="99"/>
      <c r="DZ249" s="99"/>
      <c r="EA249" s="99"/>
      <c r="EB249" s="99"/>
      <c r="EC249" s="99"/>
      <c r="ED249" s="99"/>
      <c r="EE249" s="99"/>
      <c r="EF249" s="99"/>
      <c r="EG249" s="99"/>
      <c r="EH249" s="99"/>
      <c r="EI249" s="99"/>
      <c r="EJ249" s="99"/>
      <c r="EK249" s="99"/>
      <c r="EL249" s="99"/>
      <c r="EM249" s="99"/>
      <c r="EN249" s="99"/>
      <c r="EO249" s="99"/>
      <c r="EP249" s="99"/>
      <c r="EQ249" s="99"/>
      <c r="ER249" s="99"/>
      <c r="ES249" s="99"/>
      <c r="ET249" s="99"/>
      <c r="EU249" s="99"/>
      <c r="EV249" s="99"/>
      <c r="EW249" s="99"/>
      <c r="EX249" s="99"/>
      <c r="EY249" s="99"/>
      <c r="EZ249" s="99"/>
      <c r="FA249" s="99"/>
      <c r="FB249" s="99"/>
      <c r="FC249" s="99"/>
      <c r="FD249" s="99"/>
      <c r="FE249" s="99"/>
      <c r="FF249" s="99"/>
      <c r="FG249" s="99"/>
      <c r="FH249" s="99"/>
      <c r="FI249" s="99"/>
      <c r="FJ249" s="99"/>
      <c r="FK249" s="99"/>
      <c r="FL249" s="99"/>
      <c r="FM249" s="99"/>
      <c r="FN249" s="99"/>
      <c r="FO249" s="99"/>
      <c r="FP249" s="99"/>
      <c r="FQ249" s="99"/>
      <c r="FR249" s="99"/>
      <c r="FS249" s="99"/>
      <c r="FT249" s="99"/>
      <c r="FU249" s="99"/>
      <c r="FV249" s="99"/>
      <c r="FW249" s="99"/>
      <c r="FX249" s="99"/>
      <c r="FY249" s="99"/>
      <c r="FZ249" s="99"/>
      <c r="GA249" s="99"/>
      <c r="GB249" s="99"/>
      <c r="GC249" s="99"/>
      <c r="GD249" s="99"/>
      <c r="GE249" s="99"/>
      <c r="GF249" s="99"/>
      <c r="GG249" s="99"/>
      <c r="GH249" s="99"/>
      <c r="GI249" s="99"/>
      <c r="GJ249" s="99"/>
      <c r="GK249" s="99"/>
      <c r="GL249" s="99"/>
      <c r="GM249" s="99"/>
      <c r="GN249" s="99"/>
      <c r="GO249" s="99"/>
      <c r="GP249" s="99"/>
      <c r="GQ249" s="99"/>
      <c r="GR249" s="99"/>
      <c r="GS249" s="99"/>
      <c r="GT249" s="99"/>
      <c r="GU249" s="99"/>
      <c r="GV249" s="99"/>
      <c r="GW249" s="99"/>
      <c r="GX249" s="99"/>
      <c r="GY249" s="99"/>
      <c r="GZ249" s="99"/>
      <c r="HA249" s="99"/>
      <c r="HB249" s="99"/>
      <c r="HC249" s="99"/>
      <c r="HD249" s="99"/>
      <c r="HE249" s="99"/>
      <c r="HF249" s="99"/>
      <c r="HG249" s="99"/>
      <c r="HH249" s="99"/>
      <c r="HI249" s="99"/>
      <c r="HJ249" s="99"/>
      <c r="HK249" s="99"/>
      <c r="HL249" s="99"/>
      <c r="HM249" s="99"/>
      <c r="HN249" s="99"/>
      <c r="HO249" s="99"/>
      <c r="HP249" s="99"/>
      <c r="HQ249" s="99"/>
      <c r="HR249" s="99"/>
      <c r="HS249" s="99"/>
      <c r="HT249" s="99"/>
      <c r="HU249" s="99"/>
      <c r="HV249" s="99"/>
      <c r="HW249" s="99"/>
      <c r="HX249" s="99"/>
      <c r="HY249" s="99"/>
      <c r="HZ249" s="99"/>
      <c r="IA249" s="99"/>
      <c r="IB249" s="99"/>
      <c r="IC249" s="99"/>
      <c r="ID249" s="99"/>
      <c r="IE249" s="99"/>
      <c r="IF249" s="99"/>
      <c r="IG249" s="99"/>
      <c r="IH249" s="99"/>
      <c r="II249" s="99"/>
      <c r="IJ249" s="99"/>
      <c r="IK249" s="99"/>
      <c r="IL249" s="99"/>
      <c r="IM249" s="99"/>
      <c r="IN249" s="99"/>
      <c r="IO249" s="99"/>
      <c r="IP249" s="99"/>
      <c r="IQ249" s="99"/>
      <c r="IR249" s="99"/>
      <c r="IS249" s="99"/>
      <c r="IT249" s="99"/>
      <c r="IU249" s="99"/>
      <c r="IV249" s="99"/>
    </row>
    <row r="250" spans="1:256" ht="12.75">
      <c r="A250" s="33"/>
      <c r="B250" s="33"/>
      <c r="C250" s="33"/>
      <c r="D250" s="33"/>
      <c r="E250" s="33"/>
      <c r="F250" s="33"/>
      <c r="G250" s="33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  <c r="CW250" s="99"/>
      <c r="CX250" s="99"/>
      <c r="CY250" s="99"/>
      <c r="CZ250" s="99"/>
      <c r="DA250" s="99"/>
      <c r="DB250" s="99"/>
      <c r="DC250" s="99"/>
      <c r="DD250" s="99"/>
      <c r="DE250" s="99"/>
      <c r="DF250" s="99"/>
      <c r="DG250" s="99"/>
      <c r="DH250" s="99"/>
      <c r="DI250" s="99"/>
      <c r="DJ250" s="99"/>
      <c r="DK250" s="99"/>
      <c r="DL250" s="99"/>
      <c r="DM250" s="99"/>
      <c r="DN250" s="99"/>
      <c r="DO250" s="99"/>
      <c r="DP250" s="99"/>
      <c r="DQ250" s="99"/>
      <c r="DR250" s="99"/>
      <c r="DS250" s="99"/>
      <c r="DT250" s="99"/>
      <c r="DU250" s="99"/>
      <c r="DV250" s="99"/>
      <c r="DW250" s="99"/>
      <c r="DX250" s="99"/>
      <c r="DY250" s="99"/>
      <c r="DZ250" s="99"/>
      <c r="EA250" s="99"/>
      <c r="EB250" s="99"/>
      <c r="EC250" s="99"/>
      <c r="ED250" s="99"/>
      <c r="EE250" s="99"/>
      <c r="EF250" s="99"/>
      <c r="EG250" s="99"/>
      <c r="EH250" s="99"/>
      <c r="EI250" s="99"/>
      <c r="EJ250" s="99"/>
      <c r="EK250" s="99"/>
      <c r="EL250" s="99"/>
      <c r="EM250" s="99"/>
      <c r="EN250" s="99"/>
      <c r="EO250" s="99"/>
      <c r="EP250" s="99"/>
      <c r="EQ250" s="99"/>
      <c r="ER250" s="99"/>
      <c r="ES250" s="99"/>
      <c r="ET250" s="99"/>
      <c r="EU250" s="99"/>
      <c r="EV250" s="99"/>
      <c r="EW250" s="99"/>
      <c r="EX250" s="99"/>
      <c r="EY250" s="99"/>
      <c r="EZ250" s="99"/>
      <c r="FA250" s="99"/>
      <c r="FB250" s="99"/>
      <c r="FC250" s="99"/>
      <c r="FD250" s="99"/>
      <c r="FE250" s="99"/>
      <c r="FF250" s="99"/>
      <c r="FG250" s="99"/>
      <c r="FH250" s="99"/>
      <c r="FI250" s="99"/>
      <c r="FJ250" s="99"/>
      <c r="FK250" s="99"/>
      <c r="FL250" s="99"/>
      <c r="FM250" s="99"/>
      <c r="FN250" s="99"/>
      <c r="FO250" s="99"/>
      <c r="FP250" s="99"/>
      <c r="FQ250" s="99"/>
      <c r="FR250" s="99"/>
      <c r="FS250" s="99"/>
      <c r="FT250" s="99"/>
      <c r="FU250" s="99"/>
      <c r="FV250" s="99"/>
      <c r="FW250" s="99"/>
      <c r="FX250" s="99"/>
      <c r="FY250" s="99"/>
      <c r="FZ250" s="99"/>
      <c r="GA250" s="99"/>
      <c r="GB250" s="99"/>
      <c r="GC250" s="99"/>
      <c r="GD250" s="99"/>
      <c r="GE250" s="99"/>
      <c r="GF250" s="99"/>
      <c r="GG250" s="99"/>
      <c r="GH250" s="99"/>
      <c r="GI250" s="99"/>
      <c r="GJ250" s="99"/>
      <c r="GK250" s="99"/>
      <c r="GL250" s="99"/>
      <c r="GM250" s="99"/>
      <c r="GN250" s="99"/>
      <c r="GO250" s="99"/>
      <c r="GP250" s="99"/>
      <c r="GQ250" s="99"/>
      <c r="GR250" s="99"/>
      <c r="GS250" s="99"/>
      <c r="GT250" s="99"/>
      <c r="GU250" s="99"/>
      <c r="GV250" s="99"/>
      <c r="GW250" s="99"/>
      <c r="GX250" s="99"/>
      <c r="GY250" s="99"/>
      <c r="GZ250" s="99"/>
      <c r="HA250" s="99"/>
      <c r="HB250" s="99"/>
      <c r="HC250" s="99"/>
      <c r="HD250" s="99"/>
      <c r="HE250" s="99"/>
      <c r="HF250" s="99"/>
      <c r="HG250" s="99"/>
      <c r="HH250" s="99"/>
      <c r="HI250" s="99"/>
      <c r="HJ250" s="99"/>
      <c r="HK250" s="99"/>
      <c r="HL250" s="99"/>
      <c r="HM250" s="99"/>
      <c r="HN250" s="99"/>
      <c r="HO250" s="99"/>
      <c r="HP250" s="99"/>
      <c r="HQ250" s="99"/>
      <c r="HR250" s="99"/>
      <c r="HS250" s="99"/>
      <c r="HT250" s="99"/>
      <c r="HU250" s="99"/>
      <c r="HV250" s="99"/>
      <c r="HW250" s="99"/>
      <c r="HX250" s="99"/>
      <c r="HY250" s="99"/>
      <c r="HZ250" s="99"/>
      <c r="IA250" s="99"/>
      <c r="IB250" s="99"/>
      <c r="IC250" s="99"/>
      <c r="ID250" s="99"/>
      <c r="IE250" s="99"/>
      <c r="IF250" s="99"/>
      <c r="IG250" s="99"/>
      <c r="IH250" s="99"/>
      <c r="II250" s="99"/>
      <c r="IJ250" s="99"/>
      <c r="IK250" s="99"/>
      <c r="IL250" s="99"/>
      <c r="IM250" s="99"/>
      <c r="IN250" s="99"/>
      <c r="IO250" s="99"/>
      <c r="IP250" s="99"/>
      <c r="IQ250" s="99"/>
      <c r="IR250" s="99"/>
      <c r="IS250" s="99"/>
      <c r="IT250" s="99"/>
      <c r="IU250" s="99"/>
      <c r="IV250" s="99"/>
    </row>
    <row r="251" spans="1:256" ht="12.75">
      <c r="A251" s="33"/>
      <c r="B251" s="33"/>
      <c r="C251" s="33"/>
      <c r="D251" s="33"/>
      <c r="E251" s="33"/>
      <c r="F251" s="33"/>
      <c r="G251" s="33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  <c r="CZ251" s="99"/>
      <c r="DA251" s="99"/>
      <c r="DB251" s="99"/>
      <c r="DC251" s="99"/>
      <c r="DD251" s="99"/>
      <c r="DE251" s="99"/>
      <c r="DF251" s="99"/>
      <c r="DG251" s="99"/>
      <c r="DH251" s="99"/>
      <c r="DI251" s="99"/>
      <c r="DJ251" s="99"/>
      <c r="DK251" s="99"/>
      <c r="DL251" s="99"/>
      <c r="DM251" s="99"/>
      <c r="DN251" s="99"/>
      <c r="DO251" s="99"/>
      <c r="DP251" s="99"/>
      <c r="DQ251" s="99"/>
      <c r="DR251" s="99"/>
      <c r="DS251" s="99"/>
      <c r="DT251" s="99"/>
      <c r="DU251" s="99"/>
      <c r="DV251" s="99"/>
      <c r="DW251" s="99"/>
      <c r="DX251" s="99"/>
      <c r="DY251" s="99"/>
      <c r="DZ251" s="99"/>
      <c r="EA251" s="99"/>
      <c r="EB251" s="99"/>
      <c r="EC251" s="99"/>
      <c r="ED251" s="99"/>
      <c r="EE251" s="99"/>
      <c r="EF251" s="99"/>
      <c r="EG251" s="99"/>
      <c r="EH251" s="99"/>
      <c r="EI251" s="99"/>
      <c r="EJ251" s="99"/>
      <c r="EK251" s="99"/>
      <c r="EL251" s="99"/>
      <c r="EM251" s="99"/>
      <c r="EN251" s="99"/>
      <c r="EO251" s="99"/>
      <c r="EP251" s="99"/>
      <c r="EQ251" s="99"/>
      <c r="ER251" s="99"/>
      <c r="ES251" s="99"/>
      <c r="ET251" s="99"/>
      <c r="EU251" s="99"/>
      <c r="EV251" s="99"/>
      <c r="EW251" s="99"/>
      <c r="EX251" s="99"/>
      <c r="EY251" s="99"/>
      <c r="EZ251" s="99"/>
      <c r="FA251" s="99"/>
      <c r="FB251" s="99"/>
      <c r="FC251" s="99"/>
      <c r="FD251" s="99"/>
      <c r="FE251" s="99"/>
      <c r="FF251" s="99"/>
      <c r="FG251" s="99"/>
      <c r="FH251" s="99"/>
      <c r="FI251" s="99"/>
      <c r="FJ251" s="99"/>
      <c r="FK251" s="99"/>
      <c r="FL251" s="99"/>
      <c r="FM251" s="99"/>
      <c r="FN251" s="99"/>
      <c r="FO251" s="99"/>
      <c r="FP251" s="99"/>
      <c r="FQ251" s="99"/>
      <c r="FR251" s="99"/>
      <c r="FS251" s="99"/>
      <c r="FT251" s="99"/>
      <c r="FU251" s="99"/>
      <c r="FV251" s="99"/>
      <c r="FW251" s="99"/>
      <c r="FX251" s="99"/>
      <c r="FY251" s="99"/>
      <c r="FZ251" s="99"/>
      <c r="GA251" s="99"/>
      <c r="GB251" s="99"/>
      <c r="GC251" s="99"/>
      <c r="GD251" s="99"/>
      <c r="GE251" s="99"/>
      <c r="GF251" s="99"/>
      <c r="GG251" s="99"/>
      <c r="GH251" s="99"/>
      <c r="GI251" s="99"/>
      <c r="GJ251" s="99"/>
      <c r="GK251" s="99"/>
      <c r="GL251" s="99"/>
      <c r="GM251" s="99"/>
      <c r="GN251" s="99"/>
      <c r="GO251" s="99"/>
      <c r="GP251" s="99"/>
      <c r="GQ251" s="99"/>
      <c r="GR251" s="99"/>
      <c r="GS251" s="99"/>
      <c r="GT251" s="99"/>
      <c r="GU251" s="99"/>
      <c r="GV251" s="99"/>
      <c r="GW251" s="99"/>
      <c r="GX251" s="99"/>
      <c r="GY251" s="99"/>
      <c r="GZ251" s="99"/>
      <c r="HA251" s="99"/>
      <c r="HB251" s="99"/>
      <c r="HC251" s="99"/>
      <c r="HD251" s="99"/>
      <c r="HE251" s="99"/>
      <c r="HF251" s="99"/>
      <c r="HG251" s="99"/>
      <c r="HH251" s="99"/>
      <c r="HI251" s="99"/>
      <c r="HJ251" s="99"/>
      <c r="HK251" s="99"/>
      <c r="HL251" s="99"/>
      <c r="HM251" s="99"/>
      <c r="HN251" s="99"/>
      <c r="HO251" s="99"/>
      <c r="HP251" s="99"/>
      <c r="HQ251" s="99"/>
      <c r="HR251" s="99"/>
      <c r="HS251" s="99"/>
      <c r="HT251" s="99"/>
      <c r="HU251" s="99"/>
      <c r="HV251" s="99"/>
      <c r="HW251" s="99"/>
      <c r="HX251" s="99"/>
      <c r="HY251" s="99"/>
      <c r="HZ251" s="99"/>
      <c r="IA251" s="99"/>
      <c r="IB251" s="99"/>
      <c r="IC251" s="99"/>
      <c r="ID251" s="99"/>
      <c r="IE251" s="99"/>
      <c r="IF251" s="99"/>
      <c r="IG251" s="99"/>
      <c r="IH251" s="99"/>
      <c r="II251" s="99"/>
      <c r="IJ251" s="99"/>
      <c r="IK251" s="99"/>
      <c r="IL251" s="99"/>
      <c r="IM251" s="99"/>
      <c r="IN251" s="99"/>
      <c r="IO251" s="99"/>
      <c r="IP251" s="99"/>
      <c r="IQ251" s="99"/>
      <c r="IR251" s="99"/>
      <c r="IS251" s="99"/>
      <c r="IT251" s="99"/>
      <c r="IU251" s="99"/>
      <c r="IV251" s="99"/>
    </row>
    <row r="252" spans="1:256" ht="12.75">
      <c r="A252" s="33"/>
      <c r="B252" s="33"/>
      <c r="C252" s="33"/>
      <c r="D252" s="33"/>
      <c r="E252" s="33"/>
      <c r="F252" s="33"/>
      <c r="G252" s="33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  <c r="CW252" s="99"/>
      <c r="CX252" s="99"/>
      <c r="CY252" s="99"/>
      <c r="CZ252" s="99"/>
      <c r="DA252" s="99"/>
      <c r="DB252" s="99"/>
      <c r="DC252" s="99"/>
      <c r="DD252" s="99"/>
      <c r="DE252" s="99"/>
      <c r="DF252" s="99"/>
      <c r="DG252" s="99"/>
      <c r="DH252" s="99"/>
      <c r="DI252" s="99"/>
      <c r="DJ252" s="99"/>
      <c r="DK252" s="99"/>
      <c r="DL252" s="99"/>
      <c r="DM252" s="99"/>
      <c r="DN252" s="99"/>
      <c r="DO252" s="99"/>
      <c r="DP252" s="99"/>
      <c r="DQ252" s="99"/>
      <c r="DR252" s="99"/>
      <c r="DS252" s="99"/>
      <c r="DT252" s="99"/>
      <c r="DU252" s="99"/>
      <c r="DV252" s="99"/>
      <c r="DW252" s="99"/>
      <c r="DX252" s="99"/>
      <c r="DY252" s="99"/>
      <c r="DZ252" s="99"/>
      <c r="EA252" s="99"/>
      <c r="EB252" s="99"/>
      <c r="EC252" s="99"/>
      <c r="ED252" s="99"/>
      <c r="EE252" s="99"/>
      <c r="EF252" s="99"/>
      <c r="EG252" s="99"/>
      <c r="EH252" s="99"/>
      <c r="EI252" s="99"/>
      <c r="EJ252" s="99"/>
      <c r="EK252" s="99"/>
      <c r="EL252" s="99"/>
      <c r="EM252" s="99"/>
      <c r="EN252" s="99"/>
      <c r="EO252" s="99"/>
      <c r="EP252" s="99"/>
      <c r="EQ252" s="99"/>
      <c r="ER252" s="99"/>
      <c r="ES252" s="99"/>
      <c r="ET252" s="99"/>
      <c r="EU252" s="99"/>
      <c r="EV252" s="99"/>
      <c r="EW252" s="99"/>
      <c r="EX252" s="99"/>
      <c r="EY252" s="99"/>
      <c r="EZ252" s="99"/>
      <c r="FA252" s="99"/>
      <c r="FB252" s="99"/>
      <c r="FC252" s="99"/>
      <c r="FD252" s="99"/>
      <c r="FE252" s="99"/>
      <c r="FF252" s="99"/>
      <c r="FG252" s="99"/>
      <c r="FH252" s="99"/>
      <c r="FI252" s="99"/>
      <c r="FJ252" s="99"/>
      <c r="FK252" s="99"/>
      <c r="FL252" s="99"/>
      <c r="FM252" s="99"/>
      <c r="FN252" s="99"/>
      <c r="FO252" s="99"/>
      <c r="FP252" s="99"/>
      <c r="FQ252" s="99"/>
      <c r="FR252" s="99"/>
      <c r="FS252" s="99"/>
      <c r="FT252" s="99"/>
      <c r="FU252" s="99"/>
      <c r="FV252" s="99"/>
      <c r="FW252" s="99"/>
      <c r="FX252" s="99"/>
      <c r="FY252" s="99"/>
      <c r="FZ252" s="99"/>
      <c r="GA252" s="99"/>
      <c r="GB252" s="99"/>
      <c r="GC252" s="99"/>
      <c r="GD252" s="99"/>
      <c r="GE252" s="99"/>
      <c r="GF252" s="99"/>
      <c r="GG252" s="99"/>
      <c r="GH252" s="99"/>
      <c r="GI252" s="99"/>
      <c r="GJ252" s="99"/>
      <c r="GK252" s="99"/>
      <c r="GL252" s="99"/>
      <c r="GM252" s="99"/>
      <c r="GN252" s="99"/>
      <c r="GO252" s="99"/>
      <c r="GP252" s="99"/>
      <c r="GQ252" s="99"/>
      <c r="GR252" s="99"/>
      <c r="GS252" s="99"/>
      <c r="GT252" s="99"/>
      <c r="GU252" s="99"/>
      <c r="GV252" s="99"/>
      <c r="GW252" s="99"/>
      <c r="GX252" s="99"/>
      <c r="GY252" s="99"/>
      <c r="GZ252" s="99"/>
      <c r="HA252" s="99"/>
      <c r="HB252" s="99"/>
      <c r="HC252" s="99"/>
      <c r="HD252" s="99"/>
      <c r="HE252" s="99"/>
      <c r="HF252" s="99"/>
      <c r="HG252" s="99"/>
      <c r="HH252" s="99"/>
      <c r="HI252" s="99"/>
      <c r="HJ252" s="99"/>
      <c r="HK252" s="99"/>
      <c r="HL252" s="99"/>
      <c r="HM252" s="99"/>
      <c r="HN252" s="99"/>
      <c r="HO252" s="99"/>
      <c r="HP252" s="99"/>
      <c r="HQ252" s="99"/>
      <c r="HR252" s="99"/>
      <c r="HS252" s="99"/>
      <c r="HT252" s="99"/>
      <c r="HU252" s="99"/>
      <c r="HV252" s="99"/>
      <c r="HW252" s="99"/>
      <c r="HX252" s="99"/>
      <c r="HY252" s="99"/>
      <c r="HZ252" s="99"/>
      <c r="IA252" s="99"/>
      <c r="IB252" s="99"/>
      <c r="IC252" s="99"/>
      <c r="ID252" s="99"/>
      <c r="IE252" s="99"/>
      <c r="IF252" s="99"/>
      <c r="IG252" s="99"/>
      <c r="IH252" s="99"/>
      <c r="II252" s="99"/>
      <c r="IJ252" s="99"/>
      <c r="IK252" s="99"/>
      <c r="IL252" s="99"/>
      <c r="IM252" s="99"/>
      <c r="IN252" s="99"/>
      <c r="IO252" s="99"/>
      <c r="IP252" s="99"/>
      <c r="IQ252" s="99"/>
      <c r="IR252" s="99"/>
      <c r="IS252" s="99"/>
      <c r="IT252" s="99"/>
      <c r="IU252" s="99"/>
      <c r="IV252" s="99"/>
    </row>
    <row r="253" spans="1:256" ht="12.75">
      <c r="A253" s="33"/>
      <c r="B253" s="33"/>
      <c r="C253" s="33"/>
      <c r="D253" s="33"/>
      <c r="E253" s="33"/>
      <c r="F253" s="33"/>
      <c r="G253" s="33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  <c r="DA253" s="99"/>
      <c r="DB253" s="99"/>
      <c r="DC253" s="99"/>
      <c r="DD253" s="99"/>
      <c r="DE253" s="99"/>
      <c r="DF253" s="99"/>
      <c r="DG253" s="99"/>
      <c r="DH253" s="99"/>
      <c r="DI253" s="99"/>
      <c r="DJ253" s="99"/>
      <c r="DK253" s="99"/>
      <c r="DL253" s="99"/>
      <c r="DM253" s="99"/>
      <c r="DN253" s="99"/>
      <c r="DO253" s="99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  <c r="FB253" s="99"/>
      <c r="FC253" s="99"/>
      <c r="FD253" s="99"/>
      <c r="FE253" s="99"/>
      <c r="FF253" s="99"/>
      <c r="FG253" s="99"/>
      <c r="FH253" s="99"/>
      <c r="FI253" s="99"/>
      <c r="FJ253" s="99"/>
      <c r="FK253" s="99"/>
      <c r="FL253" s="99"/>
      <c r="FM253" s="99"/>
      <c r="FN253" s="99"/>
      <c r="FO253" s="99"/>
      <c r="FP253" s="99"/>
      <c r="FQ253" s="99"/>
      <c r="FR253" s="99"/>
      <c r="FS253" s="99"/>
      <c r="FT253" s="99"/>
      <c r="FU253" s="99"/>
      <c r="FV253" s="99"/>
      <c r="FW253" s="99"/>
      <c r="FX253" s="99"/>
      <c r="FY253" s="99"/>
      <c r="FZ253" s="99"/>
      <c r="GA253" s="99"/>
      <c r="GB253" s="99"/>
      <c r="GC253" s="99"/>
      <c r="GD253" s="99"/>
      <c r="GE253" s="99"/>
      <c r="GF253" s="99"/>
      <c r="GG253" s="99"/>
      <c r="GH253" s="99"/>
      <c r="GI253" s="99"/>
      <c r="GJ253" s="99"/>
      <c r="GK253" s="99"/>
      <c r="GL253" s="99"/>
      <c r="GM253" s="99"/>
      <c r="GN253" s="99"/>
      <c r="GO253" s="99"/>
      <c r="GP253" s="99"/>
      <c r="GQ253" s="99"/>
      <c r="GR253" s="99"/>
      <c r="GS253" s="99"/>
      <c r="GT253" s="99"/>
      <c r="GU253" s="99"/>
      <c r="GV253" s="99"/>
      <c r="GW253" s="99"/>
      <c r="GX253" s="99"/>
      <c r="GY253" s="99"/>
      <c r="GZ253" s="99"/>
      <c r="HA253" s="99"/>
      <c r="HB253" s="99"/>
      <c r="HC253" s="99"/>
      <c r="HD253" s="99"/>
      <c r="HE253" s="99"/>
      <c r="HF253" s="99"/>
      <c r="HG253" s="99"/>
      <c r="HH253" s="99"/>
      <c r="HI253" s="99"/>
      <c r="HJ253" s="99"/>
      <c r="HK253" s="99"/>
      <c r="HL253" s="99"/>
      <c r="HM253" s="99"/>
      <c r="HN253" s="99"/>
      <c r="HO253" s="99"/>
      <c r="HP253" s="99"/>
      <c r="HQ253" s="99"/>
      <c r="HR253" s="99"/>
      <c r="HS253" s="99"/>
      <c r="HT253" s="99"/>
      <c r="HU253" s="99"/>
      <c r="HV253" s="99"/>
      <c r="HW253" s="99"/>
      <c r="HX253" s="99"/>
      <c r="HY253" s="99"/>
      <c r="HZ253" s="99"/>
      <c r="IA253" s="99"/>
      <c r="IB253" s="99"/>
      <c r="IC253" s="99"/>
      <c r="ID253" s="99"/>
      <c r="IE253" s="99"/>
      <c r="IF253" s="99"/>
      <c r="IG253" s="99"/>
      <c r="IH253" s="99"/>
      <c r="II253" s="99"/>
      <c r="IJ253" s="99"/>
      <c r="IK253" s="99"/>
      <c r="IL253" s="99"/>
      <c r="IM253" s="99"/>
      <c r="IN253" s="99"/>
      <c r="IO253" s="99"/>
      <c r="IP253" s="99"/>
      <c r="IQ253" s="99"/>
      <c r="IR253" s="99"/>
      <c r="IS253" s="99"/>
      <c r="IT253" s="99"/>
      <c r="IU253" s="99"/>
      <c r="IV253" s="99"/>
    </row>
    <row r="254" spans="1:256" ht="12.75">
      <c r="A254" s="33"/>
      <c r="B254" s="33"/>
      <c r="C254" s="33"/>
      <c r="D254" s="33"/>
      <c r="E254" s="33"/>
      <c r="F254" s="33"/>
      <c r="G254" s="33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99"/>
      <c r="DD254" s="99"/>
      <c r="DE254" s="99"/>
      <c r="DF254" s="99"/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  <c r="FB254" s="99"/>
      <c r="FC254" s="99"/>
      <c r="FD254" s="99"/>
      <c r="FE254" s="99"/>
      <c r="FF254" s="99"/>
      <c r="FG254" s="99"/>
      <c r="FH254" s="99"/>
      <c r="FI254" s="99"/>
      <c r="FJ254" s="99"/>
      <c r="FK254" s="99"/>
      <c r="FL254" s="99"/>
      <c r="FM254" s="99"/>
      <c r="FN254" s="99"/>
      <c r="FO254" s="99"/>
      <c r="FP254" s="99"/>
      <c r="FQ254" s="99"/>
      <c r="FR254" s="99"/>
      <c r="FS254" s="99"/>
      <c r="FT254" s="99"/>
      <c r="FU254" s="99"/>
      <c r="FV254" s="99"/>
      <c r="FW254" s="99"/>
      <c r="FX254" s="99"/>
      <c r="FY254" s="99"/>
      <c r="FZ254" s="99"/>
      <c r="GA254" s="99"/>
      <c r="GB254" s="99"/>
      <c r="GC254" s="99"/>
      <c r="GD254" s="99"/>
      <c r="GE254" s="99"/>
      <c r="GF254" s="99"/>
      <c r="GG254" s="99"/>
      <c r="GH254" s="99"/>
      <c r="GI254" s="99"/>
      <c r="GJ254" s="99"/>
      <c r="GK254" s="99"/>
      <c r="GL254" s="99"/>
      <c r="GM254" s="99"/>
      <c r="GN254" s="99"/>
      <c r="GO254" s="99"/>
      <c r="GP254" s="99"/>
      <c r="GQ254" s="99"/>
      <c r="GR254" s="99"/>
      <c r="GS254" s="99"/>
      <c r="GT254" s="99"/>
      <c r="GU254" s="99"/>
      <c r="GV254" s="99"/>
      <c r="GW254" s="99"/>
      <c r="GX254" s="99"/>
      <c r="GY254" s="99"/>
      <c r="GZ254" s="99"/>
      <c r="HA254" s="99"/>
      <c r="HB254" s="99"/>
      <c r="HC254" s="99"/>
      <c r="HD254" s="99"/>
      <c r="HE254" s="99"/>
      <c r="HF254" s="99"/>
      <c r="HG254" s="99"/>
      <c r="HH254" s="99"/>
      <c r="HI254" s="99"/>
      <c r="HJ254" s="99"/>
      <c r="HK254" s="99"/>
      <c r="HL254" s="99"/>
      <c r="HM254" s="99"/>
      <c r="HN254" s="99"/>
      <c r="HO254" s="99"/>
      <c r="HP254" s="99"/>
      <c r="HQ254" s="99"/>
      <c r="HR254" s="99"/>
      <c r="HS254" s="99"/>
      <c r="HT254" s="99"/>
      <c r="HU254" s="99"/>
      <c r="HV254" s="99"/>
      <c r="HW254" s="99"/>
      <c r="HX254" s="99"/>
      <c r="HY254" s="99"/>
      <c r="HZ254" s="99"/>
      <c r="IA254" s="99"/>
      <c r="IB254" s="99"/>
      <c r="IC254" s="99"/>
      <c r="ID254" s="99"/>
      <c r="IE254" s="99"/>
      <c r="IF254" s="99"/>
      <c r="IG254" s="99"/>
      <c r="IH254" s="99"/>
      <c r="II254" s="99"/>
      <c r="IJ254" s="99"/>
      <c r="IK254" s="99"/>
      <c r="IL254" s="99"/>
      <c r="IM254" s="99"/>
      <c r="IN254" s="99"/>
      <c r="IO254" s="99"/>
      <c r="IP254" s="99"/>
      <c r="IQ254" s="99"/>
      <c r="IR254" s="99"/>
      <c r="IS254" s="99"/>
      <c r="IT254" s="99"/>
      <c r="IU254" s="99"/>
      <c r="IV254" s="99"/>
    </row>
    <row r="255" spans="1:256" ht="12.75">
      <c r="A255" s="33"/>
      <c r="B255" s="33"/>
      <c r="C255" s="33"/>
      <c r="D255" s="33"/>
      <c r="E255" s="33"/>
      <c r="F255" s="33"/>
      <c r="G255" s="33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  <c r="CZ255" s="99"/>
      <c r="DA255" s="99"/>
      <c r="DB255" s="99"/>
      <c r="DC255" s="99"/>
      <c r="DD255" s="99"/>
      <c r="DE255" s="99"/>
      <c r="DF255" s="99"/>
      <c r="DG255" s="99"/>
      <c r="DH255" s="99"/>
      <c r="DI255" s="99"/>
      <c r="DJ255" s="99"/>
      <c r="DK255" s="99"/>
      <c r="DL255" s="99"/>
      <c r="DM255" s="99"/>
      <c r="DN255" s="99"/>
      <c r="DO255" s="99"/>
      <c r="DP255" s="99"/>
      <c r="DQ255" s="99"/>
      <c r="DR255" s="99"/>
      <c r="DS255" s="99"/>
      <c r="DT255" s="99"/>
      <c r="DU255" s="99"/>
      <c r="DV255" s="99"/>
      <c r="DW255" s="99"/>
      <c r="DX255" s="99"/>
      <c r="DY255" s="99"/>
      <c r="DZ255" s="99"/>
      <c r="EA255" s="99"/>
      <c r="EB255" s="99"/>
      <c r="EC255" s="99"/>
      <c r="ED255" s="99"/>
      <c r="EE255" s="99"/>
      <c r="EF255" s="99"/>
      <c r="EG255" s="99"/>
      <c r="EH255" s="99"/>
      <c r="EI255" s="99"/>
      <c r="EJ255" s="99"/>
      <c r="EK255" s="99"/>
      <c r="EL255" s="99"/>
      <c r="EM255" s="99"/>
      <c r="EN255" s="99"/>
      <c r="EO255" s="99"/>
      <c r="EP255" s="99"/>
      <c r="EQ255" s="99"/>
      <c r="ER255" s="99"/>
      <c r="ES255" s="99"/>
      <c r="ET255" s="99"/>
      <c r="EU255" s="99"/>
      <c r="EV255" s="99"/>
      <c r="EW255" s="99"/>
      <c r="EX255" s="99"/>
      <c r="EY255" s="99"/>
      <c r="EZ255" s="99"/>
      <c r="FA255" s="99"/>
      <c r="FB255" s="99"/>
      <c r="FC255" s="99"/>
      <c r="FD255" s="99"/>
      <c r="FE255" s="99"/>
      <c r="FF255" s="99"/>
      <c r="FG255" s="99"/>
      <c r="FH255" s="99"/>
      <c r="FI255" s="99"/>
      <c r="FJ255" s="99"/>
      <c r="FK255" s="99"/>
      <c r="FL255" s="99"/>
      <c r="FM255" s="99"/>
      <c r="FN255" s="99"/>
      <c r="FO255" s="99"/>
      <c r="FP255" s="99"/>
      <c r="FQ255" s="99"/>
      <c r="FR255" s="99"/>
      <c r="FS255" s="99"/>
      <c r="FT255" s="99"/>
      <c r="FU255" s="99"/>
      <c r="FV255" s="99"/>
      <c r="FW255" s="99"/>
      <c r="FX255" s="99"/>
      <c r="FY255" s="99"/>
      <c r="FZ255" s="99"/>
      <c r="GA255" s="99"/>
      <c r="GB255" s="99"/>
      <c r="GC255" s="99"/>
      <c r="GD255" s="99"/>
      <c r="GE255" s="99"/>
      <c r="GF255" s="99"/>
      <c r="GG255" s="99"/>
      <c r="GH255" s="99"/>
      <c r="GI255" s="99"/>
      <c r="GJ255" s="99"/>
      <c r="GK255" s="99"/>
      <c r="GL255" s="99"/>
      <c r="GM255" s="99"/>
      <c r="GN255" s="99"/>
      <c r="GO255" s="99"/>
      <c r="GP255" s="99"/>
      <c r="GQ255" s="99"/>
      <c r="GR255" s="99"/>
      <c r="GS255" s="99"/>
      <c r="GT255" s="99"/>
      <c r="GU255" s="99"/>
      <c r="GV255" s="99"/>
      <c r="GW255" s="99"/>
      <c r="GX255" s="99"/>
      <c r="GY255" s="99"/>
      <c r="GZ255" s="99"/>
      <c r="HA255" s="99"/>
      <c r="HB255" s="99"/>
      <c r="HC255" s="99"/>
      <c r="HD255" s="99"/>
      <c r="HE255" s="99"/>
      <c r="HF255" s="99"/>
      <c r="HG255" s="99"/>
      <c r="HH255" s="99"/>
      <c r="HI255" s="99"/>
      <c r="HJ255" s="99"/>
      <c r="HK255" s="99"/>
      <c r="HL255" s="99"/>
      <c r="HM255" s="99"/>
      <c r="HN255" s="99"/>
      <c r="HO255" s="99"/>
      <c r="HP255" s="99"/>
      <c r="HQ255" s="99"/>
      <c r="HR255" s="99"/>
      <c r="HS255" s="99"/>
      <c r="HT255" s="99"/>
      <c r="HU255" s="99"/>
      <c r="HV255" s="99"/>
      <c r="HW255" s="99"/>
      <c r="HX255" s="99"/>
      <c r="HY255" s="99"/>
      <c r="HZ255" s="99"/>
      <c r="IA255" s="99"/>
      <c r="IB255" s="99"/>
      <c r="IC255" s="99"/>
      <c r="ID255" s="99"/>
      <c r="IE255" s="99"/>
      <c r="IF255" s="99"/>
      <c r="IG255" s="99"/>
      <c r="IH255" s="99"/>
      <c r="II255" s="99"/>
      <c r="IJ255" s="99"/>
      <c r="IK255" s="99"/>
      <c r="IL255" s="99"/>
      <c r="IM255" s="99"/>
      <c r="IN255" s="99"/>
      <c r="IO255" s="99"/>
      <c r="IP255" s="99"/>
      <c r="IQ255" s="99"/>
      <c r="IR255" s="99"/>
      <c r="IS255" s="99"/>
      <c r="IT255" s="99"/>
      <c r="IU255" s="99"/>
      <c r="IV255" s="99"/>
    </row>
    <row r="256" spans="1:256" ht="12.75">
      <c r="A256" s="33"/>
      <c r="B256" s="33"/>
      <c r="C256" s="33"/>
      <c r="D256" s="33"/>
      <c r="E256" s="33"/>
      <c r="F256" s="33"/>
      <c r="G256" s="33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  <c r="CZ256" s="99"/>
      <c r="DA256" s="99"/>
      <c r="DB256" s="99"/>
      <c r="DC256" s="99"/>
      <c r="DD256" s="99"/>
      <c r="DE256" s="99"/>
      <c r="DF256" s="99"/>
      <c r="DG256" s="99"/>
      <c r="DH256" s="99"/>
      <c r="DI256" s="99"/>
      <c r="DJ256" s="99"/>
      <c r="DK256" s="99"/>
      <c r="DL256" s="99"/>
      <c r="DM256" s="99"/>
      <c r="DN256" s="99"/>
      <c r="DO256" s="99"/>
      <c r="DP256" s="99"/>
      <c r="DQ256" s="99"/>
      <c r="DR256" s="99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99"/>
      <c r="EI256" s="99"/>
      <c r="EJ256" s="99"/>
      <c r="EK256" s="99"/>
      <c r="EL256" s="99"/>
      <c r="EM256" s="99"/>
      <c r="EN256" s="99"/>
      <c r="EO256" s="99"/>
      <c r="EP256" s="99"/>
      <c r="EQ256" s="99"/>
      <c r="ER256" s="99"/>
      <c r="ES256" s="99"/>
      <c r="ET256" s="99"/>
      <c r="EU256" s="99"/>
      <c r="EV256" s="99"/>
      <c r="EW256" s="99"/>
      <c r="EX256" s="99"/>
      <c r="EY256" s="99"/>
      <c r="EZ256" s="99"/>
      <c r="FA256" s="99"/>
      <c r="FB256" s="99"/>
      <c r="FC256" s="99"/>
      <c r="FD256" s="99"/>
      <c r="FE256" s="99"/>
      <c r="FF256" s="99"/>
      <c r="FG256" s="99"/>
      <c r="FH256" s="99"/>
      <c r="FI256" s="99"/>
      <c r="FJ256" s="99"/>
      <c r="FK256" s="99"/>
      <c r="FL256" s="99"/>
      <c r="FM256" s="99"/>
      <c r="FN256" s="99"/>
      <c r="FO256" s="99"/>
      <c r="FP256" s="99"/>
      <c r="FQ256" s="99"/>
      <c r="FR256" s="99"/>
      <c r="FS256" s="99"/>
      <c r="FT256" s="99"/>
      <c r="FU256" s="99"/>
      <c r="FV256" s="99"/>
      <c r="FW256" s="99"/>
      <c r="FX256" s="99"/>
      <c r="FY256" s="99"/>
      <c r="FZ256" s="99"/>
      <c r="GA256" s="99"/>
      <c r="GB256" s="99"/>
      <c r="GC256" s="99"/>
      <c r="GD256" s="99"/>
      <c r="GE256" s="99"/>
      <c r="GF256" s="99"/>
      <c r="GG256" s="99"/>
      <c r="GH256" s="99"/>
      <c r="GI256" s="99"/>
      <c r="GJ256" s="99"/>
      <c r="GK256" s="99"/>
      <c r="GL256" s="99"/>
      <c r="GM256" s="99"/>
      <c r="GN256" s="99"/>
      <c r="GO256" s="99"/>
      <c r="GP256" s="99"/>
      <c r="GQ256" s="99"/>
      <c r="GR256" s="99"/>
      <c r="GS256" s="99"/>
      <c r="GT256" s="99"/>
      <c r="GU256" s="99"/>
      <c r="GV256" s="99"/>
      <c r="GW256" s="99"/>
      <c r="GX256" s="99"/>
      <c r="GY256" s="99"/>
      <c r="GZ256" s="99"/>
      <c r="HA256" s="99"/>
      <c r="HB256" s="99"/>
      <c r="HC256" s="99"/>
      <c r="HD256" s="99"/>
      <c r="HE256" s="99"/>
      <c r="HF256" s="99"/>
      <c r="HG256" s="99"/>
      <c r="HH256" s="99"/>
      <c r="HI256" s="99"/>
      <c r="HJ256" s="99"/>
      <c r="HK256" s="99"/>
      <c r="HL256" s="99"/>
      <c r="HM256" s="99"/>
      <c r="HN256" s="99"/>
      <c r="HO256" s="99"/>
      <c r="HP256" s="99"/>
      <c r="HQ256" s="99"/>
      <c r="HR256" s="99"/>
      <c r="HS256" s="99"/>
      <c r="HT256" s="99"/>
      <c r="HU256" s="99"/>
      <c r="HV256" s="99"/>
      <c r="HW256" s="99"/>
      <c r="HX256" s="99"/>
      <c r="HY256" s="99"/>
      <c r="HZ256" s="99"/>
      <c r="IA256" s="99"/>
      <c r="IB256" s="99"/>
      <c r="IC256" s="99"/>
      <c r="ID256" s="99"/>
      <c r="IE256" s="99"/>
      <c r="IF256" s="99"/>
      <c r="IG256" s="99"/>
      <c r="IH256" s="99"/>
      <c r="II256" s="99"/>
      <c r="IJ256" s="99"/>
      <c r="IK256" s="99"/>
      <c r="IL256" s="99"/>
      <c r="IM256" s="99"/>
      <c r="IN256" s="99"/>
      <c r="IO256" s="99"/>
      <c r="IP256" s="99"/>
      <c r="IQ256" s="99"/>
      <c r="IR256" s="99"/>
      <c r="IS256" s="99"/>
      <c r="IT256" s="99"/>
      <c r="IU256" s="99"/>
      <c r="IV256" s="99"/>
    </row>
    <row r="257" spans="1:256" ht="12.75">
      <c r="A257" s="33"/>
      <c r="B257" s="33"/>
      <c r="C257" s="33"/>
      <c r="D257" s="33"/>
      <c r="E257" s="33"/>
      <c r="F257" s="33"/>
      <c r="G257" s="33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  <c r="CW257" s="99"/>
      <c r="CX257" s="99"/>
      <c r="CY257" s="99"/>
      <c r="CZ257" s="99"/>
      <c r="DA257" s="99"/>
      <c r="DB257" s="99"/>
      <c r="DC257" s="99"/>
      <c r="DD257" s="99"/>
      <c r="DE257" s="99"/>
      <c r="DF257" s="99"/>
      <c r="DG257" s="99"/>
      <c r="DH257" s="99"/>
      <c r="DI257" s="99"/>
      <c r="DJ257" s="99"/>
      <c r="DK257" s="99"/>
      <c r="DL257" s="99"/>
      <c r="DM257" s="99"/>
      <c r="DN257" s="99"/>
      <c r="DO257" s="99"/>
      <c r="DP257" s="99"/>
      <c r="DQ257" s="99"/>
      <c r="DR257" s="99"/>
      <c r="DS257" s="99"/>
      <c r="DT257" s="99"/>
      <c r="DU257" s="99"/>
      <c r="DV257" s="99"/>
      <c r="DW257" s="99"/>
      <c r="DX257" s="99"/>
      <c r="DY257" s="99"/>
      <c r="DZ257" s="99"/>
      <c r="EA257" s="99"/>
      <c r="EB257" s="99"/>
      <c r="EC257" s="99"/>
      <c r="ED257" s="99"/>
      <c r="EE257" s="99"/>
      <c r="EF257" s="99"/>
      <c r="EG257" s="99"/>
      <c r="EH257" s="99"/>
      <c r="EI257" s="99"/>
      <c r="EJ257" s="99"/>
      <c r="EK257" s="99"/>
      <c r="EL257" s="99"/>
      <c r="EM257" s="99"/>
      <c r="EN257" s="99"/>
      <c r="EO257" s="99"/>
      <c r="EP257" s="99"/>
      <c r="EQ257" s="99"/>
      <c r="ER257" s="99"/>
      <c r="ES257" s="99"/>
      <c r="ET257" s="99"/>
      <c r="EU257" s="99"/>
      <c r="EV257" s="99"/>
      <c r="EW257" s="99"/>
      <c r="EX257" s="99"/>
      <c r="EY257" s="99"/>
      <c r="EZ257" s="99"/>
      <c r="FA257" s="99"/>
      <c r="FB257" s="99"/>
      <c r="FC257" s="99"/>
      <c r="FD257" s="99"/>
      <c r="FE257" s="99"/>
      <c r="FF257" s="99"/>
      <c r="FG257" s="99"/>
      <c r="FH257" s="99"/>
      <c r="FI257" s="99"/>
      <c r="FJ257" s="99"/>
      <c r="FK257" s="99"/>
      <c r="FL257" s="99"/>
      <c r="FM257" s="99"/>
      <c r="FN257" s="99"/>
      <c r="FO257" s="99"/>
      <c r="FP257" s="99"/>
      <c r="FQ257" s="99"/>
      <c r="FR257" s="99"/>
      <c r="FS257" s="99"/>
      <c r="FT257" s="99"/>
      <c r="FU257" s="99"/>
      <c r="FV257" s="99"/>
      <c r="FW257" s="99"/>
      <c r="FX257" s="99"/>
      <c r="FY257" s="99"/>
      <c r="FZ257" s="99"/>
      <c r="GA257" s="99"/>
      <c r="GB257" s="99"/>
      <c r="GC257" s="99"/>
      <c r="GD257" s="99"/>
      <c r="GE257" s="99"/>
      <c r="GF257" s="99"/>
      <c r="GG257" s="99"/>
      <c r="GH257" s="99"/>
      <c r="GI257" s="99"/>
      <c r="GJ257" s="99"/>
      <c r="GK257" s="99"/>
      <c r="GL257" s="99"/>
      <c r="GM257" s="99"/>
      <c r="GN257" s="99"/>
      <c r="GO257" s="99"/>
      <c r="GP257" s="99"/>
      <c r="GQ257" s="99"/>
      <c r="GR257" s="99"/>
      <c r="GS257" s="99"/>
      <c r="GT257" s="99"/>
      <c r="GU257" s="99"/>
      <c r="GV257" s="99"/>
      <c r="GW257" s="99"/>
      <c r="GX257" s="99"/>
      <c r="GY257" s="99"/>
      <c r="GZ257" s="99"/>
      <c r="HA257" s="99"/>
      <c r="HB257" s="99"/>
      <c r="HC257" s="99"/>
      <c r="HD257" s="99"/>
      <c r="HE257" s="99"/>
      <c r="HF257" s="99"/>
      <c r="HG257" s="99"/>
      <c r="HH257" s="99"/>
      <c r="HI257" s="99"/>
      <c r="HJ257" s="99"/>
      <c r="HK257" s="99"/>
      <c r="HL257" s="99"/>
      <c r="HM257" s="99"/>
      <c r="HN257" s="99"/>
      <c r="HO257" s="99"/>
      <c r="HP257" s="99"/>
      <c r="HQ257" s="99"/>
      <c r="HR257" s="99"/>
      <c r="HS257" s="99"/>
      <c r="HT257" s="99"/>
      <c r="HU257" s="99"/>
      <c r="HV257" s="99"/>
      <c r="HW257" s="99"/>
      <c r="HX257" s="99"/>
      <c r="HY257" s="99"/>
      <c r="HZ257" s="99"/>
      <c r="IA257" s="99"/>
      <c r="IB257" s="99"/>
      <c r="IC257" s="99"/>
      <c r="ID257" s="99"/>
      <c r="IE257" s="99"/>
      <c r="IF257" s="99"/>
      <c r="IG257" s="99"/>
      <c r="IH257" s="99"/>
      <c r="II257" s="99"/>
      <c r="IJ257" s="99"/>
      <c r="IK257" s="99"/>
      <c r="IL257" s="99"/>
      <c r="IM257" s="99"/>
      <c r="IN257" s="99"/>
      <c r="IO257" s="99"/>
      <c r="IP257" s="99"/>
      <c r="IQ257" s="99"/>
      <c r="IR257" s="99"/>
      <c r="IS257" s="99"/>
      <c r="IT257" s="99"/>
      <c r="IU257" s="99"/>
      <c r="IV257" s="99"/>
    </row>
    <row r="258" spans="1:256" ht="12.75">
      <c r="A258" s="33"/>
      <c r="B258" s="33"/>
      <c r="C258" s="33"/>
      <c r="D258" s="33"/>
      <c r="E258" s="33"/>
      <c r="F258" s="33"/>
      <c r="G258" s="33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  <c r="DA258" s="99"/>
      <c r="DB258" s="99"/>
      <c r="DC258" s="99"/>
      <c r="DD258" s="99"/>
      <c r="DE258" s="99"/>
      <c r="DF258" s="99"/>
      <c r="DG258" s="99"/>
      <c r="DH258" s="99"/>
      <c r="DI258" s="99"/>
      <c r="DJ258" s="99"/>
      <c r="DK258" s="99"/>
      <c r="DL258" s="99"/>
      <c r="DM258" s="99"/>
      <c r="DN258" s="99"/>
      <c r="DO258" s="99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99"/>
      <c r="EP258" s="99"/>
      <c r="EQ258" s="99"/>
      <c r="ER258" s="99"/>
      <c r="ES258" s="99"/>
      <c r="ET258" s="99"/>
      <c r="EU258" s="99"/>
      <c r="EV258" s="99"/>
      <c r="EW258" s="99"/>
      <c r="EX258" s="99"/>
      <c r="EY258" s="99"/>
      <c r="EZ258" s="99"/>
      <c r="FA258" s="99"/>
      <c r="FB258" s="99"/>
      <c r="FC258" s="99"/>
      <c r="FD258" s="99"/>
      <c r="FE258" s="99"/>
      <c r="FF258" s="99"/>
      <c r="FG258" s="99"/>
      <c r="FH258" s="99"/>
      <c r="FI258" s="99"/>
      <c r="FJ258" s="99"/>
      <c r="FK258" s="99"/>
      <c r="FL258" s="99"/>
      <c r="FM258" s="99"/>
      <c r="FN258" s="99"/>
      <c r="FO258" s="99"/>
      <c r="FP258" s="99"/>
      <c r="FQ258" s="99"/>
      <c r="FR258" s="99"/>
      <c r="FS258" s="99"/>
      <c r="FT258" s="99"/>
      <c r="FU258" s="99"/>
      <c r="FV258" s="99"/>
      <c r="FW258" s="99"/>
      <c r="FX258" s="99"/>
      <c r="FY258" s="99"/>
      <c r="FZ258" s="99"/>
      <c r="GA258" s="99"/>
      <c r="GB258" s="99"/>
      <c r="GC258" s="99"/>
      <c r="GD258" s="99"/>
      <c r="GE258" s="99"/>
      <c r="GF258" s="99"/>
      <c r="GG258" s="99"/>
      <c r="GH258" s="99"/>
      <c r="GI258" s="99"/>
      <c r="GJ258" s="99"/>
      <c r="GK258" s="99"/>
      <c r="GL258" s="99"/>
      <c r="GM258" s="99"/>
      <c r="GN258" s="99"/>
      <c r="GO258" s="99"/>
      <c r="GP258" s="99"/>
      <c r="GQ258" s="99"/>
      <c r="GR258" s="99"/>
      <c r="GS258" s="99"/>
      <c r="GT258" s="99"/>
      <c r="GU258" s="99"/>
      <c r="GV258" s="99"/>
      <c r="GW258" s="99"/>
      <c r="GX258" s="99"/>
      <c r="GY258" s="99"/>
      <c r="GZ258" s="99"/>
      <c r="HA258" s="99"/>
      <c r="HB258" s="99"/>
      <c r="HC258" s="99"/>
      <c r="HD258" s="99"/>
      <c r="HE258" s="99"/>
      <c r="HF258" s="99"/>
      <c r="HG258" s="99"/>
      <c r="HH258" s="99"/>
      <c r="HI258" s="99"/>
      <c r="HJ258" s="99"/>
      <c r="HK258" s="99"/>
      <c r="HL258" s="99"/>
      <c r="HM258" s="99"/>
      <c r="HN258" s="99"/>
      <c r="HO258" s="99"/>
      <c r="HP258" s="99"/>
      <c r="HQ258" s="99"/>
      <c r="HR258" s="99"/>
      <c r="HS258" s="99"/>
      <c r="HT258" s="99"/>
      <c r="HU258" s="99"/>
      <c r="HV258" s="99"/>
      <c r="HW258" s="99"/>
      <c r="HX258" s="99"/>
      <c r="HY258" s="99"/>
      <c r="HZ258" s="99"/>
      <c r="IA258" s="99"/>
      <c r="IB258" s="99"/>
      <c r="IC258" s="99"/>
      <c r="ID258" s="99"/>
      <c r="IE258" s="99"/>
      <c r="IF258" s="99"/>
      <c r="IG258" s="99"/>
      <c r="IH258" s="99"/>
      <c r="II258" s="99"/>
      <c r="IJ258" s="99"/>
      <c r="IK258" s="99"/>
      <c r="IL258" s="99"/>
      <c r="IM258" s="99"/>
      <c r="IN258" s="99"/>
      <c r="IO258" s="99"/>
      <c r="IP258" s="99"/>
      <c r="IQ258" s="99"/>
      <c r="IR258" s="99"/>
      <c r="IS258" s="99"/>
      <c r="IT258" s="99"/>
      <c r="IU258" s="99"/>
      <c r="IV258" s="99"/>
    </row>
    <row r="259" spans="1:256" ht="12.75">
      <c r="A259" s="33"/>
      <c r="B259" s="33"/>
      <c r="C259" s="33"/>
      <c r="D259" s="33"/>
      <c r="E259" s="33"/>
      <c r="F259" s="33"/>
      <c r="G259" s="33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99"/>
      <c r="DL259" s="99"/>
      <c r="DM259" s="99"/>
      <c r="DN259" s="99"/>
      <c r="DO259" s="99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99"/>
      <c r="EP259" s="99"/>
      <c r="EQ259" s="99"/>
      <c r="ER259" s="99"/>
      <c r="ES259" s="99"/>
      <c r="ET259" s="99"/>
      <c r="EU259" s="99"/>
      <c r="EV259" s="99"/>
      <c r="EW259" s="99"/>
      <c r="EX259" s="99"/>
      <c r="EY259" s="99"/>
      <c r="EZ259" s="99"/>
      <c r="FA259" s="99"/>
      <c r="FB259" s="99"/>
      <c r="FC259" s="99"/>
      <c r="FD259" s="99"/>
      <c r="FE259" s="99"/>
      <c r="FF259" s="99"/>
      <c r="FG259" s="99"/>
      <c r="FH259" s="99"/>
      <c r="FI259" s="99"/>
      <c r="FJ259" s="99"/>
      <c r="FK259" s="99"/>
      <c r="FL259" s="99"/>
      <c r="FM259" s="99"/>
      <c r="FN259" s="99"/>
      <c r="FO259" s="99"/>
      <c r="FP259" s="99"/>
      <c r="FQ259" s="99"/>
      <c r="FR259" s="99"/>
      <c r="FS259" s="99"/>
      <c r="FT259" s="99"/>
      <c r="FU259" s="99"/>
      <c r="FV259" s="99"/>
      <c r="FW259" s="99"/>
      <c r="FX259" s="99"/>
      <c r="FY259" s="99"/>
      <c r="FZ259" s="99"/>
      <c r="GA259" s="99"/>
      <c r="GB259" s="99"/>
      <c r="GC259" s="99"/>
      <c r="GD259" s="99"/>
      <c r="GE259" s="99"/>
      <c r="GF259" s="99"/>
      <c r="GG259" s="99"/>
      <c r="GH259" s="99"/>
      <c r="GI259" s="99"/>
      <c r="GJ259" s="99"/>
      <c r="GK259" s="99"/>
      <c r="GL259" s="99"/>
      <c r="GM259" s="99"/>
      <c r="GN259" s="99"/>
      <c r="GO259" s="99"/>
      <c r="GP259" s="99"/>
      <c r="GQ259" s="99"/>
      <c r="GR259" s="99"/>
      <c r="GS259" s="99"/>
      <c r="GT259" s="99"/>
      <c r="GU259" s="99"/>
      <c r="GV259" s="99"/>
      <c r="GW259" s="99"/>
      <c r="GX259" s="99"/>
      <c r="GY259" s="99"/>
      <c r="GZ259" s="99"/>
      <c r="HA259" s="99"/>
      <c r="HB259" s="99"/>
      <c r="HC259" s="99"/>
      <c r="HD259" s="99"/>
      <c r="HE259" s="99"/>
      <c r="HF259" s="99"/>
      <c r="HG259" s="99"/>
      <c r="HH259" s="99"/>
      <c r="HI259" s="99"/>
      <c r="HJ259" s="99"/>
      <c r="HK259" s="99"/>
      <c r="HL259" s="99"/>
      <c r="HM259" s="99"/>
      <c r="HN259" s="99"/>
      <c r="HO259" s="99"/>
      <c r="HP259" s="99"/>
      <c r="HQ259" s="99"/>
      <c r="HR259" s="99"/>
      <c r="HS259" s="99"/>
      <c r="HT259" s="99"/>
      <c r="HU259" s="99"/>
      <c r="HV259" s="99"/>
      <c r="HW259" s="99"/>
      <c r="HX259" s="99"/>
      <c r="HY259" s="99"/>
      <c r="HZ259" s="99"/>
      <c r="IA259" s="99"/>
      <c r="IB259" s="99"/>
      <c r="IC259" s="99"/>
      <c r="ID259" s="99"/>
      <c r="IE259" s="99"/>
      <c r="IF259" s="99"/>
      <c r="IG259" s="99"/>
      <c r="IH259" s="99"/>
      <c r="II259" s="99"/>
      <c r="IJ259" s="99"/>
      <c r="IK259" s="99"/>
      <c r="IL259" s="99"/>
      <c r="IM259" s="99"/>
      <c r="IN259" s="99"/>
      <c r="IO259" s="99"/>
      <c r="IP259" s="99"/>
      <c r="IQ259" s="99"/>
      <c r="IR259" s="99"/>
      <c r="IS259" s="99"/>
      <c r="IT259" s="99"/>
      <c r="IU259" s="99"/>
      <c r="IV259" s="99"/>
    </row>
    <row r="260" spans="1:256" ht="12.75">
      <c r="A260" s="33"/>
      <c r="B260" s="33"/>
      <c r="C260" s="33"/>
      <c r="D260" s="33"/>
      <c r="E260" s="33"/>
      <c r="F260" s="33"/>
      <c r="G260" s="33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  <c r="CZ260" s="99"/>
      <c r="DA260" s="99"/>
      <c r="DB260" s="99"/>
      <c r="DC260" s="99"/>
      <c r="DD260" s="99"/>
      <c r="DE260" s="99"/>
      <c r="DF260" s="99"/>
      <c r="DG260" s="99"/>
      <c r="DH260" s="99"/>
      <c r="DI260" s="99"/>
      <c r="DJ260" s="99"/>
      <c r="DK260" s="99"/>
      <c r="DL260" s="99"/>
      <c r="DM260" s="99"/>
      <c r="DN260" s="99"/>
      <c r="DO260" s="99"/>
      <c r="DP260" s="99"/>
      <c r="DQ260" s="99"/>
      <c r="DR260" s="99"/>
      <c r="DS260" s="99"/>
      <c r="DT260" s="99"/>
      <c r="DU260" s="99"/>
      <c r="DV260" s="99"/>
      <c r="DW260" s="99"/>
      <c r="DX260" s="99"/>
      <c r="DY260" s="99"/>
      <c r="DZ260" s="99"/>
      <c r="EA260" s="99"/>
      <c r="EB260" s="99"/>
      <c r="EC260" s="99"/>
      <c r="ED260" s="99"/>
      <c r="EE260" s="99"/>
      <c r="EF260" s="99"/>
      <c r="EG260" s="99"/>
      <c r="EH260" s="99"/>
      <c r="EI260" s="99"/>
      <c r="EJ260" s="99"/>
      <c r="EK260" s="99"/>
      <c r="EL260" s="99"/>
      <c r="EM260" s="99"/>
      <c r="EN260" s="99"/>
      <c r="EO260" s="99"/>
      <c r="EP260" s="99"/>
      <c r="EQ260" s="99"/>
      <c r="ER260" s="99"/>
      <c r="ES260" s="99"/>
      <c r="ET260" s="99"/>
      <c r="EU260" s="99"/>
      <c r="EV260" s="99"/>
      <c r="EW260" s="99"/>
      <c r="EX260" s="99"/>
      <c r="EY260" s="99"/>
      <c r="EZ260" s="99"/>
      <c r="FA260" s="99"/>
      <c r="FB260" s="99"/>
      <c r="FC260" s="99"/>
      <c r="FD260" s="99"/>
      <c r="FE260" s="99"/>
      <c r="FF260" s="99"/>
      <c r="FG260" s="99"/>
      <c r="FH260" s="99"/>
      <c r="FI260" s="99"/>
      <c r="FJ260" s="99"/>
      <c r="FK260" s="99"/>
      <c r="FL260" s="99"/>
      <c r="FM260" s="99"/>
      <c r="FN260" s="99"/>
      <c r="FO260" s="99"/>
      <c r="FP260" s="99"/>
      <c r="FQ260" s="99"/>
      <c r="FR260" s="99"/>
      <c r="FS260" s="99"/>
      <c r="FT260" s="99"/>
      <c r="FU260" s="99"/>
      <c r="FV260" s="99"/>
      <c r="FW260" s="99"/>
      <c r="FX260" s="99"/>
      <c r="FY260" s="99"/>
      <c r="FZ260" s="99"/>
      <c r="GA260" s="99"/>
      <c r="GB260" s="99"/>
      <c r="GC260" s="99"/>
      <c r="GD260" s="99"/>
      <c r="GE260" s="99"/>
      <c r="GF260" s="99"/>
      <c r="GG260" s="99"/>
      <c r="GH260" s="99"/>
      <c r="GI260" s="99"/>
      <c r="GJ260" s="99"/>
      <c r="GK260" s="99"/>
      <c r="GL260" s="99"/>
      <c r="GM260" s="99"/>
      <c r="GN260" s="99"/>
      <c r="GO260" s="99"/>
      <c r="GP260" s="99"/>
      <c r="GQ260" s="99"/>
      <c r="GR260" s="99"/>
      <c r="GS260" s="99"/>
      <c r="GT260" s="99"/>
      <c r="GU260" s="99"/>
      <c r="GV260" s="99"/>
      <c r="GW260" s="99"/>
      <c r="GX260" s="99"/>
      <c r="GY260" s="99"/>
      <c r="GZ260" s="99"/>
      <c r="HA260" s="99"/>
      <c r="HB260" s="99"/>
      <c r="HC260" s="99"/>
      <c r="HD260" s="99"/>
      <c r="HE260" s="99"/>
      <c r="HF260" s="99"/>
      <c r="HG260" s="99"/>
      <c r="HH260" s="99"/>
      <c r="HI260" s="99"/>
      <c r="HJ260" s="99"/>
      <c r="HK260" s="99"/>
      <c r="HL260" s="99"/>
      <c r="HM260" s="99"/>
      <c r="HN260" s="99"/>
      <c r="HO260" s="99"/>
      <c r="HP260" s="99"/>
      <c r="HQ260" s="99"/>
      <c r="HR260" s="99"/>
      <c r="HS260" s="99"/>
      <c r="HT260" s="99"/>
      <c r="HU260" s="99"/>
      <c r="HV260" s="99"/>
      <c r="HW260" s="99"/>
      <c r="HX260" s="99"/>
      <c r="HY260" s="99"/>
      <c r="HZ260" s="99"/>
      <c r="IA260" s="99"/>
      <c r="IB260" s="99"/>
      <c r="IC260" s="99"/>
      <c r="ID260" s="99"/>
      <c r="IE260" s="99"/>
      <c r="IF260" s="99"/>
      <c r="IG260" s="99"/>
      <c r="IH260" s="99"/>
      <c r="II260" s="99"/>
      <c r="IJ260" s="99"/>
      <c r="IK260" s="99"/>
      <c r="IL260" s="99"/>
      <c r="IM260" s="99"/>
      <c r="IN260" s="99"/>
      <c r="IO260" s="99"/>
      <c r="IP260" s="99"/>
      <c r="IQ260" s="99"/>
      <c r="IR260" s="99"/>
      <c r="IS260" s="99"/>
      <c r="IT260" s="99"/>
      <c r="IU260" s="99"/>
      <c r="IV260" s="99"/>
    </row>
    <row r="261" spans="1:256" ht="12.75">
      <c r="A261" s="33"/>
      <c r="B261" s="33"/>
      <c r="C261" s="33"/>
      <c r="D261" s="33"/>
      <c r="E261" s="33"/>
      <c r="F261" s="33"/>
      <c r="G261" s="33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  <c r="CZ261" s="99"/>
      <c r="DA261" s="99"/>
      <c r="DB261" s="99"/>
      <c r="DC261" s="99"/>
      <c r="DD261" s="99"/>
      <c r="DE261" s="99"/>
      <c r="DF261" s="99"/>
      <c r="DG261" s="99"/>
      <c r="DH261" s="99"/>
      <c r="DI261" s="99"/>
      <c r="DJ261" s="99"/>
      <c r="DK261" s="99"/>
      <c r="DL261" s="99"/>
      <c r="DM261" s="99"/>
      <c r="DN261" s="99"/>
      <c r="DO261" s="99"/>
      <c r="DP261" s="99"/>
      <c r="DQ261" s="99"/>
      <c r="DR261" s="99"/>
      <c r="DS261" s="99"/>
      <c r="DT261" s="99"/>
      <c r="DU261" s="99"/>
      <c r="DV261" s="99"/>
      <c r="DW261" s="99"/>
      <c r="DX261" s="99"/>
      <c r="DY261" s="99"/>
      <c r="DZ261" s="99"/>
      <c r="EA261" s="99"/>
      <c r="EB261" s="99"/>
      <c r="EC261" s="99"/>
      <c r="ED261" s="99"/>
      <c r="EE261" s="99"/>
      <c r="EF261" s="99"/>
      <c r="EG261" s="99"/>
      <c r="EH261" s="99"/>
      <c r="EI261" s="99"/>
      <c r="EJ261" s="99"/>
      <c r="EK261" s="99"/>
      <c r="EL261" s="99"/>
      <c r="EM261" s="99"/>
      <c r="EN261" s="99"/>
      <c r="EO261" s="99"/>
      <c r="EP261" s="99"/>
      <c r="EQ261" s="99"/>
      <c r="ER261" s="99"/>
      <c r="ES261" s="99"/>
      <c r="ET261" s="99"/>
      <c r="EU261" s="99"/>
      <c r="EV261" s="99"/>
      <c r="EW261" s="99"/>
      <c r="EX261" s="99"/>
      <c r="EY261" s="99"/>
      <c r="EZ261" s="99"/>
      <c r="FA261" s="99"/>
      <c r="FB261" s="99"/>
      <c r="FC261" s="99"/>
      <c r="FD261" s="99"/>
      <c r="FE261" s="99"/>
      <c r="FF261" s="99"/>
      <c r="FG261" s="99"/>
      <c r="FH261" s="99"/>
      <c r="FI261" s="99"/>
      <c r="FJ261" s="99"/>
      <c r="FK261" s="99"/>
      <c r="FL261" s="99"/>
      <c r="FM261" s="99"/>
      <c r="FN261" s="99"/>
      <c r="FO261" s="99"/>
      <c r="FP261" s="99"/>
      <c r="FQ261" s="99"/>
      <c r="FR261" s="99"/>
      <c r="FS261" s="99"/>
      <c r="FT261" s="99"/>
      <c r="FU261" s="99"/>
      <c r="FV261" s="99"/>
      <c r="FW261" s="99"/>
      <c r="FX261" s="99"/>
      <c r="FY261" s="99"/>
      <c r="FZ261" s="99"/>
      <c r="GA261" s="99"/>
      <c r="GB261" s="99"/>
      <c r="GC261" s="99"/>
      <c r="GD261" s="99"/>
      <c r="GE261" s="99"/>
      <c r="GF261" s="99"/>
      <c r="GG261" s="99"/>
      <c r="GH261" s="99"/>
      <c r="GI261" s="99"/>
      <c r="GJ261" s="99"/>
      <c r="GK261" s="99"/>
      <c r="GL261" s="99"/>
      <c r="GM261" s="99"/>
      <c r="GN261" s="99"/>
      <c r="GO261" s="99"/>
      <c r="GP261" s="99"/>
      <c r="GQ261" s="99"/>
      <c r="GR261" s="99"/>
      <c r="GS261" s="99"/>
      <c r="GT261" s="99"/>
      <c r="GU261" s="99"/>
      <c r="GV261" s="99"/>
      <c r="GW261" s="99"/>
      <c r="GX261" s="99"/>
      <c r="GY261" s="99"/>
      <c r="GZ261" s="99"/>
      <c r="HA261" s="99"/>
      <c r="HB261" s="99"/>
      <c r="HC261" s="99"/>
      <c r="HD261" s="99"/>
      <c r="HE261" s="99"/>
      <c r="HF261" s="99"/>
      <c r="HG261" s="99"/>
      <c r="HH261" s="99"/>
      <c r="HI261" s="99"/>
      <c r="HJ261" s="99"/>
      <c r="HK261" s="99"/>
      <c r="HL261" s="99"/>
      <c r="HM261" s="99"/>
      <c r="HN261" s="99"/>
      <c r="HO261" s="99"/>
      <c r="HP261" s="99"/>
      <c r="HQ261" s="99"/>
      <c r="HR261" s="99"/>
      <c r="HS261" s="99"/>
      <c r="HT261" s="99"/>
      <c r="HU261" s="99"/>
      <c r="HV261" s="99"/>
      <c r="HW261" s="99"/>
      <c r="HX261" s="99"/>
      <c r="HY261" s="99"/>
      <c r="HZ261" s="99"/>
      <c r="IA261" s="99"/>
      <c r="IB261" s="99"/>
      <c r="IC261" s="99"/>
      <c r="ID261" s="99"/>
      <c r="IE261" s="99"/>
      <c r="IF261" s="99"/>
      <c r="IG261" s="99"/>
      <c r="IH261" s="99"/>
      <c r="II261" s="99"/>
      <c r="IJ261" s="99"/>
      <c r="IK261" s="99"/>
      <c r="IL261" s="99"/>
      <c r="IM261" s="99"/>
      <c r="IN261" s="99"/>
      <c r="IO261" s="99"/>
      <c r="IP261" s="99"/>
      <c r="IQ261" s="99"/>
      <c r="IR261" s="99"/>
      <c r="IS261" s="99"/>
      <c r="IT261" s="99"/>
      <c r="IU261" s="99"/>
      <c r="IV261" s="99"/>
    </row>
    <row r="262" spans="1:256" ht="12.75">
      <c r="A262" s="33"/>
      <c r="B262" s="33"/>
      <c r="C262" s="33"/>
      <c r="D262" s="33"/>
      <c r="E262" s="33"/>
      <c r="F262" s="33"/>
      <c r="G262" s="33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  <c r="CZ262" s="99"/>
      <c r="DA262" s="99"/>
      <c r="DB262" s="99"/>
      <c r="DC262" s="99"/>
      <c r="DD262" s="99"/>
      <c r="DE262" s="99"/>
      <c r="DF262" s="99"/>
      <c r="DG262" s="99"/>
      <c r="DH262" s="99"/>
      <c r="DI262" s="99"/>
      <c r="DJ262" s="99"/>
      <c r="DK262" s="99"/>
      <c r="DL262" s="99"/>
      <c r="DM262" s="99"/>
      <c r="DN262" s="99"/>
      <c r="DO262" s="99"/>
      <c r="DP262" s="99"/>
      <c r="DQ262" s="99"/>
      <c r="DR262" s="99"/>
      <c r="DS262" s="99"/>
      <c r="DT262" s="99"/>
      <c r="DU262" s="99"/>
      <c r="DV262" s="99"/>
      <c r="DW262" s="99"/>
      <c r="DX262" s="99"/>
      <c r="DY262" s="99"/>
      <c r="DZ262" s="99"/>
      <c r="EA262" s="99"/>
      <c r="EB262" s="99"/>
      <c r="EC262" s="99"/>
      <c r="ED262" s="99"/>
      <c r="EE262" s="99"/>
      <c r="EF262" s="99"/>
      <c r="EG262" s="99"/>
      <c r="EH262" s="99"/>
      <c r="EI262" s="99"/>
      <c r="EJ262" s="99"/>
      <c r="EK262" s="99"/>
      <c r="EL262" s="99"/>
      <c r="EM262" s="99"/>
      <c r="EN262" s="99"/>
      <c r="EO262" s="99"/>
      <c r="EP262" s="99"/>
      <c r="EQ262" s="99"/>
      <c r="ER262" s="99"/>
      <c r="ES262" s="99"/>
      <c r="ET262" s="99"/>
      <c r="EU262" s="99"/>
      <c r="EV262" s="99"/>
      <c r="EW262" s="99"/>
      <c r="EX262" s="99"/>
      <c r="EY262" s="99"/>
      <c r="EZ262" s="99"/>
      <c r="FA262" s="99"/>
      <c r="FB262" s="99"/>
      <c r="FC262" s="99"/>
      <c r="FD262" s="99"/>
      <c r="FE262" s="99"/>
      <c r="FF262" s="99"/>
      <c r="FG262" s="99"/>
      <c r="FH262" s="99"/>
      <c r="FI262" s="99"/>
      <c r="FJ262" s="99"/>
      <c r="FK262" s="99"/>
      <c r="FL262" s="99"/>
      <c r="FM262" s="99"/>
      <c r="FN262" s="99"/>
      <c r="FO262" s="99"/>
      <c r="FP262" s="99"/>
      <c r="FQ262" s="99"/>
      <c r="FR262" s="99"/>
      <c r="FS262" s="99"/>
      <c r="FT262" s="99"/>
      <c r="FU262" s="99"/>
      <c r="FV262" s="99"/>
      <c r="FW262" s="99"/>
      <c r="FX262" s="99"/>
      <c r="FY262" s="99"/>
      <c r="FZ262" s="99"/>
      <c r="GA262" s="99"/>
      <c r="GB262" s="99"/>
      <c r="GC262" s="99"/>
      <c r="GD262" s="99"/>
      <c r="GE262" s="99"/>
      <c r="GF262" s="99"/>
      <c r="GG262" s="99"/>
      <c r="GH262" s="99"/>
      <c r="GI262" s="99"/>
      <c r="GJ262" s="99"/>
      <c r="GK262" s="99"/>
      <c r="GL262" s="99"/>
      <c r="GM262" s="99"/>
      <c r="GN262" s="99"/>
      <c r="GO262" s="99"/>
      <c r="GP262" s="99"/>
      <c r="GQ262" s="99"/>
      <c r="GR262" s="99"/>
      <c r="GS262" s="99"/>
      <c r="GT262" s="99"/>
      <c r="GU262" s="99"/>
      <c r="GV262" s="99"/>
      <c r="GW262" s="99"/>
      <c r="GX262" s="99"/>
      <c r="GY262" s="99"/>
      <c r="GZ262" s="99"/>
      <c r="HA262" s="99"/>
      <c r="HB262" s="99"/>
      <c r="HC262" s="99"/>
      <c r="HD262" s="99"/>
      <c r="HE262" s="99"/>
      <c r="HF262" s="99"/>
      <c r="HG262" s="99"/>
      <c r="HH262" s="99"/>
      <c r="HI262" s="99"/>
      <c r="HJ262" s="99"/>
      <c r="HK262" s="99"/>
      <c r="HL262" s="99"/>
      <c r="HM262" s="99"/>
      <c r="HN262" s="99"/>
      <c r="HO262" s="99"/>
      <c r="HP262" s="99"/>
      <c r="HQ262" s="99"/>
      <c r="HR262" s="99"/>
      <c r="HS262" s="99"/>
      <c r="HT262" s="99"/>
      <c r="HU262" s="99"/>
      <c r="HV262" s="99"/>
      <c r="HW262" s="99"/>
      <c r="HX262" s="99"/>
      <c r="HY262" s="99"/>
      <c r="HZ262" s="99"/>
      <c r="IA262" s="99"/>
      <c r="IB262" s="99"/>
      <c r="IC262" s="99"/>
      <c r="ID262" s="99"/>
      <c r="IE262" s="99"/>
      <c r="IF262" s="99"/>
      <c r="IG262" s="99"/>
      <c r="IH262" s="99"/>
      <c r="II262" s="99"/>
      <c r="IJ262" s="99"/>
      <c r="IK262" s="99"/>
      <c r="IL262" s="99"/>
      <c r="IM262" s="99"/>
      <c r="IN262" s="99"/>
      <c r="IO262" s="99"/>
      <c r="IP262" s="99"/>
      <c r="IQ262" s="99"/>
      <c r="IR262" s="99"/>
      <c r="IS262" s="99"/>
      <c r="IT262" s="99"/>
      <c r="IU262" s="99"/>
      <c r="IV262" s="99"/>
    </row>
    <row r="263" spans="1:256" ht="12.75">
      <c r="A263" s="33"/>
      <c r="B263" s="33"/>
      <c r="C263" s="33"/>
      <c r="D263" s="33"/>
      <c r="E263" s="33"/>
      <c r="F263" s="33"/>
      <c r="G263" s="33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99"/>
      <c r="DD263" s="99"/>
      <c r="DE263" s="99"/>
      <c r="DF263" s="99"/>
      <c r="DG263" s="99"/>
      <c r="DH263" s="99"/>
      <c r="DI263" s="99"/>
      <c r="DJ263" s="99"/>
      <c r="DK263" s="99"/>
      <c r="DL263" s="99"/>
      <c r="DM263" s="99"/>
      <c r="DN263" s="99"/>
      <c r="DO263" s="99"/>
      <c r="DP263" s="99"/>
      <c r="DQ263" s="99"/>
      <c r="DR263" s="99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99"/>
      <c r="EI263" s="99"/>
      <c r="EJ263" s="99"/>
      <c r="EK263" s="99"/>
      <c r="EL263" s="99"/>
      <c r="EM263" s="99"/>
      <c r="EN263" s="99"/>
      <c r="EO263" s="99"/>
      <c r="EP263" s="99"/>
      <c r="EQ263" s="99"/>
      <c r="ER263" s="99"/>
      <c r="ES263" s="99"/>
      <c r="ET263" s="99"/>
      <c r="EU263" s="99"/>
      <c r="EV263" s="99"/>
      <c r="EW263" s="99"/>
      <c r="EX263" s="99"/>
      <c r="EY263" s="99"/>
      <c r="EZ263" s="99"/>
      <c r="FA263" s="99"/>
      <c r="FB263" s="99"/>
      <c r="FC263" s="99"/>
      <c r="FD263" s="99"/>
      <c r="FE263" s="99"/>
      <c r="FF263" s="99"/>
      <c r="FG263" s="99"/>
      <c r="FH263" s="99"/>
      <c r="FI263" s="99"/>
      <c r="FJ263" s="99"/>
      <c r="FK263" s="99"/>
      <c r="FL263" s="99"/>
      <c r="FM263" s="99"/>
      <c r="FN263" s="99"/>
      <c r="FO263" s="99"/>
      <c r="FP263" s="99"/>
      <c r="FQ263" s="99"/>
      <c r="FR263" s="99"/>
      <c r="FS263" s="99"/>
      <c r="FT263" s="99"/>
      <c r="FU263" s="99"/>
      <c r="FV263" s="99"/>
      <c r="FW263" s="99"/>
      <c r="FX263" s="99"/>
      <c r="FY263" s="99"/>
      <c r="FZ263" s="99"/>
      <c r="GA263" s="99"/>
      <c r="GB263" s="99"/>
      <c r="GC263" s="99"/>
      <c r="GD263" s="99"/>
      <c r="GE263" s="99"/>
      <c r="GF263" s="99"/>
      <c r="GG263" s="99"/>
      <c r="GH263" s="99"/>
      <c r="GI263" s="99"/>
      <c r="GJ263" s="99"/>
      <c r="GK263" s="99"/>
      <c r="GL263" s="99"/>
      <c r="GM263" s="99"/>
      <c r="GN263" s="99"/>
      <c r="GO263" s="99"/>
      <c r="GP263" s="99"/>
      <c r="GQ263" s="99"/>
      <c r="GR263" s="99"/>
      <c r="GS263" s="99"/>
      <c r="GT263" s="99"/>
      <c r="GU263" s="99"/>
      <c r="GV263" s="99"/>
      <c r="GW263" s="99"/>
      <c r="GX263" s="99"/>
      <c r="GY263" s="99"/>
      <c r="GZ263" s="99"/>
      <c r="HA263" s="99"/>
      <c r="HB263" s="99"/>
      <c r="HC263" s="99"/>
      <c r="HD263" s="99"/>
      <c r="HE263" s="99"/>
      <c r="HF263" s="99"/>
      <c r="HG263" s="99"/>
      <c r="HH263" s="99"/>
      <c r="HI263" s="99"/>
      <c r="HJ263" s="99"/>
      <c r="HK263" s="99"/>
      <c r="HL263" s="99"/>
      <c r="HM263" s="99"/>
      <c r="HN263" s="99"/>
      <c r="HO263" s="99"/>
      <c r="HP263" s="99"/>
      <c r="HQ263" s="99"/>
      <c r="HR263" s="99"/>
      <c r="HS263" s="99"/>
      <c r="HT263" s="99"/>
      <c r="HU263" s="99"/>
      <c r="HV263" s="99"/>
      <c r="HW263" s="99"/>
      <c r="HX263" s="99"/>
      <c r="HY263" s="99"/>
      <c r="HZ263" s="99"/>
      <c r="IA263" s="99"/>
      <c r="IB263" s="99"/>
      <c r="IC263" s="99"/>
      <c r="ID263" s="99"/>
      <c r="IE263" s="99"/>
      <c r="IF263" s="99"/>
      <c r="IG263" s="99"/>
      <c r="IH263" s="99"/>
      <c r="II263" s="99"/>
      <c r="IJ263" s="99"/>
      <c r="IK263" s="99"/>
      <c r="IL263" s="99"/>
      <c r="IM263" s="99"/>
      <c r="IN263" s="99"/>
      <c r="IO263" s="99"/>
      <c r="IP263" s="99"/>
      <c r="IQ263" s="99"/>
      <c r="IR263" s="99"/>
      <c r="IS263" s="99"/>
      <c r="IT263" s="99"/>
      <c r="IU263" s="99"/>
      <c r="IV263" s="99"/>
    </row>
    <row r="264" spans="1:256" ht="12.75">
      <c r="A264" s="33"/>
      <c r="B264" s="33"/>
      <c r="C264" s="33"/>
      <c r="D264" s="33"/>
      <c r="E264" s="33"/>
      <c r="F264" s="33"/>
      <c r="G264" s="33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99"/>
      <c r="DS264" s="99"/>
      <c r="DT264" s="99"/>
      <c r="DU264" s="99"/>
      <c r="DV264" s="99"/>
      <c r="DW264" s="99"/>
      <c r="DX264" s="99"/>
      <c r="DY264" s="99"/>
      <c r="DZ264" s="99"/>
      <c r="EA264" s="99"/>
      <c r="EB264" s="99"/>
      <c r="EC264" s="99"/>
      <c r="ED264" s="99"/>
      <c r="EE264" s="99"/>
      <c r="EF264" s="99"/>
      <c r="EG264" s="99"/>
      <c r="EH264" s="99"/>
      <c r="EI264" s="99"/>
      <c r="EJ264" s="99"/>
      <c r="EK264" s="99"/>
      <c r="EL264" s="99"/>
      <c r="EM264" s="99"/>
      <c r="EN264" s="99"/>
      <c r="EO264" s="99"/>
      <c r="EP264" s="99"/>
      <c r="EQ264" s="99"/>
      <c r="ER264" s="99"/>
      <c r="ES264" s="99"/>
      <c r="ET264" s="99"/>
      <c r="EU264" s="99"/>
      <c r="EV264" s="99"/>
      <c r="EW264" s="99"/>
      <c r="EX264" s="99"/>
      <c r="EY264" s="99"/>
      <c r="EZ264" s="99"/>
      <c r="FA264" s="99"/>
      <c r="FB264" s="99"/>
      <c r="FC264" s="99"/>
      <c r="FD264" s="99"/>
      <c r="FE264" s="99"/>
      <c r="FF264" s="99"/>
      <c r="FG264" s="99"/>
      <c r="FH264" s="99"/>
      <c r="FI264" s="99"/>
      <c r="FJ264" s="99"/>
      <c r="FK264" s="99"/>
      <c r="FL264" s="99"/>
      <c r="FM264" s="99"/>
      <c r="FN264" s="99"/>
      <c r="FO264" s="99"/>
      <c r="FP264" s="99"/>
      <c r="FQ264" s="99"/>
      <c r="FR264" s="99"/>
      <c r="FS264" s="99"/>
      <c r="FT264" s="99"/>
      <c r="FU264" s="99"/>
      <c r="FV264" s="99"/>
      <c r="FW264" s="99"/>
      <c r="FX264" s="99"/>
      <c r="FY264" s="99"/>
      <c r="FZ264" s="99"/>
      <c r="GA264" s="99"/>
      <c r="GB264" s="99"/>
      <c r="GC264" s="99"/>
      <c r="GD264" s="99"/>
      <c r="GE264" s="99"/>
      <c r="GF264" s="99"/>
      <c r="GG264" s="99"/>
      <c r="GH264" s="99"/>
      <c r="GI264" s="99"/>
      <c r="GJ264" s="99"/>
      <c r="GK264" s="99"/>
      <c r="GL264" s="99"/>
      <c r="GM264" s="99"/>
      <c r="GN264" s="99"/>
      <c r="GO264" s="99"/>
      <c r="GP264" s="99"/>
      <c r="GQ264" s="99"/>
      <c r="GR264" s="99"/>
      <c r="GS264" s="99"/>
      <c r="GT264" s="99"/>
      <c r="GU264" s="99"/>
      <c r="GV264" s="99"/>
      <c r="GW264" s="99"/>
      <c r="GX264" s="99"/>
      <c r="GY264" s="99"/>
      <c r="GZ264" s="99"/>
      <c r="HA264" s="99"/>
      <c r="HB264" s="99"/>
      <c r="HC264" s="99"/>
      <c r="HD264" s="99"/>
      <c r="HE264" s="99"/>
      <c r="HF264" s="99"/>
      <c r="HG264" s="99"/>
      <c r="HH264" s="99"/>
      <c r="HI264" s="99"/>
      <c r="HJ264" s="99"/>
      <c r="HK264" s="99"/>
      <c r="HL264" s="99"/>
      <c r="HM264" s="99"/>
      <c r="HN264" s="99"/>
      <c r="HO264" s="99"/>
      <c r="HP264" s="99"/>
      <c r="HQ264" s="99"/>
      <c r="HR264" s="99"/>
      <c r="HS264" s="99"/>
      <c r="HT264" s="99"/>
      <c r="HU264" s="99"/>
      <c r="HV264" s="99"/>
      <c r="HW264" s="99"/>
      <c r="HX264" s="99"/>
      <c r="HY264" s="99"/>
      <c r="HZ264" s="99"/>
      <c r="IA264" s="99"/>
      <c r="IB264" s="99"/>
      <c r="IC264" s="99"/>
      <c r="ID264" s="99"/>
      <c r="IE264" s="99"/>
      <c r="IF264" s="99"/>
      <c r="IG264" s="99"/>
      <c r="IH264" s="99"/>
      <c r="II264" s="99"/>
      <c r="IJ264" s="99"/>
      <c r="IK264" s="99"/>
      <c r="IL264" s="99"/>
      <c r="IM264" s="99"/>
      <c r="IN264" s="99"/>
      <c r="IO264" s="99"/>
      <c r="IP264" s="99"/>
      <c r="IQ264" s="99"/>
      <c r="IR264" s="99"/>
      <c r="IS264" s="99"/>
      <c r="IT264" s="99"/>
      <c r="IU264" s="99"/>
      <c r="IV264" s="99"/>
    </row>
    <row r="265" spans="1:256" ht="12.75">
      <c r="A265" s="33"/>
      <c r="B265" s="33"/>
      <c r="C265" s="33"/>
      <c r="D265" s="33"/>
      <c r="E265" s="33"/>
      <c r="F265" s="33"/>
      <c r="G265" s="33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99"/>
      <c r="DD265" s="99"/>
      <c r="DE265" s="99"/>
      <c r="DF265" s="99"/>
      <c r="DG265" s="99"/>
      <c r="DH265" s="99"/>
      <c r="DI265" s="99"/>
      <c r="DJ265" s="99"/>
      <c r="DK265" s="99"/>
      <c r="DL265" s="99"/>
      <c r="DM265" s="99"/>
      <c r="DN265" s="99"/>
      <c r="DO265" s="99"/>
      <c r="DP265" s="99"/>
      <c r="DQ265" s="99"/>
      <c r="DR265" s="99"/>
      <c r="DS265" s="99"/>
      <c r="DT265" s="99"/>
      <c r="DU265" s="99"/>
      <c r="DV265" s="99"/>
      <c r="DW265" s="99"/>
      <c r="DX265" s="99"/>
      <c r="DY265" s="99"/>
      <c r="DZ265" s="99"/>
      <c r="EA265" s="99"/>
      <c r="EB265" s="99"/>
      <c r="EC265" s="99"/>
      <c r="ED265" s="99"/>
      <c r="EE265" s="99"/>
      <c r="EF265" s="99"/>
      <c r="EG265" s="99"/>
      <c r="EH265" s="99"/>
      <c r="EI265" s="99"/>
      <c r="EJ265" s="99"/>
      <c r="EK265" s="99"/>
      <c r="EL265" s="99"/>
      <c r="EM265" s="99"/>
      <c r="EN265" s="99"/>
      <c r="EO265" s="99"/>
      <c r="EP265" s="99"/>
      <c r="EQ265" s="99"/>
      <c r="ER265" s="99"/>
      <c r="ES265" s="99"/>
      <c r="ET265" s="99"/>
      <c r="EU265" s="99"/>
      <c r="EV265" s="99"/>
      <c r="EW265" s="99"/>
      <c r="EX265" s="99"/>
      <c r="EY265" s="99"/>
      <c r="EZ265" s="99"/>
      <c r="FA265" s="99"/>
      <c r="FB265" s="99"/>
      <c r="FC265" s="99"/>
      <c r="FD265" s="99"/>
      <c r="FE265" s="99"/>
      <c r="FF265" s="99"/>
      <c r="FG265" s="99"/>
      <c r="FH265" s="99"/>
      <c r="FI265" s="99"/>
      <c r="FJ265" s="99"/>
      <c r="FK265" s="99"/>
      <c r="FL265" s="99"/>
      <c r="FM265" s="99"/>
      <c r="FN265" s="99"/>
      <c r="FO265" s="99"/>
      <c r="FP265" s="99"/>
      <c r="FQ265" s="99"/>
      <c r="FR265" s="99"/>
      <c r="FS265" s="99"/>
      <c r="FT265" s="99"/>
      <c r="FU265" s="99"/>
      <c r="FV265" s="99"/>
      <c r="FW265" s="99"/>
      <c r="FX265" s="99"/>
      <c r="FY265" s="99"/>
      <c r="FZ265" s="99"/>
      <c r="GA265" s="99"/>
      <c r="GB265" s="99"/>
      <c r="GC265" s="99"/>
      <c r="GD265" s="99"/>
      <c r="GE265" s="99"/>
      <c r="GF265" s="99"/>
      <c r="GG265" s="99"/>
      <c r="GH265" s="99"/>
      <c r="GI265" s="99"/>
      <c r="GJ265" s="99"/>
      <c r="GK265" s="99"/>
      <c r="GL265" s="99"/>
      <c r="GM265" s="99"/>
      <c r="GN265" s="99"/>
      <c r="GO265" s="99"/>
      <c r="GP265" s="99"/>
      <c r="GQ265" s="99"/>
      <c r="GR265" s="99"/>
      <c r="GS265" s="99"/>
      <c r="GT265" s="99"/>
      <c r="GU265" s="99"/>
      <c r="GV265" s="99"/>
      <c r="GW265" s="99"/>
      <c r="GX265" s="99"/>
      <c r="GY265" s="99"/>
      <c r="GZ265" s="99"/>
      <c r="HA265" s="99"/>
      <c r="HB265" s="99"/>
      <c r="HC265" s="99"/>
      <c r="HD265" s="99"/>
      <c r="HE265" s="99"/>
      <c r="HF265" s="99"/>
      <c r="HG265" s="99"/>
      <c r="HH265" s="99"/>
      <c r="HI265" s="99"/>
      <c r="HJ265" s="99"/>
      <c r="HK265" s="99"/>
      <c r="HL265" s="99"/>
      <c r="HM265" s="99"/>
      <c r="HN265" s="99"/>
      <c r="HO265" s="99"/>
      <c r="HP265" s="99"/>
      <c r="HQ265" s="99"/>
      <c r="HR265" s="99"/>
      <c r="HS265" s="99"/>
      <c r="HT265" s="99"/>
      <c r="HU265" s="99"/>
      <c r="HV265" s="99"/>
      <c r="HW265" s="99"/>
      <c r="HX265" s="99"/>
      <c r="HY265" s="99"/>
      <c r="HZ265" s="99"/>
      <c r="IA265" s="99"/>
      <c r="IB265" s="99"/>
      <c r="IC265" s="99"/>
      <c r="ID265" s="99"/>
      <c r="IE265" s="99"/>
      <c r="IF265" s="99"/>
      <c r="IG265" s="99"/>
      <c r="IH265" s="99"/>
      <c r="II265" s="99"/>
      <c r="IJ265" s="99"/>
      <c r="IK265" s="99"/>
      <c r="IL265" s="99"/>
      <c r="IM265" s="99"/>
      <c r="IN265" s="99"/>
      <c r="IO265" s="99"/>
      <c r="IP265" s="99"/>
      <c r="IQ265" s="99"/>
      <c r="IR265" s="99"/>
      <c r="IS265" s="99"/>
      <c r="IT265" s="99"/>
      <c r="IU265" s="99"/>
      <c r="IV265" s="99"/>
    </row>
    <row r="266" spans="1:256" ht="12.75">
      <c r="A266" s="33"/>
      <c r="B266" s="33"/>
      <c r="C266" s="33"/>
      <c r="D266" s="33"/>
      <c r="E266" s="33"/>
      <c r="F266" s="33"/>
      <c r="G266" s="33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99"/>
      <c r="DL266" s="99"/>
      <c r="DM266" s="99"/>
      <c r="DN266" s="99"/>
      <c r="DO266" s="99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  <c r="FB266" s="99"/>
      <c r="FC266" s="99"/>
      <c r="FD266" s="99"/>
      <c r="FE266" s="99"/>
      <c r="FF266" s="99"/>
      <c r="FG266" s="99"/>
      <c r="FH266" s="99"/>
      <c r="FI266" s="99"/>
      <c r="FJ266" s="99"/>
      <c r="FK266" s="99"/>
      <c r="FL266" s="99"/>
      <c r="FM266" s="99"/>
      <c r="FN266" s="99"/>
      <c r="FO266" s="99"/>
      <c r="FP266" s="99"/>
      <c r="FQ266" s="99"/>
      <c r="FR266" s="99"/>
      <c r="FS266" s="99"/>
      <c r="FT266" s="99"/>
      <c r="FU266" s="99"/>
      <c r="FV266" s="99"/>
      <c r="FW266" s="99"/>
      <c r="FX266" s="99"/>
      <c r="FY266" s="99"/>
      <c r="FZ266" s="99"/>
      <c r="GA266" s="99"/>
      <c r="GB266" s="99"/>
      <c r="GC266" s="99"/>
      <c r="GD266" s="99"/>
      <c r="GE266" s="99"/>
      <c r="GF266" s="99"/>
      <c r="GG266" s="99"/>
      <c r="GH266" s="99"/>
      <c r="GI266" s="99"/>
      <c r="GJ266" s="99"/>
      <c r="GK266" s="99"/>
      <c r="GL266" s="99"/>
      <c r="GM266" s="99"/>
      <c r="GN266" s="99"/>
      <c r="GO266" s="99"/>
      <c r="GP266" s="99"/>
      <c r="GQ266" s="99"/>
      <c r="GR266" s="99"/>
      <c r="GS266" s="99"/>
      <c r="GT266" s="99"/>
      <c r="GU266" s="99"/>
      <c r="GV266" s="99"/>
      <c r="GW266" s="99"/>
      <c r="GX266" s="99"/>
      <c r="GY266" s="99"/>
      <c r="GZ266" s="99"/>
      <c r="HA266" s="99"/>
      <c r="HB266" s="99"/>
      <c r="HC266" s="99"/>
      <c r="HD266" s="99"/>
      <c r="HE266" s="99"/>
      <c r="HF266" s="99"/>
      <c r="HG266" s="99"/>
      <c r="HH266" s="99"/>
      <c r="HI266" s="99"/>
      <c r="HJ266" s="99"/>
      <c r="HK266" s="99"/>
      <c r="HL266" s="99"/>
      <c r="HM266" s="99"/>
      <c r="HN266" s="99"/>
      <c r="HO266" s="99"/>
      <c r="HP266" s="99"/>
      <c r="HQ266" s="99"/>
      <c r="HR266" s="99"/>
      <c r="HS266" s="99"/>
      <c r="HT266" s="99"/>
      <c r="HU266" s="99"/>
      <c r="HV266" s="99"/>
      <c r="HW266" s="99"/>
      <c r="HX266" s="99"/>
      <c r="HY266" s="99"/>
      <c r="HZ266" s="99"/>
      <c r="IA266" s="99"/>
      <c r="IB266" s="99"/>
      <c r="IC266" s="99"/>
      <c r="ID266" s="99"/>
      <c r="IE266" s="99"/>
      <c r="IF266" s="99"/>
      <c r="IG266" s="99"/>
      <c r="IH266" s="99"/>
      <c r="II266" s="99"/>
      <c r="IJ266" s="99"/>
      <c r="IK266" s="99"/>
      <c r="IL266" s="99"/>
      <c r="IM266" s="99"/>
      <c r="IN266" s="99"/>
      <c r="IO266" s="99"/>
      <c r="IP266" s="99"/>
      <c r="IQ266" s="99"/>
      <c r="IR266" s="99"/>
      <c r="IS266" s="99"/>
      <c r="IT266" s="99"/>
      <c r="IU266" s="99"/>
      <c r="IV266" s="99"/>
    </row>
    <row r="267" spans="1:256" ht="12.75">
      <c r="A267" s="33"/>
      <c r="B267" s="33"/>
      <c r="C267" s="33"/>
      <c r="D267" s="33"/>
      <c r="E267" s="33"/>
      <c r="F267" s="33"/>
      <c r="G267" s="33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  <c r="DA267" s="99"/>
      <c r="DB267" s="99"/>
      <c r="DC267" s="99"/>
      <c r="DD267" s="99"/>
      <c r="DE267" s="99"/>
      <c r="DF267" s="99"/>
      <c r="DG267" s="99"/>
      <c r="DH267" s="99"/>
      <c r="DI267" s="99"/>
      <c r="DJ267" s="99"/>
      <c r="DK267" s="99"/>
      <c r="DL267" s="99"/>
      <c r="DM267" s="99"/>
      <c r="DN267" s="99"/>
      <c r="DO267" s="99"/>
      <c r="DP267" s="99"/>
      <c r="DQ267" s="99"/>
      <c r="DR267" s="99"/>
      <c r="DS267" s="99"/>
      <c r="DT267" s="99"/>
      <c r="DU267" s="99"/>
      <c r="DV267" s="99"/>
      <c r="DW267" s="99"/>
      <c r="DX267" s="99"/>
      <c r="DY267" s="99"/>
      <c r="DZ267" s="99"/>
      <c r="EA267" s="99"/>
      <c r="EB267" s="99"/>
      <c r="EC267" s="99"/>
      <c r="ED267" s="99"/>
      <c r="EE267" s="99"/>
      <c r="EF267" s="99"/>
      <c r="EG267" s="99"/>
      <c r="EH267" s="99"/>
      <c r="EI267" s="99"/>
      <c r="EJ267" s="99"/>
      <c r="EK267" s="99"/>
      <c r="EL267" s="99"/>
      <c r="EM267" s="99"/>
      <c r="EN267" s="99"/>
      <c r="EO267" s="99"/>
      <c r="EP267" s="99"/>
      <c r="EQ267" s="99"/>
      <c r="ER267" s="99"/>
      <c r="ES267" s="99"/>
      <c r="ET267" s="99"/>
      <c r="EU267" s="99"/>
      <c r="EV267" s="99"/>
      <c r="EW267" s="99"/>
      <c r="EX267" s="99"/>
      <c r="EY267" s="99"/>
      <c r="EZ267" s="99"/>
      <c r="FA267" s="99"/>
      <c r="FB267" s="99"/>
      <c r="FC267" s="99"/>
      <c r="FD267" s="99"/>
      <c r="FE267" s="99"/>
      <c r="FF267" s="99"/>
      <c r="FG267" s="99"/>
      <c r="FH267" s="99"/>
      <c r="FI267" s="99"/>
      <c r="FJ267" s="99"/>
      <c r="FK267" s="99"/>
      <c r="FL267" s="99"/>
      <c r="FM267" s="99"/>
      <c r="FN267" s="99"/>
      <c r="FO267" s="99"/>
      <c r="FP267" s="99"/>
      <c r="FQ267" s="99"/>
      <c r="FR267" s="99"/>
      <c r="FS267" s="99"/>
      <c r="FT267" s="99"/>
      <c r="FU267" s="99"/>
      <c r="FV267" s="99"/>
      <c r="FW267" s="99"/>
      <c r="FX267" s="99"/>
      <c r="FY267" s="99"/>
      <c r="FZ267" s="99"/>
      <c r="GA267" s="99"/>
      <c r="GB267" s="99"/>
      <c r="GC267" s="99"/>
      <c r="GD267" s="99"/>
      <c r="GE267" s="99"/>
      <c r="GF267" s="99"/>
      <c r="GG267" s="99"/>
      <c r="GH267" s="99"/>
      <c r="GI267" s="99"/>
      <c r="GJ267" s="99"/>
      <c r="GK267" s="99"/>
      <c r="GL267" s="99"/>
      <c r="GM267" s="99"/>
      <c r="GN267" s="99"/>
      <c r="GO267" s="99"/>
      <c r="GP267" s="99"/>
      <c r="GQ267" s="99"/>
      <c r="GR267" s="99"/>
      <c r="GS267" s="99"/>
      <c r="GT267" s="99"/>
      <c r="GU267" s="99"/>
      <c r="GV267" s="99"/>
      <c r="GW267" s="99"/>
      <c r="GX267" s="99"/>
      <c r="GY267" s="99"/>
      <c r="GZ267" s="99"/>
      <c r="HA267" s="99"/>
      <c r="HB267" s="99"/>
      <c r="HC267" s="99"/>
      <c r="HD267" s="99"/>
      <c r="HE267" s="99"/>
      <c r="HF267" s="99"/>
      <c r="HG267" s="99"/>
      <c r="HH267" s="99"/>
      <c r="HI267" s="99"/>
      <c r="HJ267" s="99"/>
      <c r="HK267" s="99"/>
      <c r="HL267" s="99"/>
      <c r="HM267" s="99"/>
      <c r="HN267" s="99"/>
      <c r="HO267" s="99"/>
      <c r="HP267" s="99"/>
      <c r="HQ267" s="99"/>
      <c r="HR267" s="99"/>
      <c r="HS267" s="99"/>
      <c r="HT267" s="99"/>
      <c r="HU267" s="99"/>
      <c r="HV267" s="99"/>
      <c r="HW267" s="99"/>
      <c r="HX267" s="99"/>
      <c r="HY267" s="99"/>
      <c r="HZ267" s="99"/>
      <c r="IA267" s="99"/>
      <c r="IB267" s="99"/>
      <c r="IC267" s="99"/>
      <c r="ID267" s="99"/>
      <c r="IE267" s="99"/>
      <c r="IF267" s="99"/>
      <c r="IG267" s="99"/>
      <c r="IH267" s="99"/>
      <c r="II267" s="99"/>
      <c r="IJ267" s="99"/>
      <c r="IK267" s="99"/>
      <c r="IL267" s="99"/>
      <c r="IM267" s="99"/>
      <c r="IN267" s="99"/>
      <c r="IO267" s="99"/>
      <c r="IP267" s="99"/>
      <c r="IQ267" s="99"/>
      <c r="IR267" s="99"/>
      <c r="IS267" s="99"/>
      <c r="IT267" s="99"/>
      <c r="IU267" s="99"/>
      <c r="IV267" s="99"/>
    </row>
  </sheetData>
  <mergeCells count="37">
    <mergeCell ref="H133:N133"/>
    <mergeCell ref="O133:U133"/>
    <mergeCell ref="V133:AB133"/>
    <mergeCell ref="AC133:AI133"/>
    <mergeCell ref="AJ133:AP133"/>
    <mergeCell ref="AQ133:AW133"/>
    <mergeCell ref="AX133:BD133"/>
    <mergeCell ref="BE133:BK133"/>
    <mergeCell ref="BL133:BR133"/>
    <mergeCell ref="BS133:BY133"/>
    <mergeCell ref="BZ133:CF133"/>
    <mergeCell ref="CG133:CM133"/>
    <mergeCell ref="CN133:CT133"/>
    <mergeCell ref="CU133:DA133"/>
    <mergeCell ref="DB133:DH133"/>
    <mergeCell ref="DI133:DO133"/>
    <mergeCell ref="DP133:DV133"/>
    <mergeCell ref="DW133:EC133"/>
    <mergeCell ref="ED133:EJ133"/>
    <mergeCell ref="EK133:EQ133"/>
    <mergeCell ref="GH133:GN133"/>
    <mergeCell ref="IS133:IV133"/>
    <mergeCell ref="IL133:IR133"/>
    <mergeCell ref="ER133:EX133"/>
    <mergeCell ref="EY133:FE133"/>
    <mergeCell ref="FF133:FL133"/>
    <mergeCell ref="FM133:FS133"/>
    <mergeCell ref="A133:G133"/>
    <mergeCell ref="HQ133:HW133"/>
    <mergeCell ref="HX133:ID133"/>
    <mergeCell ref="IE133:IK133"/>
    <mergeCell ref="GO133:GU133"/>
    <mergeCell ref="GV133:HB133"/>
    <mergeCell ref="HC133:HI133"/>
    <mergeCell ref="HJ133:HP133"/>
    <mergeCell ref="FT133:FZ133"/>
    <mergeCell ref="GA133:GG13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131"/>
  <sheetViews>
    <sheetView workbookViewId="0" topLeftCell="A1">
      <selection activeCell="A17" sqref="A17"/>
    </sheetView>
  </sheetViews>
  <sheetFormatPr defaultColWidth="9.140625" defaultRowHeight="17.25" customHeight="1"/>
  <cols>
    <col min="1" max="1" width="46.7109375" style="282" customWidth="1"/>
    <col min="2" max="2" width="8.8515625" style="282" bestFit="1" customWidth="1"/>
    <col min="3" max="3" width="10.140625" style="282" bestFit="1" customWidth="1"/>
    <col min="4" max="4" width="10.7109375" style="282" customWidth="1"/>
    <col min="5" max="5" width="10.421875" style="282" bestFit="1" customWidth="1"/>
    <col min="6" max="16384" width="9.140625" style="282" customWidth="1"/>
  </cols>
  <sheetData>
    <row r="1" spans="2:5" ht="17.25" customHeight="1">
      <c r="B1" s="5"/>
      <c r="C1" s="5"/>
      <c r="D1" s="5"/>
      <c r="E1" s="69" t="s">
        <v>773</v>
      </c>
    </row>
    <row r="2" spans="1:5" ht="17.25" customHeight="1">
      <c r="A2" s="625" t="s">
        <v>187</v>
      </c>
      <c r="B2" s="625"/>
      <c r="C2" s="625"/>
      <c r="D2" s="625"/>
      <c r="E2" s="625"/>
    </row>
    <row r="3" spans="1:5" ht="12" customHeight="1">
      <c r="A3" s="3"/>
      <c r="B3" s="3"/>
      <c r="C3" s="3"/>
      <c r="D3" s="3"/>
      <c r="E3" s="3"/>
    </row>
    <row r="4" spans="1:5" ht="31.5" customHeight="1">
      <c r="A4" s="283" t="s">
        <v>774</v>
      </c>
      <c r="B4" s="7"/>
      <c r="C4" s="5"/>
      <c r="D4" s="5"/>
      <c r="E4" s="5"/>
    </row>
    <row r="5" spans="1:5" ht="17.25" customHeight="1">
      <c r="A5" s="640" t="s">
        <v>301</v>
      </c>
      <c r="B5" s="640"/>
      <c r="C5" s="640"/>
      <c r="D5" s="640"/>
      <c r="E5" s="640"/>
    </row>
    <row r="6" spans="1:5" ht="17.25" customHeight="1">
      <c r="A6" s="284"/>
      <c r="B6" s="284"/>
      <c r="C6" s="285"/>
      <c r="D6" s="286"/>
      <c r="E6" s="99" t="s">
        <v>413</v>
      </c>
    </row>
    <row r="7" spans="1:5" ht="33.75">
      <c r="A7" s="10" t="s">
        <v>191</v>
      </c>
      <c r="B7" s="10" t="s">
        <v>775</v>
      </c>
      <c r="C7" s="10" t="s">
        <v>193</v>
      </c>
      <c r="D7" s="10" t="s">
        <v>194</v>
      </c>
      <c r="E7" s="10" t="s">
        <v>440</v>
      </c>
    </row>
    <row r="8" spans="1:5" s="287" customFormat="1" ht="11.25">
      <c r="A8" s="10">
        <v>1</v>
      </c>
      <c r="B8" s="10">
        <v>2</v>
      </c>
      <c r="C8" s="10">
        <v>3</v>
      </c>
      <c r="D8" s="10">
        <v>4</v>
      </c>
      <c r="E8" s="10">
        <v>5</v>
      </c>
    </row>
    <row r="9" spans="1:5" ht="17.25" customHeight="1">
      <c r="A9" s="35" t="s">
        <v>776</v>
      </c>
      <c r="B9" s="258"/>
      <c r="C9" s="258">
        <f>C17+C21</f>
        <v>33743</v>
      </c>
      <c r="D9" s="126"/>
      <c r="E9" s="258">
        <f>E17+E21</f>
        <v>33743</v>
      </c>
    </row>
    <row r="10" spans="1:5" ht="17.25" customHeight="1">
      <c r="A10" s="12" t="s">
        <v>777</v>
      </c>
      <c r="B10" s="258"/>
      <c r="C10" s="258">
        <f>SUM(C11:C14)</f>
        <v>33746</v>
      </c>
      <c r="D10" s="126"/>
      <c r="E10" s="258">
        <f>SUM(E11:E14)</f>
        <v>33746</v>
      </c>
    </row>
    <row r="11" spans="1:5" ht="12.75">
      <c r="A11" s="131" t="s">
        <v>778</v>
      </c>
      <c r="B11" s="258"/>
      <c r="C11" s="258">
        <f>'[2]Janvāris'!$H$11</f>
        <v>18337</v>
      </c>
      <c r="D11" s="126"/>
      <c r="E11" s="258">
        <f>'[2]Janvāris'!$H$11</f>
        <v>18337</v>
      </c>
    </row>
    <row r="12" spans="1:5" ht="12.75">
      <c r="A12" s="131" t="s">
        <v>779</v>
      </c>
      <c r="B12" s="258"/>
      <c r="C12" s="258">
        <f>'[2]Janvāris'!$H$22</f>
        <v>1483</v>
      </c>
      <c r="D12" s="126"/>
      <c r="E12" s="258">
        <f>'[2]Janvāris'!$H$22</f>
        <v>1483</v>
      </c>
    </row>
    <row r="13" spans="1:5" ht="12.75">
      <c r="A13" s="131" t="s">
        <v>780</v>
      </c>
      <c r="B13" s="258"/>
      <c r="C13" s="258">
        <f>'[2]Janvāris'!$H$29</f>
        <v>1895</v>
      </c>
      <c r="D13" s="126"/>
      <c r="E13" s="258">
        <f>'[2]Janvāris'!$H$29</f>
        <v>1895</v>
      </c>
    </row>
    <row r="14" spans="1:5" ht="12.75">
      <c r="A14" s="131" t="s">
        <v>781</v>
      </c>
      <c r="B14" s="258"/>
      <c r="C14" s="258">
        <f>'[2]Janvāris'!$H$30</f>
        <v>12031</v>
      </c>
      <c r="D14" s="126"/>
      <c r="E14" s="258">
        <f>'[2]Janvāris'!$H$30</f>
        <v>12031</v>
      </c>
    </row>
    <row r="15" spans="1:5" ht="25.5">
      <c r="A15" s="288" t="s">
        <v>782</v>
      </c>
      <c r="B15" s="258"/>
      <c r="C15" s="258">
        <f>'[2]Janvāris'!$H$31</f>
        <v>385</v>
      </c>
      <c r="D15" s="126"/>
      <c r="E15" s="258">
        <f>'[2]Janvāris'!$H$31</f>
        <v>385</v>
      </c>
    </row>
    <row r="16" spans="1:5" ht="25.5">
      <c r="A16" s="289" t="s">
        <v>783</v>
      </c>
      <c r="B16" s="258"/>
      <c r="C16" s="258">
        <v>2231</v>
      </c>
      <c r="D16" s="126"/>
      <c r="E16" s="258">
        <v>2231</v>
      </c>
    </row>
    <row r="17" spans="1:5" ht="12.75">
      <c r="A17" s="35" t="s">
        <v>784</v>
      </c>
      <c r="B17" s="258"/>
      <c r="C17" s="258">
        <f>C10-C15-C16</f>
        <v>31130</v>
      </c>
      <c r="D17" s="126"/>
      <c r="E17" s="258">
        <f>E10-E15-E16</f>
        <v>31130</v>
      </c>
    </row>
    <row r="18" spans="1:5" ht="25.5">
      <c r="A18" s="35" t="s">
        <v>785</v>
      </c>
      <c r="B18" s="258"/>
      <c r="C18" s="258">
        <f>'[6]Janvāris'!$C$10</f>
        <v>3659</v>
      </c>
      <c r="D18" s="126"/>
      <c r="E18" s="258">
        <f>'[6]Janvāris'!$C$10</f>
        <v>3659</v>
      </c>
    </row>
    <row r="19" spans="1:5" ht="25.5">
      <c r="A19" s="27" t="s">
        <v>786</v>
      </c>
      <c r="B19" s="258"/>
      <c r="C19" s="258">
        <v>3659</v>
      </c>
      <c r="D19" s="126"/>
      <c r="E19" s="258">
        <v>3659</v>
      </c>
    </row>
    <row r="20" spans="1:5" ht="25.5">
      <c r="A20" s="289" t="s">
        <v>787</v>
      </c>
      <c r="B20" s="258"/>
      <c r="C20" s="258">
        <f>'[6]Janvāris'!$C$11</f>
        <v>1046</v>
      </c>
      <c r="D20" s="126"/>
      <c r="E20" s="258">
        <f>'[6]Janvāris'!$C$11</f>
        <v>1046</v>
      </c>
    </row>
    <row r="21" spans="1:5" ht="17.25" customHeight="1">
      <c r="A21" s="35" t="s">
        <v>788</v>
      </c>
      <c r="B21" s="258"/>
      <c r="C21" s="258">
        <f>C18-C20</f>
        <v>2613</v>
      </c>
      <c r="D21" s="126"/>
      <c r="E21" s="258">
        <f>E18-E20</f>
        <v>2613</v>
      </c>
    </row>
    <row r="22" spans="1:5" ht="25.5">
      <c r="A22" s="35" t="s">
        <v>789</v>
      </c>
      <c r="B22" s="258"/>
      <c r="C22" s="258">
        <f>SUM(C23:C25)</f>
        <v>30722</v>
      </c>
      <c r="D22" s="126"/>
      <c r="E22" s="258">
        <f>SUM(E23:E25)</f>
        <v>30722</v>
      </c>
    </row>
    <row r="23" spans="1:5" ht="25.5">
      <c r="A23" s="27" t="s">
        <v>790</v>
      </c>
      <c r="B23" s="258"/>
      <c r="C23" s="258">
        <f>C39+C48</f>
        <v>26634</v>
      </c>
      <c r="D23" s="126"/>
      <c r="E23" s="258">
        <f>E39+E48</f>
        <v>26634</v>
      </c>
    </row>
    <row r="24" spans="1:5" ht="25.5">
      <c r="A24" s="27" t="s">
        <v>791</v>
      </c>
      <c r="B24" s="258"/>
      <c r="C24" s="258">
        <f>C40+C49</f>
        <v>1569</v>
      </c>
      <c r="D24" s="126"/>
      <c r="E24" s="258">
        <f>E40+E49</f>
        <v>1569</v>
      </c>
    </row>
    <row r="25" spans="1:5" ht="25.5">
      <c r="A25" s="27" t="s">
        <v>792</v>
      </c>
      <c r="B25" s="258"/>
      <c r="C25" s="258">
        <f>C41+C50</f>
        <v>2519</v>
      </c>
      <c r="D25" s="126"/>
      <c r="E25" s="258">
        <f>E41+E50</f>
        <v>2519</v>
      </c>
    </row>
    <row r="26" spans="1:5" ht="25.5">
      <c r="A26" s="35" t="s">
        <v>793</v>
      </c>
      <c r="B26" s="258"/>
      <c r="C26" s="258">
        <f>C9-C22</f>
        <v>3021</v>
      </c>
      <c r="D26" s="126"/>
      <c r="E26" s="258">
        <f>E9-E22</f>
        <v>3021</v>
      </c>
    </row>
    <row r="27" spans="1:5" ht="25.5">
      <c r="A27" s="35" t="s">
        <v>794</v>
      </c>
      <c r="B27" s="258"/>
      <c r="C27" s="258">
        <f>C43+C52</f>
        <v>-896</v>
      </c>
      <c r="D27" s="126"/>
      <c r="E27" s="258">
        <f>E43+E52</f>
        <v>-896</v>
      </c>
    </row>
    <row r="28" spans="1:5" ht="25.5">
      <c r="A28" s="35" t="s">
        <v>795</v>
      </c>
      <c r="B28" s="258"/>
      <c r="C28" s="258">
        <f>C22+C27</f>
        <v>29826</v>
      </c>
      <c r="D28" s="126"/>
      <c r="E28" s="258">
        <f>E22+E27</f>
        <v>29826</v>
      </c>
    </row>
    <row r="29" spans="1:5" ht="25.5">
      <c r="A29" s="35" t="s">
        <v>796</v>
      </c>
      <c r="B29" s="258"/>
      <c r="C29" s="258">
        <f>C9-C28</f>
        <v>3917</v>
      </c>
      <c r="D29" s="126"/>
      <c r="E29" s="258">
        <f>E9-E28</f>
        <v>3917</v>
      </c>
    </row>
    <row r="30" spans="1:47" s="293" customFormat="1" ht="12.75">
      <c r="A30" s="36" t="s">
        <v>797</v>
      </c>
      <c r="B30" s="290"/>
      <c r="C30" s="290"/>
      <c r="D30" s="291"/>
      <c r="E30" s="290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</row>
    <row r="31" spans="1:47" s="293" customFormat="1" ht="25.5">
      <c r="A31" s="288" t="s">
        <v>798</v>
      </c>
      <c r="B31" s="290"/>
      <c r="C31" s="290">
        <f>C20</f>
        <v>1046</v>
      </c>
      <c r="D31" s="291"/>
      <c r="E31" s="290">
        <f>E20</f>
        <v>1046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</row>
    <row r="32" spans="1:47" s="293" customFormat="1" ht="12.75">
      <c r="A32" s="36" t="s">
        <v>799</v>
      </c>
      <c r="B32" s="290"/>
      <c r="C32" s="290">
        <f>1257-996</f>
        <v>261</v>
      </c>
      <c r="D32" s="291"/>
      <c r="E32" s="290">
        <f>1257-996</f>
        <v>261</v>
      </c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</row>
    <row r="33" spans="1:47" s="295" customFormat="1" ht="12.75">
      <c r="A33" s="36" t="s">
        <v>800</v>
      </c>
      <c r="B33" s="294"/>
      <c r="C33" s="290">
        <v>2610</v>
      </c>
      <c r="D33" s="291"/>
      <c r="E33" s="290">
        <f>C33</f>
        <v>2610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</row>
    <row r="34" spans="1:5" ht="17.25" customHeight="1">
      <c r="A34" s="35" t="s">
        <v>801</v>
      </c>
      <c r="B34" s="258"/>
      <c r="C34" s="258">
        <f>'[4]Janvāris'!$H$10</f>
        <v>31396</v>
      </c>
      <c r="D34" s="126"/>
      <c r="E34" s="258">
        <f>'[4]Janvāris'!$H$10</f>
        <v>31396</v>
      </c>
    </row>
    <row r="35" spans="1:5" ht="25.5">
      <c r="A35" s="289" t="s">
        <v>802</v>
      </c>
      <c r="B35" s="258"/>
      <c r="C35" s="258">
        <f>C38</f>
        <v>2627</v>
      </c>
      <c r="D35" s="126"/>
      <c r="E35" s="258">
        <f>E38</f>
        <v>2627</v>
      </c>
    </row>
    <row r="36" spans="1:47" s="296" customFormat="1" ht="17.25" customHeight="1">
      <c r="A36" s="35" t="s">
        <v>803</v>
      </c>
      <c r="B36" s="258"/>
      <c r="C36" s="258">
        <f>C34-C35</f>
        <v>28769</v>
      </c>
      <c r="D36" s="126"/>
      <c r="E36" s="258">
        <f>E34-E35</f>
        <v>28769</v>
      </c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</row>
    <row r="37" spans="1:5" ht="25.5">
      <c r="A37" s="35" t="s">
        <v>804</v>
      </c>
      <c r="B37" s="258"/>
      <c r="C37" s="258">
        <f>'[4]Janvāris'!$H$11</f>
        <v>27862</v>
      </c>
      <c r="D37" s="126"/>
      <c r="E37" s="258">
        <f>'[4]Janvāris'!$H$11</f>
        <v>27862</v>
      </c>
    </row>
    <row r="38" spans="1:5" ht="25.5">
      <c r="A38" s="289" t="s">
        <v>805</v>
      </c>
      <c r="B38" s="258"/>
      <c r="C38" s="258">
        <f>'[3]Janvāris'!$H$29</f>
        <v>2627</v>
      </c>
      <c r="D38" s="126"/>
      <c r="E38" s="258">
        <f>'[3]Janvāris'!$H$29</f>
        <v>2627</v>
      </c>
    </row>
    <row r="39" spans="1:5" ht="25.5">
      <c r="A39" s="27" t="s">
        <v>806</v>
      </c>
      <c r="B39" s="258"/>
      <c r="C39" s="258">
        <f>C37-C38</f>
        <v>25235</v>
      </c>
      <c r="D39" s="126"/>
      <c r="E39" s="258">
        <f>E37-E38</f>
        <v>25235</v>
      </c>
    </row>
    <row r="40" spans="1:5" ht="17.25" customHeight="1">
      <c r="A40" s="27" t="s">
        <v>807</v>
      </c>
      <c r="B40" s="258"/>
      <c r="C40" s="258">
        <f>'[4]Janvāris'!$H$27</f>
        <v>1025</v>
      </c>
      <c r="D40" s="126"/>
      <c r="E40" s="258">
        <f>'[4]Janvāris'!$H$27</f>
        <v>1025</v>
      </c>
    </row>
    <row r="41" spans="1:47" s="296" customFormat="1" ht="17.25" customHeight="1">
      <c r="A41" s="165" t="s">
        <v>808</v>
      </c>
      <c r="B41" s="258"/>
      <c r="C41" s="258">
        <f>'[4]Janvāris'!$H$28</f>
        <v>2509</v>
      </c>
      <c r="D41" s="126"/>
      <c r="E41" s="258">
        <f>'[4]Janvāris'!$H$28</f>
        <v>2509</v>
      </c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</row>
    <row r="42" spans="1:47" s="296" customFormat="1" ht="38.25">
      <c r="A42" s="35" t="s">
        <v>809</v>
      </c>
      <c r="B42" s="258"/>
      <c r="C42" s="261">
        <f>C17-C36</f>
        <v>2361</v>
      </c>
      <c r="D42" s="126"/>
      <c r="E42" s="261">
        <f>E17-E36</f>
        <v>2361</v>
      </c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</row>
    <row r="43" spans="1:47" s="296" customFormat="1" ht="12.75">
      <c r="A43" s="35" t="s">
        <v>810</v>
      </c>
      <c r="B43" s="258"/>
      <c r="C43" s="258">
        <f>C44-C45</f>
        <v>-20</v>
      </c>
      <c r="D43" s="126"/>
      <c r="E43" s="258">
        <f>E44-E45</f>
        <v>-20</v>
      </c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</row>
    <row r="44" spans="1:47" s="297" customFormat="1" ht="12.75">
      <c r="A44" s="27" t="s">
        <v>811</v>
      </c>
      <c r="B44" s="258"/>
      <c r="C44" s="258">
        <f>'[4]Janvāris'!$H$30</f>
        <v>20</v>
      </c>
      <c r="D44" s="126"/>
      <c r="E44" s="258">
        <f>'[4]Janvāris'!$H$30</f>
        <v>20</v>
      </c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</row>
    <row r="45" spans="1:5" ht="12.75">
      <c r="A45" s="27" t="s">
        <v>812</v>
      </c>
      <c r="B45" s="258"/>
      <c r="C45" s="258">
        <f>'[4]Janvāris'!$H$31</f>
        <v>40</v>
      </c>
      <c r="D45" s="126"/>
      <c r="E45" s="258">
        <f>'[4]Janvāris'!$H$31</f>
        <v>40</v>
      </c>
    </row>
    <row r="46" spans="1:47" s="297" customFormat="1" ht="25.5">
      <c r="A46" s="35" t="s">
        <v>813</v>
      </c>
      <c r="B46" s="258"/>
      <c r="C46" s="261">
        <f>C42-C43</f>
        <v>2381</v>
      </c>
      <c r="D46" s="126"/>
      <c r="E46" s="261">
        <f>E42-E43</f>
        <v>2381</v>
      </c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</row>
    <row r="47" spans="1:47" s="297" customFormat="1" ht="25.5">
      <c r="A47" s="35" t="s">
        <v>814</v>
      </c>
      <c r="B47" s="258"/>
      <c r="C47" s="258">
        <f>SUM(C48:C50)</f>
        <v>1953</v>
      </c>
      <c r="D47" s="126"/>
      <c r="E47" s="258">
        <f>SUM(E48:E50)</f>
        <v>1953</v>
      </c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</row>
    <row r="48" spans="1:47" s="298" customFormat="1" ht="24.75" customHeight="1">
      <c r="A48" s="27" t="s">
        <v>815</v>
      </c>
      <c r="B48" s="258"/>
      <c r="C48" s="258">
        <f>'[5]Janvāris'!$C$11</f>
        <v>1399</v>
      </c>
      <c r="D48" s="126"/>
      <c r="E48" s="258">
        <f>'[5]Janvāris'!$C$11</f>
        <v>1399</v>
      </c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</row>
    <row r="49" spans="1:5" ht="12.75">
      <c r="A49" s="27" t="s">
        <v>816</v>
      </c>
      <c r="B49" s="258"/>
      <c r="C49" s="258">
        <f>'[5]Janvāris'!$C$27</f>
        <v>544</v>
      </c>
      <c r="D49" s="126"/>
      <c r="E49" s="258">
        <f>'[5]Janvāris'!$C$27</f>
        <v>544</v>
      </c>
    </row>
    <row r="50" spans="1:47" s="296" customFormat="1" ht="12.75">
      <c r="A50" s="165" t="s">
        <v>817</v>
      </c>
      <c r="B50" s="258"/>
      <c r="C50" s="258">
        <f>'[5]Janvāris'!$C$28</f>
        <v>10</v>
      </c>
      <c r="D50" s="126"/>
      <c r="E50" s="258">
        <f>'[5]Janvāris'!$C$28</f>
        <v>10</v>
      </c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</row>
    <row r="51" spans="1:47" s="296" customFormat="1" ht="25.5">
      <c r="A51" s="35" t="s">
        <v>818</v>
      </c>
      <c r="B51" s="258"/>
      <c r="C51" s="258">
        <f>C21-C47</f>
        <v>660</v>
      </c>
      <c r="D51" s="126"/>
      <c r="E51" s="258">
        <f>E21-E47</f>
        <v>660</v>
      </c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</row>
    <row r="52" spans="1:47" s="296" customFormat="1" ht="17.25" customHeight="1">
      <c r="A52" s="35" t="s">
        <v>819</v>
      </c>
      <c r="B52" s="258"/>
      <c r="C52" s="258">
        <f>C53-C54</f>
        <v>-876</v>
      </c>
      <c r="D52" s="126"/>
      <c r="E52" s="258">
        <f>E53-E54</f>
        <v>-876</v>
      </c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</row>
    <row r="53" spans="1:47" s="298" customFormat="1" ht="12.75">
      <c r="A53" s="27" t="s">
        <v>820</v>
      </c>
      <c r="B53" s="258"/>
      <c r="C53" s="258">
        <f>'[5]Janvāris'!$C$30</f>
        <v>64</v>
      </c>
      <c r="D53" s="126"/>
      <c r="E53" s="258">
        <f>'[5]Janvāris'!$C$30</f>
        <v>64</v>
      </c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</row>
    <row r="54" spans="1:5" ht="12.75">
      <c r="A54" s="27" t="s">
        <v>821</v>
      </c>
      <c r="B54" s="258"/>
      <c r="C54" s="258">
        <f>'[5]Janvāris'!$C$31</f>
        <v>940</v>
      </c>
      <c r="D54" s="126"/>
      <c r="E54" s="258">
        <f>'[5]Janvāris'!$C$31</f>
        <v>940</v>
      </c>
    </row>
    <row r="55" spans="1:40" s="297" customFormat="1" ht="25.5">
      <c r="A55" s="35" t="s">
        <v>822</v>
      </c>
      <c r="B55" s="258"/>
      <c r="C55" s="258">
        <f>C51-C52</f>
        <v>1536</v>
      </c>
      <c r="D55" s="126"/>
      <c r="E55" s="258">
        <f>E51-E52</f>
        <v>1536</v>
      </c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300"/>
    </row>
    <row r="56" spans="2:39" s="301" customFormat="1" ht="17.25" customHeight="1">
      <c r="B56" s="302"/>
      <c r="C56" s="302"/>
      <c r="D56" s="303"/>
      <c r="E56" s="302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</row>
    <row r="57" spans="1:40" s="306" customFormat="1" ht="17.25" customHeight="1">
      <c r="A57" s="180"/>
      <c r="B57" s="304"/>
      <c r="C57" s="304"/>
      <c r="D57" s="112"/>
      <c r="E57" s="304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305"/>
    </row>
    <row r="58" s="3" customFormat="1" ht="17.25" customHeight="1">
      <c r="E58" s="33"/>
    </row>
    <row r="59" spans="1:4" s="3" customFormat="1" ht="17.25" customHeight="1">
      <c r="A59" s="66" t="s">
        <v>823</v>
      </c>
      <c r="B59" s="67"/>
      <c r="C59" s="67"/>
      <c r="D59" s="67" t="s">
        <v>296</v>
      </c>
    </row>
    <row r="60" s="3" customFormat="1" ht="17.25" customHeight="1">
      <c r="A60" s="180"/>
    </row>
    <row r="61" s="3" customFormat="1" ht="17.25" customHeight="1"/>
    <row r="62" s="3" customFormat="1" ht="17.25" customHeight="1"/>
    <row r="63" s="3" customFormat="1" ht="17.25" customHeight="1">
      <c r="A63" s="307"/>
    </row>
    <row r="64" spans="1:3" s="3" customFormat="1" ht="17.25" customHeight="1">
      <c r="A64" s="307"/>
      <c r="B64" s="308"/>
      <c r="C64" s="309"/>
    </row>
    <row r="65" s="3" customFormat="1" ht="17.25" customHeight="1"/>
    <row r="66" s="3" customFormat="1" ht="17.25" customHeight="1"/>
    <row r="67" s="3" customFormat="1" ht="17.25" customHeight="1">
      <c r="A67" s="180"/>
    </row>
    <row r="68" s="3" customFormat="1" ht="17.25" customHeight="1">
      <c r="A68" s="180"/>
    </row>
    <row r="69" s="3" customFormat="1" ht="17.25" customHeight="1">
      <c r="A69" s="180"/>
    </row>
    <row r="70" s="3" customFormat="1" ht="17.25" customHeight="1">
      <c r="A70" s="180" t="s">
        <v>684</v>
      </c>
    </row>
    <row r="71" s="3" customFormat="1" ht="17.25" customHeight="1">
      <c r="A71" s="180" t="s">
        <v>562</v>
      </c>
    </row>
    <row r="72" s="3" customFormat="1" ht="17.25" customHeight="1"/>
    <row r="73" s="3" customFormat="1" ht="17.25" customHeight="1"/>
    <row r="74" s="3" customFormat="1" ht="17.25" customHeight="1">
      <c r="A74" s="180"/>
    </row>
    <row r="75" s="3" customFormat="1" ht="17.25" customHeight="1">
      <c r="A75" s="307"/>
    </row>
    <row r="76" s="3" customFormat="1" ht="17.25" customHeight="1">
      <c r="A76" s="282"/>
    </row>
    <row r="79" s="3" customFormat="1" ht="17.25" customHeight="1"/>
    <row r="80" s="3" customFormat="1" ht="17.25" customHeight="1">
      <c r="A80" s="180"/>
    </row>
    <row r="81" s="3" customFormat="1" ht="17.25" customHeight="1"/>
    <row r="82" s="3" customFormat="1" ht="17.25" customHeight="1"/>
    <row r="83" s="3" customFormat="1" ht="17.25" customHeight="1">
      <c r="A83" s="180"/>
    </row>
    <row r="84" s="3" customFormat="1" ht="17.25" customHeight="1">
      <c r="A84" s="180"/>
    </row>
    <row r="85" s="3" customFormat="1" ht="17.25" customHeight="1">
      <c r="A85" s="310"/>
    </row>
    <row r="86" ht="17.25" customHeight="1">
      <c r="A86" s="310"/>
    </row>
    <row r="87" ht="17.25" customHeight="1">
      <c r="A87" s="310"/>
    </row>
    <row r="88" ht="17.25" customHeight="1">
      <c r="A88" s="310"/>
    </row>
    <row r="89" ht="17.25" customHeight="1">
      <c r="A89" s="310"/>
    </row>
    <row r="90" ht="17.25" customHeight="1">
      <c r="A90" s="310"/>
    </row>
    <row r="91" ht="17.25" customHeight="1">
      <c r="A91" s="310"/>
    </row>
    <row r="97" ht="17.25" customHeight="1">
      <c r="A97" s="310"/>
    </row>
    <row r="98" ht="17.25" customHeight="1">
      <c r="A98" s="310"/>
    </row>
    <row r="99" ht="17.25" customHeight="1">
      <c r="A99" s="310"/>
    </row>
    <row r="100" ht="17.25" customHeight="1">
      <c r="A100" s="310"/>
    </row>
    <row r="103" ht="17.25" customHeight="1">
      <c r="A103" s="310"/>
    </row>
    <row r="104" ht="17.25" customHeight="1">
      <c r="A104" s="310"/>
    </row>
    <row r="107" ht="17.25" customHeight="1">
      <c r="A107" s="310"/>
    </row>
    <row r="108" ht="17.25" customHeight="1">
      <c r="A108" s="310"/>
    </row>
    <row r="109" ht="17.25" customHeight="1">
      <c r="A109" s="310"/>
    </row>
    <row r="110" ht="17.25" customHeight="1">
      <c r="A110" s="310"/>
    </row>
    <row r="111" ht="17.25" customHeight="1">
      <c r="A111" s="310"/>
    </row>
    <row r="112" ht="17.25" customHeight="1">
      <c r="A112" s="310"/>
    </row>
    <row r="113" ht="17.25" customHeight="1">
      <c r="A113" s="310"/>
    </row>
    <row r="114" ht="17.25" customHeight="1">
      <c r="A114" s="310"/>
    </row>
    <row r="115" ht="17.25" customHeight="1">
      <c r="A115" s="310"/>
    </row>
    <row r="116" ht="17.25" customHeight="1">
      <c r="A116" s="310"/>
    </row>
    <row r="117" ht="17.25" customHeight="1">
      <c r="A117" s="310"/>
    </row>
    <row r="118" ht="17.25" customHeight="1">
      <c r="A118" s="310"/>
    </row>
    <row r="119" ht="17.25" customHeight="1">
      <c r="A119" s="310"/>
    </row>
    <row r="120" ht="17.25" customHeight="1">
      <c r="A120" s="310"/>
    </row>
    <row r="121" ht="17.25" customHeight="1">
      <c r="A121" s="310"/>
    </row>
    <row r="122" ht="17.25" customHeight="1">
      <c r="A122" s="310"/>
    </row>
    <row r="123" ht="17.25" customHeight="1">
      <c r="A123" s="310"/>
    </row>
    <row r="124" ht="17.25" customHeight="1">
      <c r="A124" s="310"/>
    </row>
    <row r="125" ht="17.25" customHeight="1">
      <c r="A125" s="310"/>
    </row>
    <row r="126" ht="17.25" customHeight="1">
      <c r="A126" s="310"/>
    </row>
    <row r="127" ht="17.25" customHeight="1">
      <c r="A127" s="310"/>
    </row>
    <row r="128" ht="17.25" customHeight="1">
      <c r="A128" s="310"/>
    </row>
    <row r="129" ht="17.25" customHeight="1">
      <c r="A129" s="310"/>
    </row>
    <row r="130" ht="17.25" customHeight="1">
      <c r="A130" s="310"/>
    </row>
    <row r="131" ht="17.25" customHeight="1">
      <c r="A131" s="310"/>
    </row>
  </sheetData>
  <mergeCells count="2">
    <mergeCell ref="A2:E2"/>
    <mergeCell ref="A5:E5"/>
  </mergeCells>
  <printOptions horizontalCentered="1"/>
  <pageMargins left="0.7874015748031497" right="0.4330708661417323" top="0.984251968503937" bottom="0.984251968503937" header="0.5118110236220472" footer="0.5118110236220472"/>
  <pageSetup firstPageNumber="35" useFirstPageNumber="1" horizontalDpi="300" verticalDpi="300" orientation="portrait" paperSize="9" scale="93" r:id="rId1"/>
  <headerFooter alignWithMargins="0">
    <oddFooter>&amp;R&amp;P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F9" sqref="F9"/>
    </sheetView>
  </sheetViews>
  <sheetFormatPr defaultColWidth="9.140625" defaultRowHeight="12.75"/>
  <cols>
    <col min="1" max="1" width="64.421875" style="0" bestFit="1" customWidth="1"/>
    <col min="2" max="2" width="8.8515625" style="0" bestFit="1" customWidth="1"/>
    <col min="3" max="3" width="7.421875" style="0" bestFit="1" customWidth="1"/>
    <col min="4" max="4" width="8.421875" style="0" bestFit="1" customWidth="1"/>
    <col min="5" max="5" width="8.28125" style="0" bestFit="1" customWidth="1"/>
  </cols>
  <sheetData>
    <row r="1" spans="1:5" ht="12.75">
      <c r="A1" s="311"/>
      <c r="B1" s="312"/>
      <c r="C1" s="5"/>
      <c r="D1" s="5"/>
      <c r="E1" s="105" t="s">
        <v>824</v>
      </c>
    </row>
    <row r="2" spans="1:5" ht="12.75">
      <c r="A2" s="312" t="s">
        <v>825</v>
      </c>
      <c r="B2" s="312"/>
      <c r="C2" s="5"/>
      <c r="D2" s="5"/>
      <c r="E2" s="63"/>
    </row>
    <row r="3" spans="1:5" ht="12.75">
      <c r="A3" s="311"/>
      <c r="B3" s="282"/>
      <c r="C3" s="282"/>
      <c r="D3" s="282"/>
      <c r="E3" s="282"/>
    </row>
    <row r="4" spans="1:5" ht="15.75">
      <c r="A4" s="337" t="s">
        <v>826</v>
      </c>
      <c r="B4" s="313"/>
      <c r="C4" s="314"/>
      <c r="D4" s="314"/>
      <c r="E4" s="314"/>
    </row>
    <row r="5" spans="1:5" ht="15">
      <c r="A5" s="312" t="s">
        <v>301</v>
      </c>
      <c r="B5" s="313"/>
      <c r="C5" s="314"/>
      <c r="D5" s="314"/>
      <c r="E5" s="314"/>
    </row>
    <row r="6" spans="1:5" ht="12.75">
      <c r="A6" s="316"/>
      <c r="B6" s="317"/>
      <c r="C6" s="318"/>
      <c r="D6" s="318"/>
      <c r="E6" s="319" t="s">
        <v>682</v>
      </c>
    </row>
    <row r="7" spans="1:5" ht="33.75">
      <c r="A7" s="320" t="s">
        <v>191</v>
      </c>
      <c r="B7" s="321" t="s">
        <v>775</v>
      </c>
      <c r="C7" s="321" t="s">
        <v>193</v>
      </c>
      <c r="D7" s="321" t="s">
        <v>827</v>
      </c>
      <c r="E7" s="10" t="s">
        <v>440</v>
      </c>
    </row>
    <row r="8" spans="1:5" ht="12.75">
      <c r="A8" s="322" t="s">
        <v>828</v>
      </c>
      <c r="B8" s="323">
        <v>2</v>
      </c>
      <c r="C8" s="323">
        <v>3</v>
      </c>
      <c r="D8" s="323">
        <v>4</v>
      </c>
      <c r="E8" s="323" t="s">
        <v>829</v>
      </c>
    </row>
    <row r="9" spans="1:5" ht="12.75">
      <c r="A9" s="324" t="s">
        <v>830</v>
      </c>
      <c r="B9" s="103"/>
      <c r="C9" s="103">
        <v>33746</v>
      </c>
      <c r="D9" s="325"/>
      <c r="E9" s="103">
        <v>33746</v>
      </c>
    </row>
    <row r="10" spans="1:5" ht="12.75">
      <c r="A10" s="326" t="s">
        <v>831</v>
      </c>
      <c r="B10" s="103"/>
      <c r="C10" s="103">
        <v>21715</v>
      </c>
      <c r="D10" s="325"/>
      <c r="E10" s="103">
        <v>21715</v>
      </c>
    </row>
    <row r="11" spans="1:5" ht="12.75">
      <c r="A11" s="327" t="s">
        <v>832</v>
      </c>
      <c r="B11" s="103"/>
      <c r="C11" s="103">
        <v>18337</v>
      </c>
      <c r="D11" s="325"/>
      <c r="E11" s="103">
        <v>18337</v>
      </c>
    </row>
    <row r="12" spans="1:5" ht="12.75">
      <c r="A12" s="327" t="s">
        <v>616</v>
      </c>
      <c r="B12" s="103"/>
      <c r="C12" s="103">
        <v>18231</v>
      </c>
      <c r="D12" s="325"/>
      <c r="E12" s="103">
        <v>18231</v>
      </c>
    </row>
    <row r="13" spans="1:5" ht="12.75">
      <c r="A13" s="163" t="s">
        <v>833</v>
      </c>
      <c r="B13" s="103"/>
      <c r="C13" s="103">
        <v>16458</v>
      </c>
      <c r="D13" s="325"/>
      <c r="E13" s="103">
        <v>16458</v>
      </c>
    </row>
    <row r="14" spans="1:5" ht="12.75">
      <c r="A14" s="178" t="s">
        <v>834</v>
      </c>
      <c r="B14" s="103"/>
      <c r="C14" s="103">
        <v>1055</v>
      </c>
      <c r="D14" s="325"/>
      <c r="E14" s="103">
        <v>1055</v>
      </c>
    </row>
    <row r="15" spans="1:5" ht="12.75">
      <c r="A15" s="163" t="s">
        <v>835</v>
      </c>
      <c r="B15" s="103"/>
      <c r="C15" s="103">
        <v>1094</v>
      </c>
      <c r="D15" s="325"/>
      <c r="E15" s="103">
        <v>1094</v>
      </c>
    </row>
    <row r="16" spans="1:5" ht="12.75">
      <c r="A16" s="328" t="s">
        <v>836</v>
      </c>
      <c r="B16" s="103"/>
      <c r="C16" s="103">
        <v>629</v>
      </c>
      <c r="D16" s="325"/>
      <c r="E16" s="103">
        <v>629</v>
      </c>
    </row>
    <row r="17" spans="1:5" ht="25.5">
      <c r="A17" s="328" t="s">
        <v>837</v>
      </c>
      <c r="B17" s="103"/>
      <c r="C17" s="103">
        <v>465</v>
      </c>
      <c r="D17" s="325"/>
      <c r="E17" s="103">
        <v>465</v>
      </c>
    </row>
    <row r="18" spans="1:5" ht="12.75">
      <c r="A18" s="163" t="s">
        <v>838</v>
      </c>
      <c r="B18" s="103"/>
      <c r="C18" s="103">
        <v>561</v>
      </c>
      <c r="D18" s="325"/>
      <c r="E18" s="103">
        <v>561</v>
      </c>
    </row>
    <row r="19" spans="1:5" ht="12.75">
      <c r="A19" s="163" t="s">
        <v>839</v>
      </c>
      <c r="B19" s="103"/>
      <c r="C19" s="103">
        <v>118</v>
      </c>
      <c r="D19" s="325"/>
      <c r="E19" s="103">
        <v>118</v>
      </c>
    </row>
    <row r="20" spans="1:5" ht="12.75">
      <c r="A20" s="327" t="s">
        <v>618</v>
      </c>
      <c r="B20" s="103"/>
      <c r="C20" s="103">
        <v>106</v>
      </c>
      <c r="D20" s="325"/>
      <c r="E20" s="103">
        <v>106</v>
      </c>
    </row>
    <row r="21" spans="1:5" ht="12.75">
      <c r="A21" s="329" t="s">
        <v>840</v>
      </c>
      <c r="B21" s="103"/>
      <c r="C21" s="103">
        <v>106</v>
      </c>
      <c r="D21" s="325"/>
      <c r="E21" s="103">
        <v>106</v>
      </c>
    </row>
    <row r="22" spans="1:5" ht="12.75">
      <c r="A22" s="327" t="s">
        <v>841</v>
      </c>
      <c r="B22" s="103"/>
      <c r="C22" s="103">
        <v>1483</v>
      </c>
      <c r="D22" s="325"/>
      <c r="E22" s="103">
        <v>1483</v>
      </c>
    </row>
    <row r="23" spans="1:5" ht="12.75">
      <c r="A23" s="163" t="s">
        <v>842</v>
      </c>
      <c r="B23" s="103"/>
      <c r="C23" s="103">
        <v>63</v>
      </c>
      <c r="D23" s="325"/>
      <c r="E23" s="103">
        <v>63</v>
      </c>
    </row>
    <row r="24" spans="1:5" ht="12.75">
      <c r="A24" s="163" t="s">
        <v>843</v>
      </c>
      <c r="B24" s="103"/>
      <c r="C24" s="103">
        <v>254</v>
      </c>
      <c r="D24" s="325"/>
      <c r="E24" s="103">
        <v>254</v>
      </c>
    </row>
    <row r="25" spans="1:5" ht="12.75">
      <c r="A25" s="163" t="s">
        <v>844</v>
      </c>
      <c r="B25" s="103"/>
      <c r="C25" s="103">
        <v>20</v>
      </c>
      <c r="D25" s="325"/>
      <c r="E25" s="103">
        <v>20</v>
      </c>
    </row>
    <row r="26" spans="1:5" ht="12.75">
      <c r="A26" s="163" t="s">
        <v>845</v>
      </c>
      <c r="B26" s="103"/>
      <c r="C26" s="103">
        <v>1060</v>
      </c>
      <c r="D26" s="325"/>
      <c r="E26" s="103">
        <v>1060</v>
      </c>
    </row>
    <row r="27" spans="1:5" ht="12.75">
      <c r="A27" s="330" t="s">
        <v>846</v>
      </c>
      <c r="B27" s="103"/>
      <c r="C27" s="103">
        <v>78</v>
      </c>
      <c r="D27" s="325"/>
      <c r="E27" s="103">
        <v>78</v>
      </c>
    </row>
    <row r="28" spans="1:5" ht="12.75">
      <c r="A28" s="163" t="s">
        <v>847</v>
      </c>
      <c r="B28" s="103"/>
      <c r="C28" s="103">
        <v>8</v>
      </c>
      <c r="D28" s="325"/>
      <c r="E28" s="103">
        <v>8</v>
      </c>
    </row>
    <row r="29" spans="1:5" ht="25.5">
      <c r="A29" s="331" t="s">
        <v>848</v>
      </c>
      <c r="B29" s="103"/>
      <c r="C29" s="103">
        <v>1895</v>
      </c>
      <c r="D29" s="325"/>
      <c r="E29" s="103">
        <v>1895</v>
      </c>
    </row>
    <row r="30" spans="1:5" ht="12.75">
      <c r="A30" s="327" t="s">
        <v>849</v>
      </c>
      <c r="B30" s="103"/>
      <c r="C30" s="103">
        <v>12031</v>
      </c>
      <c r="D30" s="325"/>
      <c r="E30" s="103">
        <v>12031</v>
      </c>
    </row>
    <row r="31" spans="1:5" ht="12.75">
      <c r="A31" s="324" t="s">
        <v>850</v>
      </c>
      <c r="B31" s="103"/>
      <c r="C31" s="103">
        <v>385</v>
      </c>
      <c r="D31" s="325"/>
      <c r="E31" s="103">
        <v>385</v>
      </c>
    </row>
    <row r="32" spans="1:5" ht="25.5">
      <c r="A32" s="330" t="s">
        <v>851</v>
      </c>
      <c r="B32" s="103"/>
      <c r="C32" s="103">
        <v>278</v>
      </c>
      <c r="D32" s="325"/>
      <c r="E32" s="103">
        <v>278</v>
      </c>
    </row>
    <row r="33" spans="1:5" ht="25.5">
      <c r="A33" s="330" t="s">
        <v>852</v>
      </c>
      <c r="B33" s="103"/>
      <c r="C33" s="103">
        <v>36</v>
      </c>
      <c r="D33" s="325"/>
      <c r="E33" s="103">
        <v>36</v>
      </c>
    </row>
    <row r="34" spans="1:5" ht="12.75">
      <c r="A34" s="163" t="s">
        <v>853</v>
      </c>
      <c r="B34" s="103"/>
      <c r="C34" s="103">
        <v>71</v>
      </c>
      <c r="D34" s="325"/>
      <c r="E34" s="103">
        <v>71</v>
      </c>
    </row>
    <row r="35" spans="1:5" ht="12.75">
      <c r="A35" s="324" t="s">
        <v>854</v>
      </c>
      <c r="B35" s="103"/>
      <c r="C35" s="103">
        <v>8654</v>
      </c>
      <c r="D35" s="325"/>
      <c r="E35" s="103">
        <v>8654</v>
      </c>
    </row>
    <row r="36" spans="1:5" ht="12.75">
      <c r="A36" s="163" t="s">
        <v>855</v>
      </c>
      <c r="B36" s="103"/>
      <c r="C36" s="103">
        <v>21</v>
      </c>
      <c r="D36" s="325"/>
      <c r="E36" s="103">
        <v>21</v>
      </c>
    </row>
    <row r="37" spans="1:5" ht="12.75">
      <c r="A37" s="163" t="s">
        <v>856</v>
      </c>
      <c r="B37" s="103"/>
      <c r="C37" s="103">
        <v>8633</v>
      </c>
      <c r="D37" s="325"/>
      <c r="E37" s="103">
        <v>8633</v>
      </c>
    </row>
    <row r="38" spans="1:5" ht="25.5">
      <c r="A38" s="329" t="s">
        <v>857</v>
      </c>
      <c r="B38" s="103"/>
      <c r="C38" s="103"/>
      <c r="D38" s="325"/>
      <c r="E38" s="103">
        <v>0</v>
      </c>
    </row>
    <row r="39" spans="1:5" ht="25.5">
      <c r="A39" s="326" t="s">
        <v>858</v>
      </c>
      <c r="B39" s="103"/>
      <c r="C39" s="103">
        <v>2908</v>
      </c>
      <c r="D39" s="325"/>
      <c r="E39" s="103">
        <v>2908</v>
      </c>
    </row>
    <row r="40" spans="1:5" ht="12.75">
      <c r="A40" s="163" t="s">
        <v>855</v>
      </c>
      <c r="B40" s="103"/>
      <c r="C40" s="103">
        <v>2864</v>
      </c>
      <c r="D40" s="325"/>
      <c r="E40" s="103">
        <v>2864</v>
      </c>
    </row>
    <row r="41" spans="1:5" ht="12.75">
      <c r="A41" s="163" t="s">
        <v>859</v>
      </c>
      <c r="B41" s="103"/>
      <c r="C41" s="103">
        <v>0</v>
      </c>
      <c r="D41" s="325"/>
      <c r="E41" s="103">
        <v>0</v>
      </c>
    </row>
    <row r="42" spans="1:5" ht="12.75">
      <c r="A42" s="163" t="s">
        <v>286</v>
      </c>
      <c r="B42" s="103"/>
      <c r="C42" s="103">
        <v>44</v>
      </c>
      <c r="D42" s="325"/>
      <c r="E42" s="103"/>
    </row>
    <row r="43" spans="1:5" ht="12.75">
      <c r="A43" s="324" t="s">
        <v>860</v>
      </c>
      <c r="B43" s="103"/>
      <c r="C43" s="103">
        <v>84</v>
      </c>
      <c r="D43" s="325"/>
      <c r="E43" s="103">
        <v>84</v>
      </c>
    </row>
    <row r="44" spans="1:5" ht="12.75">
      <c r="A44" s="100" t="s">
        <v>861</v>
      </c>
      <c r="B44" s="332"/>
      <c r="C44" s="49"/>
      <c r="D44" s="333"/>
      <c r="E44" s="334"/>
    </row>
    <row r="45" spans="1:5" ht="12.75">
      <c r="A45" s="100" t="s">
        <v>862</v>
      </c>
      <c r="B45" s="348"/>
      <c r="C45" s="311"/>
      <c r="D45" s="311"/>
      <c r="E45" s="334"/>
    </row>
    <row r="46" spans="1:5" ht="12.75">
      <c r="A46" s="311"/>
      <c r="B46" s="282"/>
      <c r="C46" s="282"/>
      <c r="D46" s="282"/>
      <c r="E46" s="33"/>
    </row>
    <row r="47" spans="1:5" ht="12.75">
      <c r="A47" s="63" t="s">
        <v>432</v>
      </c>
      <c r="B47" s="62"/>
      <c r="C47" s="62"/>
      <c r="D47" s="62" t="s">
        <v>296</v>
      </c>
      <c r="E47" s="3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62.00390625" style="0" bestFit="1" customWidth="1"/>
    <col min="2" max="2" width="8.8515625" style="0" bestFit="1" customWidth="1"/>
    <col min="3" max="3" width="7.421875" style="0" bestFit="1" customWidth="1"/>
    <col min="4" max="4" width="8.421875" style="0" bestFit="1" customWidth="1"/>
    <col min="5" max="5" width="8.57421875" style="0" bestFit="1" customWidth="1"/>
  </cols>
  <sheetData>
    <row r="1" spans="1:5" ht="12.75">
      <c r="A1" s="311"/>
      <c r="B1" s="312"/>
      <c r="C1" s="5"/>
      <c r="D1" s="5"/>
      <c r="E1" s="5" t="s">
        <v>863</v>
      </c>
    </row>
    <row r="2" spans="1:5" ht="12.75">
      <c r="A2" s="640" t="s">
        <v>864</v>
      </c>
      <c r="B2" s="640"/>
      <c r="C2" s="640"/>
      <c r="D2" s="640"/>
      <c r="E2" s="640"/>
    </row>
    <row r="3" spans="1:5" ht="12.75">
      <c r="A3" s="312"/>
      <c r="B3" s="338"/>
      <c r="C3" s="48"/>
      <c r="D3" s="48"/>
      <c r="E3" s="48"/>
    </row>
    <row r="4" spans="1:5" ht="12.75">
      <c r="A4" s="641" t="s">
        <v>865</v>
      </c>
      <c r="B4" s="641"/>
      <c r="C4" s="641"/>
      <c r="D4" s="641"/>
      <c r="E4" s="641"/>
    </row>
    <row r="5" spans="1:5" ht="12.75">
      <c r="A5" s="641" t="s">
        <v>301</v>
      </c>
      <c r="B5" s="641"/>
      <c r="C5" s="641"/>
      <c r="D5" s="641"/>
      <c r="E5" s="641"/>
    </row>
    <row r="6" spans="1:5" ht="12.75">
      <c r="A6" s="311"/>
      <c r="B6" s="339"/>
      <c r="C6" s="8"/>
      <c r="D6" s="48" t="s">
        <v>866</v>
      </c>
      <c r="E6" s="5"/>
    </row>
    <row r="7" spans="1:5" ht="33.75">
      <c r="A7" s="340" t="s">
        <v>191</v>
      </c>
      <c r="B7" s="321" t="s">
        <v>775</v>
      </c>
      <c r="C7" s="321" t="s">
        <v>193</v>
      </c>
      <c r="D7" s="321" t="s">
        <v>827</v>
      </c>
      <c r="E7" s="10" t="s">
        <v>440</v>
      </c>
    </row>
    <row r="8" spans="1:5" ht="12.75">
      <c r="A8" s="322" t="s">
        <v>828</v>
      </c>
      <c r="B8" s="323" t="s">
        <v>867</v>
      </c>
      <c r="C8" s="323" t="s">
        <v>868</v>
      </c>
      <c r="D8" s="323" t="s">
        <v>869</v>
      </c>
      <c r="E8" s="323" t="s">
        <v>829</v>
      </c>
    </row>
    <row r="9" spans="1:5" ht="12.75">
      <c r="A9" s="326" t="s">
        <v>870</v>
      </c>
      <c r="B9" s="103"/>
      <c r="C9" s="103">
        <v>31376</v>
      </c>
      <c r="D9" s="325"/>
      <c r="E9" s="103">
        <v>31376</v>
      </c>
    </row>
    <row r="10" spans="1:5" ht="12.75">
      <c r="A10" s="341" t="s">
        <v>871</v>
      </c>
      <c r="B10" s="103"/>
      <c r="C10" s="103">
        <v>28749</v>
      </c>
      <c r="D10" s="325"/>
      <c r="E10" s="103">
        <v>28749</v>
      </c>
    </row>
    <row r="11" spans="1:5" ht="12.75">
      <c r="A11" s="330" t="s">
        <v>872</v>
      </c>
      <c r="B11" s="103"/>
      <c r="C11" s="103">
        <v>3266</v>
      </c>
      <c r="D11" s="325"/>
      <c r="E11" s="103">
        <v>3266</v>
      </c>
    </row>
    <row r="12" spans="1:5" ht="12.75">
      <c r="A12" s="330" t="s">
        <v>418</v>
      </c>
      <c r="B12" s="103"/>
      <c r="C12" s="103">
        <v>83</v>
      </c>
      <c r="D12" s="325"/>
      <c r="E12" s="103">
        <v>83</v>
      </c>
    </row>
    <row r="13" spans="1:5" ht="12.75">
      <c r="A13" s="330" t="s">
        <v>419</v>
      </c>
      <c r="B13" s="103"/>
      <c r="C13" s="103">
        <v>467</v>
      </c>
      <c r="D13" s="325"/>
      <c r="E13" s="103">
        <v>467</v>
      </c>
    </row>
    <row r="14" spans="1:5" ht="12.75">
      <c r="A14" s="330" t="s">
        <v>420</v>
      </c>
      <c r="B14" s="103"/>
      <c r="C14" s="103">
        <v>13995</v>
      </c>
      <c r="D14" s="325"/>
      <c r="E14" s="103">
        <v>13995</v>
      </c>
    </row>
    <row r="15" spans="1:5" ht="12.75">
      <c r="A15" s="330" t="s">
        <v>421</v>
      </c>
      <c r="B15" s="103"/>
      <c r="C15" s="103">
        <v>387</v>
      </c>
      <c r="D15" s="325"/>
      <c r="E15" s="103">
        <v>387</v>
      </c>
    </row>
    <row r="16" spans="1:5" ht="12.75">
      <c r="A16" s="330" t="s">
        <v>422</v>
      </c>
      <c r="B16" s="103"/>
      <c r="C16" s="103">
        <v>2861</v>
      </c>
      <c r="D16" s="325"/>
      <c r="E16" s="103">
        <v>2861</v>
      </c>
    </row>
    <row r="17" spans="1:5" ht="12.75">
      <c r="A17" s="330" t="s">
        <v>423</v>
      </c>
      <c r="B17" s="103"/>
      <c r="C17" s="103">
        <v>4496</v>
      </c>
      <c r="D17" s="325"/>
      <c r="E17" s="103">
        <v>4496</v>
      </c>
    </row>
    <row r="18" spans="1:5" ht="12.75">
      <c r="A18" s="330" t="s">
        <v>873</v>
      </c>
      <c r="B18" s="103"/>
      <c r="C18" s="103">
        <v>1647</v>
      </c>
      <c r="D18" s="325"/>
      <c r="E18" s="103">
        <v>1647</v>
      </c>
    </row>
    <row r="19" spans="1:5" ht="12.75">
      <c r="A19" s="330" t="s">
        <v>425</v>
      </c>
      <c r="B19" s="103"/>
      <c r="C19" s="103">
        <v>60</v>
      </c>
      <c r="D19" s="325"/>
      <c r="E19" s="103">
        <v>60</v>
      </c>
    </row>
    <row r="20" spans="1:5" ht="12.75">
      <c r="A20" s="330" t="s">
        <v>874</v>
      </c>
      <c r="B20" s="103"/>
      <c r="C20" s="103">
        <v>58</v>
      </c>
      <c r="D20" s="325"/>
      <c r="E20" s="103">
        <v>58</v>
      </c>
    </row>
    <row r="21" spans="1:5" ht="12.75">
      <c r="A21" s="330" t="s">
        <v>427</v>
      </c>
      <c r="B21" s="103"/>
      <c r="C21" s="103">
        <v>2</v>
      </c>
      <c r="D21" s="325"/>
      <c r="E21" s="103">
        <v>2</v>
      </c>
    </row>
    <row r="22" spans="1:5" ht="12.75">
      <c r="A22" s="330" t="s">
        <v>875</v>
      </c>
      <c r="B22" s="24"/>
      <c r="C22" s="103">
        <v>602</v>
      </c>
      <c r="D22" s="325"/>
      <c r="E22" s="103">
        <v>602</v>
      </c>
    </row>
    <row r="23" spans="1:5" ht="12.75">
      <c r="A23" s="330" t="s">
        <v>429</v>
      </c>
      <c r="B23" s="103"/>
      <c r="C23" s="103">
        <v>60</v>
      </c>
      <c r="D23" s="325"/>
      <c r="E23" s="103">
        <v>60</v>
      </c>
    </row>
    <row r="24" spans="1:5" ht="12.75">
      <c r="A24" s="330" t="s">
        <v>876</v>
      </c>
      <c r="B24" s="103"/>
      <c r="C24" s="103">
        <v>529</v>
      </c>
      <c r="D24" s="325"/>
      <c r="E24" s="103">
        <v>529</v>
      </c>
    </row>
    <row r="25" spans="1:5" ht="12.75">
      <c r="A25" s="330" t="s">
        <v>877</v>
      </c>
      <c r="B25" s="103"/>
      <c r="C25" s="103">
        <v>98</v>
      </c>
      <c r="D25" s="325"/>
      <c r="E25" s="103">
        <v>98</v>
      </c>
    </row>
    <row r="26" spans="1:5" ht="12.75">
      <c r="A26" s="330" t="s">
        <v>878</v>
      </c>
      <c r="B26" s="103"/>
      <c r="C26" s="103">
        <v>2</v>
      </c>
      <c r="D26" s="325"/>
      <c r="E26" s="103">
        <v>2</v>
      </c>
    </row>
    <row r="27" spans="1:5" ht="12.75">
      <c r="A27" s="27" t="s">
        <v>430</v>
      </c>
      <c r="B27" s="162"/>
      <c r="C27" s="103">
        <v>136</v>
      </c>
      <c r="D27" s="163"/>
      <c r="E27" s="103">
        <v>136</v>
      </c>
    </row>
    <row r="28" spans="1:5" ht="12.75">
      <c r="A28" s="18" t="s">
        <v>315</v>
      </c>
      <c r="B28" s="164"/>
      <c r="C28" s="165"/>
      <c r="D28" s="165"/>
      <c r="E28" s="103">
        <v>0</v>
      </c>
    </row>
    <row r="29" spans="1:5" ht="12.75">
      <c r="A29" s="341" t="s">
        <v>879</v>
      </c>
      <c r="B29" s="103"/>
      <c r="C29" s="103">
        <v>2627</v>
      </c>
      <c r="D29" s="325"/>
      <c r="E29" s="103">
        <v>2627</v>
      </c>
    </row>
    <row r="30" spans="1:5" ht="12.75">
      <c r="A30" s="326" t="s">
        <v>850</v>
      </c>
      <c r="B30" s="103"/>
      <c r="C30" s="103">
        <v>396</v>
      </c>
      <c r="D30" s="325"/>
      <c r="E30" s="103">
        <v>396</v>
      </c>
    </row>
    <row r="31" spans="1:5" ht="12.75">
      <c r="A31" s="342" t="s">
        <v>880</v>
      </c>
      <c r="B31" s="103"/>
      <c r="C31" s="103">
        <v>304</v>
      </c>
      <c r="D31" s="325"/>
      <c r="E31" s="103">
        <v>304</v>
      </c>
    </row>
    <row r="32" spans="1:5" ht="25.5">
      <c r="A32" s="342" t="s">
        <v>23</v>
      </c>
      <c r="B32" s="103"/>
      <c r="C32" s="103">
        <v>43</v>
      </c>
      <c r="D32" s="325"/>
      <c r="E32" s="103">
        <v>43</v>
      </c>
    </row>
    <row r="33" spans="1:5" ht="12.75">
      <c r="A33" s="342" t="s">
        <v>853</v>
      </c>
      <c r="B33" s="103"/>
      <c r="C33" s="103">
        <v>49</v>
      </c>
      <c r="D33" s="325"/>
      <c r="E33" s="103">
        <v>49</v>
      </c>
    </row>
    <row r="34" spans="1:5" ht="12.75">
      <c r="A34" s="326" t="s">
        <v>24</v>
      </c>
      <c r="B34" s="103"/>
      <c r="C34" s="103">
        <v>2231</v>
      </c>
      <c r="D34" s="325"/>
      <c r="E34" s="103">
        <v>2231</v>
      </c>
    </row>
    <row r="35" spans="1:5" ht="12.75">
      <c r="A35" s="330" t="s">
        <v>25</v>
      </c>
      <c r="B35" s="103"/>
      <c r="C35" s="103">
        <v>2231</v>
      </c>
      <c r="D35" s="325"/>
      <c r="E35" s="103">
        <v>2231</v>
      </c>
    </row>
    <row r="36" spans="1:5" ht="12.75">
      <c r="A36" s="342" t="s">
        <v>26</v>
      </c>
      <c r="B36" s="80"/>
      <c r="C36" s="103"/>
      <c r="D36" s="343"/>
      <c r="E36" s="103"/>
    </row>
    <row r="37" spans="1:5" ht="12.75">
      <c r="A37" s="344"/>
      <c r="B37" s="93"/>
      <c r="C37" s="93"/>
      <c r="D37" s="93"/>
      <c r="E37" s="93"/>
    </row>
    <row r="38" spans="1:5" ht="12.75">
      <c r="A38" s="3"/>
      <c r="B38" s="33"/>
      <c r="C38" s="345"/>
      <c r="D38" s="33"/>
      <c r="E38" s="282"/>
    </row>
    <row r="39" spans="1:5" ht="12.75">
      <c r="A39" s="346"/>
      <c r="B39" s="347"/>
      <c r="C39" s="345"/>
      <c r="D39" s="93"/>
      <c r="E39" s="282"/>
    </row>
    <row r="40" spans="1:5" ht="12.75">
      <c r="A40" s="63" t="s">
        <v>27</v>
      </c>
      <c r="B40" s="62"/>
      <c r="C40" s="62"/>
      <c r="D40" s="33"/>
      <c r="E40" s="62" t="s">
        <v>296</v>
      </c>
    </row>
    <row r="41" spans="1:5" ht="12.75">
      <c r="A41" s="311"/>
      <c r="B41" s="345"/>
      <c r="C41" s="93"/>
      <c r="D41" s="33"/>
      <c r="E41" s="282"/>
    </row>
    <row r="42" spans="1:5" ht="12.75">
      <c r="A42" s="348" t="s">
        <v>684</v>
      </c>
      <c r="B42" s="33"/>
      <c r="C42" s="33"/>
      <c r="D42" s="33"/>
      <c r="E42" s="33"/>
    </row>
    <row r="43" spans="1:5" ht="12.75">
      <c r="A43" s="348" t="s">
        <v>562</v>
      </c>
      <c r="B43" s="348"/>
      <c r="C43" s="182"/>
      <c r="D43" s="182"/>
      <c r="E43" s="282"/>
    </row>
  </sheetData>
  <mergeCells count="3">
    <mergeCell ref="A2:E2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69.8515625" style="0" bestFit="1" customWidth="1"/>
    <col min="2" max="2" width="8.8515625" style="0" bestFit="1" customWidth="1"/>
    <col min="3" max="3" width="7.421875" style="0" bestFit="1" customWidth="1"/>
    <col min="4" max="4" width="8.421875" style="0" bestFit="1" customWidth="1"/>
    <col min="5" max="5" width="8.28125" style="0" bestFit="1" customWidth="1"/>
  </cols>
  <sheetData>
    <row r="1" spans="1:5" ht="12.75">
      <c r="A1" s="3"/>
      <c r="B1" s="5"/>
      <c r="C1" s="5"/>
      <c r="D1" s="5"/>
      <c r="E1" s="69" t="s">
        <v>28</v>
      </c>
    </row>
    <row r="2" spans="1:5" ht="12.75">
      <c r="A2" s="312" t="s">
        <v>29</v>
      </c>
      <c r="B2" s="5"/>
      <c r="C2" s="5"/>
      <c r="D2" s="5"/>
      <c r="E2" s="351"/>
    </row>
    <row r="3" spans="1:5" ht="12.75">
      <c r="A3" s="311"/>
      <c r="B3" s="8"/>
      <c r="C3" s="8"/>
      <c r="D3" s="48"/>
      <c r="E3" s="48"/>
    </row>
    <row r="4" spans="1:5" ht="12.75">
      <c r="A4" s="641" t="s">
        <v>30</v>
      </c>
      <c r="B4" s="641"/>
      <c r="C4" s="641"/>
      <c r="D4" s="641"/>
      <c r="E4" s="641"/>
    </row>
    <row r="5" spans="1:5" ht="12.75">
      <c r="A5" s="640" t="s">
        <v>31</v>
      </c>
      <c r="B5" s="640"/>
      <c r="C5" s="640"/>
      <c r="D5" s="640"/>
      <c r="E5" s="640"/>
    </row>
    <row r="6" spans="1:5" ht="12.75">
      <c r="A6" s="311"/>
      <c r="B6" s="8"/>
      <c r="C6" s="48" t="s">
        <v>32</v>
      </c>
      <c r="D6" s="48"/>
      <c r="E6" s="5"/>
    </row>
    <row r="7" spans="1:5" ht="33.75">
      <c r="A7" s="340" t="s">
        <v>191</v>
      </c>
      <c r="B7" s="321" t="s">
        <v>775</v>
      </c>
      <c r="C7" s="321" t="s">
        <v>193</v>
      </c>
      <c r="D7" s="321" t="s">
        <v>827</v>
      </c>
      <c r="E7" s="10" t="s">
        <v>33</v>
      </c>
    </row>
    <row r="8" spans="1:5" ht="12.75">
      <c r="A8" s="322" t="s">
        <v>828</v>
      </c>
      <c r="B8" s="323" t="s">
        <v>867</v>
      </c>
      <c r="C8" s="323" t="s">
        <v>868</v>
      </c>
      <c r="D8" s="323" t="s">
        <v>869</v>
      </c>
      <c r="E8" s="323" t="s">
        <v>829</v>
      </c>
    </row>
    <row r="9" spans="1:5" ht="12.75">
      <c r="A9" s="326" t="s">
        <v>357</v>
      </c>
      <c r="B9" s="103"/>
      <c r="C9" s="103">
        <v>33746</v>
      </c>
      <c r="D9" s="325"/>
      <c r="E9" s="103">
        <v>33746</v>
      </c>
    </row>
    <row r="10" spans="1:5" ht="12.75">
      <c r="A10" s="326" t="s">
        <v>34</v>
      </c>
      <c r="B10" s="103"/>
      <c r="C10" s="103">
        <v>31396</v>
      </c>
      <c r="D10" s="325"/>
      <c r="E10" s="103">
        <v>31396</v>
      </c>
    </row>
    <row r="11" spans="1:5" ht="12.75">
      <c r="A11" s="341" t="s">
        <v>364</v>
      </c>
      <c r="B11" s="103"/>
      <c r="C11" s="103">
        <v>27862</v>
      </c>
      <c r="D11" s="325"/>
      <c r="E11" s="103">
        <v>27862</v>
      </c>
    </row>
    <row r="12" spans="1:5" ht="12.75">
      <c r="A12" s="341" t="s">
        <v>365</v>
      </c>
      <c r="B12" s="103"/>
      <c r="C12" s="103">
        <v>21406</v>
      </c>
      <c r="D12" s="325"/>
      <c r="E12" s="103">
        <v>21406</v>
      </c>
    </row>
    <row r="13" spans="1:5" ht="12.75">
      <c r="A13" s="342" t="s">
        <v>35</v>
      </c>
      <c r="B13" s="103"/>
      <c r="C13" s="103">
        <v>11044</v>
      </c>
      <c r="D13" s="325"/>
      <c r="E13" s="103">
        <v>11044</v>
      </c>
    </row>
    <row r="14" spans="1:5" ht="12.75">
      <c r="A14" s="342" t="s">
        <v>36</v>
      </c>
      <c r="B14" s="103"/>
      <c r="C14" s="103">
        <v>2878</v>
      </c>
      <c r="D14" s="325"/>
      <c r="E14" s="103">
        <v>2878</v>
      </c>
    </row>
    <row r="15" spans="1:5" ht="12.75">
      <c r="A15" s="342" t="s">
        <v>37</v>
      </c>
      <c r="B15" s="103"/>
      <c r="C15" s="103">
        <v>7484</v>
      </c>
      <c r="D15" s="325"/>
      <c r="E15" s="103">
        <v>7484</v>
      </c>
    </row>
    <row r="16" spans="1:5" ht="12.75">
      <c r="A16" s="352" t="s">
        <v>38</v>
      </c>
      <c r="B16" s="103"/>
      <c r="C16" s="103">
        <v>7327</v>
      </c>
      <c r="D16" s="325"/>
      <c r="E16" s="103">
        <v>7327</v>
      </c>
    </row>
    <row r="17" spans="1:5" ht="12.75">
      <c r="A17" s="352" t="s">
        <v>39</v>
      </c>
      <c r="B17" s="103"/>
      <c r="C17" s="103">
        <v>157</v>
      </c>
      <c r="D17" s="325"/>
      <c r="E17" s="103">
        <v>157</v>
      </c>
    </row>
    <row r="18" spans="1:5" ht="12.75">
      <c r="A18" s="341" t="s">
        <v>40</v>
      </c>
      <c r="B18" s="103"/>
      <c r="C18" s="103">
        <v>660</v>
      </c>
      <c r="D18" s="325"/>
      <c r="E18" s="103">
        <v>660</v>
      </c>
    </row>
    <row r="19" spans="1:5" ht="12.75">
      <c r="A19" s="341" t="s">
        <v>373</v>
      </c>
      <c r="B19" s="103"/>
      <c r="C19" s="103">
        <v>5796</v>
      </c>
      <c r="D19" s="325"/>
      <c r="E19" s="103">
        <v>5796</v>
      </c>
    </row>
    <row r="20" spans="1:5" ht="12.75">
      <c r="A20" s="342" t="s">
        <v>41</v>
      </c>
      <c r="B20" s="103"/>
      <c r="C20" s="103">
        <v>53</v>
      </c>
      <c r="D20" s="325"/>
      <c r="E20" s="103">
        <v>73</v>
      </c>
    </row>
    <row r="21" spans="1:5" ht="12.75">
      <c r="A21" s="342" t="s">
        <v>42</v>
      </c>
      <c r="B21" s="103"/>
      <c r="C21" s="103">
        <v>458</v>
      </c>
      <c r="D21" s="325"/>
      <c r="E21" s="103">
        <v>458</v>
      </c>
    </row>
    <row r="22" spans="1:5" ht="12.75">
      <c r="A22" s="342" t="s">
        <v>43</v>
      </c>
      <c r="B22" s="103"/>
      <c r="C22" s="103">
        <v>2231</v>
      </c>
      <c r="D22" s="325"/>
      <c r="E22" s="103">
        <v>2231</v>
      </c>
    </row>
    <row r="23" spans="1:5" ht="12.75">
      <c r="A23" s="342" t="s">
        <v>44</v>
      </c>
      <c r="B23" s="103"/>
      <c r="C23" s="103">
        <v>1482</v>
      </c>
      <c r="D23" s="325"/>
      <c r="E23" s="103">
        <v>1482</v>
      </c>
    </row>
    <row r="24" spans="1:5" ht="12.75">
      <c r="A24" s="342" t="s">
        <v>45</v>
      </c>
      <c r="B24" s="103"/>
      <c r="C24" s="103">
        <v>1572</v>
      </c>
      <c r="D24" s="325"/>
      <c r="E24" s="103">
        <v>1572</v>
      </c>
    </row>
    <row r="25" spans="1:5" ht="12.75">
      <c r="A25" s="342" t="s">
        <v>46</v>
      </c>
      <c r="B25" s="103"/>
      <c r="C25" s="103"/>
      <c r="D25" s="325"/>
      <c r="E25" s="103">
        <v>0</v>
      </c>
    </row>
    <row r="26" spans="1:5" ht="12.75">
      <c r="A26" s="341" t="s">
        <v>393</v>
      </c>
      <c r="B26" s="103"/>
      <c r="C26" s="103">
        <v>3534</v>
      </c>
      <c r="D26" s="325"/>
      <c r="E26" s="103">
        <v>3534</v>
      </c>
    </row>
    <row r="27" spans="1:5" ht="12.75">
      <c r="A27" s="342" t="s">
        <v>47</v>
      </c>
      <c r="B27" s="103"/>
      <c r="C27" s="103">
        <v>1025</v>
      </c>
      <c r="D27" s="325"/>
      <c r="E27" s="103">
        <v>1025</v>
      </c>
    </row>
    <row r="28" spans="1:5" ht="12.75">
      <c r="A28" s="342" t="s">
        <v>763</v>
      </c>
      <c r="B28" s="103"/>
      <c r="C28" s="103">
        <v>2509</v>
      </c>
      <c r="D28" s="325"/>
      <c r="E28" s="103">
        <v>2509</v>
      </c>
    </row>
    <row r="29" spans="1:5" ht="12.75">
      <c r="A29" s="341" t="s">
        <v>48</v>
      </c>
      <c r="B29" s="103"/>
      <c r="C29" s="103">
        <v>-20</v>
      </c>
      <c r="D29" s="325"/>
      <c r="E29" s="103">
        <v>-20</v>
      </c>
    </row>
    <row r="30" spans="1:5" ht="12.75">
      <c r="A30" s="342" t="s">
        <v>49</v>
      </c>
      <c r="B30" s="103"/>
      <c r="C30" s="103">
        <v>20</v>
      </c>
      <c r="D30" s="325"/>
      <c r="E30" s="103">
        <v>20</v>
      </c>
    </row>
    <row r="31" spans="1:5" ht="12.75">
      <c r="A31" s="342" t="s">
        <v>50</v>
      </c>
      <c r="B31" s="103"/>
      <c r="C31" s="103">
        <v>40</v>
      </c>
      <c r="D31" s="325"/>
      <c r="E31" s="103">
        <v>40</v>
      </c>
    </row>
    <row r="32" spans="1:5" ht="12.75">
      <c r="A32" s="341" t="s">
        <v>723</v>
      </c>
      <c r="B32" s="103"/>
      <c r="C32" s="103">
        <v>2370</v>
      </c>
      <c r="D32" s="325"/>
      <c r="E32" s="103">
        <v>2370</v>
      </c>
    </row>
    <row r="33" spans="1:5" ht="12.75">
      <c r="A33" s="335"/>
      <c r="B33" s="345"/>
      <c r="D33" s="345"/>
      <c r="E33" s="345"/>
    </row>
    <row r="34" spans="1:5" ht="12.75">
      <c r="A34" s="335"/>
      <c r="B34" s="345"/>
      <c r="D34" s="345"/>
      <c r="E34" s="345"/>
    </row>
    <row r="35" spans="1:5" ht="12.75">
      <c r="A35" s="130"/>
      <c r="B35" s="345"/>
      <c r="D35" s="345"/>
      <c r="E35" s="345"/>
    </row>
    <row r="36" spans="1:5" ht="14.25">
      <c r="A36" s="66" t="s">
        <v>51</v>
      </c>
      <c r="B36" s="67"/>
      <c r="C36" s="50"/>
      <c r="D36" s="67" t="s">
        <v>296</v>
      </c>
      <c r="E36" s="130"/>
    </row>
    <row r="37" spans="1:5" ht="12.75">
      <c r="A37" s="3"/>
      <c r="B37" s="33"/>
      <c r="D37" s="345"/>
      <c r="E37" s="345"/>
    </row>
    <row r="38" spans="1:5" ht="12.75">
      <c r="A38" s="130"/>
      <c r="B38" s="182"/>
      <c r="D38" s="345"/>
      <c r="E38" s="345"/>
    </row>
    <row r="39" spans="1:5" ht="12.75">
      <c r="A39" s="130"/>
      <c r="B39" s="182"/>
      <c r="D39" s="345"/>
      <c r="E39" s="345"/>
    </row>
    <row r="40" spans="1:5" ht="12.75">
      <c r="A40" s="130"/>
      <c r="B40" s="336"/>
      <c r="D40" s="345"/>
      <c r="E40" s="345"/>
    </row>
    <row r="41" spans="1:5" ht="12.75">
      <c r="A41" s="311"/>
      <c r="B41" s="282"/>
      <c r="D41" s="345"/>
      <c r="E41" s="345"/>
    </row>
    <row r="42" spans="1:5" ht="12.75">
      <c r="A42" s="348" t="s">
        <v>684</v>
      </c>
      <c r="B42" s="282"/>
      <c r="D42" s="345"/>
      <c r="E42" s="345"/>
    </row>
    <row r="43" spans="1:5" ht="12.75">
      <c r="A43" s="348" t="s">
        <v>562</v>
      </c>
      <c r="B43" s="282"/>
      <c r="D43" s="282"/>
      <c r="E43" s="282"/>
    </row>
  </sheetData>
  <mergeCells count="2"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C58" sqref="C58"/>
    </sheetView>
  </sheetViews>
  <sheetFormatPr defaultColWidth="9.140625" defaultRowHeight="17.25" customHeight="1"/>
  <cols>
    <col min="1" max="1" width="42.421875" style="3" customWidth="1"/>
    <col min="2" max="2" width="8.8515625" style="282" customWidth="1"/>
    <col min="3" max="3" width="11.28125" style="282" bestFit="1" customWidth="1"/>
    <col min="4" max="4" width="12.7109375" style="282" customWidth="1"/>
    <col min="5" max="5" width="11.57421875" style="282" bestFit="1" customWidth="1"/>
    <col min="6" max="16384" width="9.140625" style="282" customWidth="1"/>
  </cols>
  <sheetData>
    <row r="1" spans="1:5" s="8" customFormat="1" ht="17.25" customHeight="1">
      <c r="A1" s="3"/>
      <c r="B1" s="5"/>
      <c r="C1" s="5"/>
      <c r="D1" s="5"/>
      <c r="E1" s="105" t="s">
        <v>52</v>
      </c>
    </row>
    <row r="2" spans="1:5" s="8" customFormat="1" ht="17.25" customHeight="1">
      <c r="A2" s="625" t="s">
        <v>29</v>
      </c>
      <c r="B2" s="625"/>
      <c r="C2" s="625"/>
      <c r="D2" s="625"/>
      <c r="E2" s="625"/>
    </row>
    <row r="4" spans="1:5" s="315" customFormat="1" ht="17.25" customHeight="1">
      <c r="A4" s="641" t="s">
        <v>53</v>
      </c>
      <c r="B4" s="641"/>
      <c r="C4" s="641"/>
      <c r="D4" s="641"/>
      <c r="E4" s="641"/>
    </row>
    <row r="5" spans="1:5" ht="17.25" customHeight="1">
      <c r="A5" s="640" t="s">
        <v>301</v>
      </c>
      <c r="B5" s="640"/>
      <c r="C5" s="640"/>
      <c r="D5" s="640"/>
      <c r="E5" s="640"/>
    </row>
    <row r="6" spans="1:5" ht="17.25" customHeight="1">
      <c r="A6" s="130"/>
      <c r="B6" s="353"/>
      <c r="C6" s="353"/>
      <c r="D6" s="353"/>
      <c r="E6" s="353"/>
    </row>
    <row r="7" spans="1:5" s="8" customFormat="1" ht="17.25" customHeight="1">
      <c r="A7" s="3"/>
      <c r="D7" s="48" t="s">
        <v>54</v>
      </c>
      <c r="E7" s="105"/>
    </row>
    <row r="8" spans="1:5" s="3" customFormat="1" ht="22.5">
      <c r="A8" s="340" t="s">
        <v>191</v>
      </c>
      <c r="B8" s="321" t="s">
        <v>775</v>
      </c>
      <c r="C8" s="321" t="s">
        <v>193</v>
      </c>
      <c r="D8" s="321" t="s">
        <v>827</v>
      </c>
      <c r="E8" s="10" t="s">
        <v>440</v>
      </c>
    </row>
    <row r="9" spans="1:5" s="33" customFormat="1" ht="12.75">
      <c r="A9" s="164">
        <v>1</v>
      </c>
      <c r="B9" s="354">
        <v>2</v>
      </c>
      <c r="C9" s="354">
        <v>3</v>
      </c>
      <c r="D9" s="355">
        <v>4</v>
      </c>
      <c r="E9" s="355" t="s">
        <v>829</v>
      </c>
    </row>
    <row r="10" spans="1:5" ht="25.5">
      <c r="A10" s="356" t="s">
        <v>55</v>
      </c>
      <c r="B10" s="103"/>
      <c r="C10" s="103">
        <v>3659</v>
      </c>
      <c r="D10" s="126"/>
      <c r="E10" s="103">
        <f aca="true" t="shared" si="0" ref="E10:E21">C10</f>
        <v>3659</v>
      </c>
    </row>
    <row r="11" spans="1:5" ht="12.75">
      <c r="A11" s="357" t="s">
        <v>56</v>
      </c>
      <c r="B11" s="103"/>
      <c r="C11" s="103">
        <v>1046</v>
      </c>
      <c r="D11" s="126"/>
      <c r="E11" s="103">
        <f t="shared" si="0"/>
        <v>1046</v>
      </c>
    </row>
    <row r="12" spans="1:5" ht="12.75">
      <c r="A12" s="357" t="s">
        <v>57</v>
      </c>
      <c r="B12" s="103"/>
      <c r="C12" s="103">
        <v>41</v>
      </c>
      <c r="D12" s="126"/>
      <c r="E12" s="103">
        <f t="shared" si="0"/>
        <v>41</v>
      </c>
    </row>
    <row r="13" spans="1:5" ht="25.5">
      <c r="A13" s="357" t="s">
        <v>58</v>
      </c>
      <c r="B13" s="103"/>
      <c r="C13" s="103">
        <v>954</v>
      </c>
      <c r="D13" s="126"/>
      <c r="E13" s="103">
        <f t="shared" si="0"/>
        <v>954</v>
      </c>
    </row>
    <row r="14" spans="1:5" ht="38.25">
      <c r="A14" s="358" t="s">
        <v>59</v>
      </c>
      <c r="B14" s="103"/>
      <c r="C14" s="103">
        <v>219</v>
      </c>
      <c r="D14" s="126"/>
      <c r="E14" s="103">
        <f t="shared" si="0"/>
        <v>219</v>
      </c>
    </row>
    <row r="15" spans="1:5" ht="12.75">
      <c r="A15" s="357" t="s">
        <v>60</v>
      </c>
      <c r="B15" s="103"/>
      <c r="C15" s="103">
        <v>1399</v>
      </c>
      <c r="D15" s="126"/>
      <c r="E15" s="103">
        <f t="shared" si="0"/>
        <v>1399</v>
      </c>
    </row>
    <row r="16" spans="1:5" ht="16.5" customHeight="1">
      <c r="A16" s="359" t="s">
        <v>61</v>
      </c>
      <c r="B16" s="103"/>
      <c r="C16" s="103">
        <f>SUM(C17:C21)</f>
        <v>1077</v>
      </c>
      <c r="D16" s="126"/>
      <c r="E16" s="103">
        <f t="shared" si="0"/>
        <v>1077</v>
      </c>
    </row>
    <row r="17" spans="1:5" ht="12.75">
      <c r="A17" s="357" t="s">
        <v>56</v>
      </c>
      <c r="B17" s="103"/>
      <c r="C17" s="103">
        <v>119</v>
      </c>
      <c r="D17" s="126"/>
      <c r="E17" s="103">
        <f t="shared" si="0"/>
        <v>119</v>
      </c>
    </row>
    <row r="18" spans="1:5" ht="12.75">
      <c r="A18" s="357" t="s">
        <v>57</v>
      </c>
      <c r="B18" s="103"/>
      <c r="C18" s="103">
        <v>51</v>
      </c>
      <c r="D18" s="126"/>
      <c r="E18" s="103">
        <f t="shared" si="0"/>
        <v>51</v>
      </c>
    </row>
    <row r="19" spans="1:5" ht="12.75">
      <c r="A19" s="357" t="s">
        <v>62</v>
      </c>
      <c r="B19" s="103"/>
      <c r="C19" s="103">
        <v>627</v>
      </c>
      <c r="D19" s="126"/>
      <c r="E19" s="103">
        <f t="shared" si="0"/>
        <v>627</v>
      </c>
    </row>
    <row r="20" spans="1:5" ht="12.75">
      <c r="A20" s="358" t="s">
        <v>63</v>
      </c>
      <c r="B20" s="103"/>
      <c r="C20" s="103">
        <v>140</v>
      </c>
      <c r="D20" s="126"/>
      <c r="E20" s="103">
        <f t="shared" si="0"/>
        <v>140</v>
      </c>
    </row>
    <row r="21" spans="1:5" ht="12.75">
      <c r="A21" s="357" t="s">
        <v>64</v>
      </c>
      <c r="B21" s="103"/>
      <c r="C21" s="103">
        <v>140</v>
      </c>
      <c r="D21" s="126"/>
      <c r="E21" s="103">
        <f t="shared" si="0"/>
        <v>140</v>
      </c>
    </row>
    <row r="22" spans="1:5" ht="17.25" customHeight="1">
      <c r="A22" s="360"/>
      <c r="B22" s="93"/>
      <c r="C22" s="93"/>
      <c r="D22" s="361"/>
      <c r="E22" s="93"/>
    </row>
    <row r="24" spans="1:5" s="287" customFormat="1" ht="17.25" customHeight="1">
      <c r="A24" s="130"/>
      <c r="B24" s="282"/>
      <c r="C24" s="282"/>
      <c r="D24" s="282"/>
      <c r="E24" s="282"/>
    </row>
    <row r="25" spans="1:5" s="33" customFormat="1" ht="17.25" customHeight="1">
      <c r="A25" s="63" t="s">
        <v>65</v>
      </c>
      <c r="B25" s="62"/>
      <c r="C25" s="62"/>
      <c r="D25" s="62" t="s">
        <v>296</v>
      </c>
      <c r="E25" s="282"/>
    </row>
    <row r="26" spans="1:5" s="33" customFormat="1" ht="17.25" customHeight="1">
      <c r="A26" s="130"/>
      <c r="B26" s="287"/>
      <c r="C26" s="182"/>
      <c r="D26" s="287"/>
      <c r="E26" s="287"/>
    </row>
    <row r="27" spans="1:5" ht="17.25" customHeight="1">
      <c r="A27" s="311"/>
      <c r="E27" s="362"/>
    </row>
    <row r="28" ht="17.25" customHeight="1">
      <c r="E28" s="363"/>
    </row>
    <row r="29" spans="1:5" ht="17.25" customHeight="1">
      <c r="A29" s="311"/>
      <c r="B29" s="348"/>
      <c r="E29" s="362"/>
    </row>
    <row r="30" ht="17.25" customHeight="1">
      <c r="A30" s="311"/>
    </row>
    <row r="31" ht="17.25" customHeight="1">
      <c r="A31" s="311"/>
    </row>
    <row r="32" s="3" customFormat="1" ht="17.25" customHeight="1">
      <c r="A32" s="311"/>
    </row>
    <row r="33" s="3" customFormat="1" ht="17.25" customHeight="1">
      <c r="A33" s="311"/>
    </row>
    <row r="34" ht="17.25" customHeight="1">
      <c r="A34" s="311"/>
    </row>
    <row r="40" ht="17.25" customHeight="1">
      <c r="A40" s="33" t="s">
        <v>684</v>
      </c>
    </row>
    <row r="41" ht="17.25" customHeight="1">
      <c r="A41" s="33" t="s">
        <v>562</v>
      </c>
    </row>
  </sheetData>
  <mergeCells count="3">
    <mergeCell ref="A2:E2"/>
    <mergeCell ref="A4:E4"/>
    <mergeCell ref="A5:E5"/>
  </mergeCells>
  <printOptions/>
  <pageMargins left="0.75" right="0.75" top="1.6" bottom="0.72" header="0.5" footer="0.5"/>
  <pageSetup firstPageNumber="40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T46"/>
  <sheetViews>
    <sheetView zoomScale="80" zoomScaleNormal="80" workbookViewId="0" topLeftCell="A1">
      <selection activeCell="C58" sqref="C58"/>
    </sheetView>
  </sheetViews>
  <sheetFormatPr defaultColWidth="9.140625" defaultRowHeight="17.25" customHeight="1"/>
  <cols>
    <col min="1" max="1" width="40.00390625" style="3" customWidth="1"/>
    <col min="2" max="2" width="8.8515625" style="282" bestFit="1" customWidth="1"/>
    <col min="3" max="3" width="11.28125" style="282" bestFit="1" customWidth="1"/>
    <col min="4" max="4" width="12.57421875" style="282" customWidth="1"/>
    <col min="5" max="5" width="11.57421875" style="282" bestFit="1" customWidth="1"/>
    <col min="6" max="16384" width="9.140625" style="282" customWidth="1"/>
  </cols>
  <sheetData>
    <row r="1" spans="1:5" s="8" customFormat="1" ht="17.25" customHeight="1">
      <c r="A1" s="3"/>
      <c r="B1" s="5"/>
      <c r="C1" s="5"/>
      <c r="D1" s="5"/>
      <c r="E1" s="189" t="s">
        <v>66</v>
      </c>
    </row>
    <row r="2" spans="1:5" s="8" customFormat="1" ht="17.25" customHeight="1">
      <c r="A2" s="625" t="s">
        <v>67</v>
      </c>
      <c r="B2" s="625"/>
      <c r="C2" s="625"/>
      <c r="D2" s="625"/>
      <c r="E2" s="625"/>
    </row>
    <row r="3" spans="4:5" ht="17.25" customHeight="1">
      <c r="D3" s="353"/>
      <c r="E3" s="353"/>
    </row>
    <row r="4" spans="1:5" s="315" customFormat="1" ht="17.25" customHeight="1">
      <c r="A4" s="642" t="s">
        <v>68</v>
      </c>
      <c r="B4" s="642"/>
      <c r="C4" s="642"/>
      <c r="D4" s="642"/>
      <c r="E4" s="642"/>
    </row>
    <row r="5" spans="1:5" ht="17.25" customHeight="1">
      <c r="A5" s="640" t="s">
        <v>301</v>
      </c>
      <c r="B5" s="640"/>
      <c r="C5" s="640"/>
      <c r="D5" s="640"/>
      <c r="E5" s="640"/>
    </row>
    <row r="6" spans="1:81" s="8" customFormat="1" ht="17.25" customHeight="1">
      <c r="A6" s="3"/>
      <c r="B6" s="48"/>
      <c r="C6" s="48"/>
      <c r="E6" s="286" t="s">
        <v>437</v>
      </c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</row>
    <row r="7" spans="1:254" s="3" customFormat="1" ht="22.5">
      <c r="A7" s="340" t="s">
        <v>191</v>
      </c>
      <c r="B7" s="321" t="s">
        <v>775</v>
      </c>
      <c r="C7" s="321" t="s">
        <v>193</v>
      </c>
      <c r="D7" s="321" t="s">
        <v>827</v>
      </c>
      <c r="E7" s="10" t="s">
        <v>33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364"/>
      <c r="CE7" s="365"/>
      <c r="CF7" s="366"/>
      <c r="CG7" s="364"/>
      <c r="CH7" s="364"/>
      <c r="CI7" s="364"/>
      <c r="CJ7" s="365"/>
      <c r="CK7" s="366"/>
      <c r="CL7" s="364"/>
      <c r="CM7" s="364"/>
      <c r="CN7" s="364"/>
      <c r="CO7" s="365"/>
      <c r="CP7" s="366"/>
      <c r="CQ7" s="364"/>
      <c r="CR7" s="364"/>
      <c r="CS7" s="364"/>
      <c r="CT7" s="365"/>
      <c r="CU7" s="366"/>
      <c r="CV7" s="364"/>
      <c r="CW7" s="364"/>
      <c r="CX7" s="364"/>
      <c r="CY7" s="365"/>
      <c r="CZ7" s="366"/>
      <c r="DA7" s="364"/>
      <c r="DB7" s="364"/>
      <c r="DC7" s="364"/>
      <c r="DD7" s="365"/>
      <c r="DE7" s="366"/>
      <c r="DF7" s="364"/>
      <c r="DG7" s="364"/>
      <c r="DH7" s="364"/>
      <c r="DI7" s="365"/>
      <c r="DJ7" s="366"/>
      <c r="DK7" s="364"/>
      <c r="DL7" s="364"/>
      <c r="DM7" s="364"/>
      <c r="DN7" s="365"/>
      <c r="DO7" s="366"/>
      <c r="DP7" s="364"/>
      <c r="DQ7" s="364"/>
      <c r="DR7" s="364"/>
      <c r="DS7" s="365"/>
      <c r="DT7" s="366"/>
      <c r="DU7" s="364"/>
      <c r="DV7" s="364"/>
      <c r="DW7" s="364"/>
      <c r="DX7" s="365"/>
      <c r="DY7" s="366"/>
      <c r="DZ7" s="364"/>
      <c r="EA7" s="364"/>
      <c r="EB7" s="364"/>
      <c r="EC7" s="365"/>
      <c r="ED7" s="366"/>
      <c r="EE7" s="364"/>
      <c r="EF7" s="364"/>
      <c r="EG7" s="364"/>
      <c r="EH7" s="365"/>
      <c r="EI7" s="366"/>
      <c r="EJ7" s="364"/>
      <c r="EK7" s="364"/>
      <c r="EL7" s="364"/>
      <c r="EM7" s="365"/>
      <c r="EN7" s="366"/>
      <c r="EO7" s="364"/>
      <c r="EP7" s="364"/>
      <c r="EQ7" s="364"/>
      <c r="ER7" s="365"/>
      <c r="ES7" s="366"/>
      <c r="ET7" s="364"/>
      <c r="EU7" s="364"/>
      <c r="EV7" s="364"/>
      <c r="EW7" s="365"/>
      <c r="EX7" s="366"/>
      <c r="EY7" s="364"/>
      <c r="EZ7" s="364"/>
      <c r="FA7" s="364"/>
      <c r="FB7" s="365"/>
      <c r="FC7" s="366"/>
      <c r="FD7" s="364"/>
      <c r="FE7" s="364"/>
      <c r="FF7" s="364"/>
      <c r="FG7" s="365"/>
      <c r="FH7" s="366"/>
      <c r="FI7" s="364"/>
      <c r="FJ7" s="364"/>
      <c r="FK7" s="364"/>
      <c r="FL7" s="365"/>
      <c r="FM7" s="366"/>
      <c r="FN7" s="364"/>
      <c r="FO7" s="364"/>
      <c r="FP7" s="364"/>
      <c r="FQ7" s="365"/>
      <c r="FR7" s="366"/>
      <c r="FS7" s="364"/>
      <c r="FT7" s="364"/>
      <c r="FU7" s="364"/>
      <c r="FV7" s="365"/>
      <c r="FW7" s="366"/>
      <c r="FX7" s="364"/>
      <c r="FY7" s="364"/>
      <c r="FZ7" s="364"/>
      <c r="GA7" s="365"/>
      <c r="GB7" s="366"/>
      <c r="GC7" s="364"/>
      <c r="GD7" s="364"/>
      <c r="GE7" s="364"/>
      <c r="GF7" s="365"/>
      <c r="GG7" s="366"/>
      <c r="GH7" s="364"/>
      <c r="GI7" s="364"/>
      <c r="GJ7" s="364"/>
      <c r="GK7" s="365"/>
      <c r="GL7" s="366"/>
      <c r="GM7" s="364"/>
      <c r="GN7" s="364"/>
      <c r="GO7" s="364"/>
      <c r="GP7" s="365"/>
      <c r="GQ7" s="366"/>
      <c r="GR7" s="364"/>
      <c r="GS7" s="364"/>
      <c r="GT7" s="364"/>
      <c r="GU7" s="365"/>
      <c r="GV7" s="366"/>
      <c r="GW7" s="364"/>
      <c r="GX7" s="364"/>
      <c r="GY7" s="364"/>
      <c r="GZ7" s="365"/>
      <c r="HA7" s="366"/>
      <c r="HB7" s="364"/>
      <c r="HC7" s="364"/>
      <c r="HD7" s="364"/>
      <c r="HE7" s="365"/>
      <c r="HF7" s="366"/>
      <c r="HG7" s="364"/>
      <c r="HH7" s="364"/>
      <c r="HI7" s="364"/>
      <c r="HJ7" s="365"/>
      <c r="HK7" s="366"/>
      <c r="HL7" s="364"/>
      <c r="HM7" s="364"/>
      <c r="HN7" s="364"/>
      <c r="HO7" s="365"/>
      <c r="HP7" s="366"/>
      <c r="HQ7" s="364"/>
      <c r="HR7" s="364"/>
      <c r="HS7" s="364"/>
      <c r="HT7" s="365"/>
      <c r="HU7" s="366"/>
      <c r="HV7" s="364"/>
      <c r="HW7" s="364"/>
      <c r="HX7" s="364"/>
      <c r="HY7" s="365"/>
      <c r="HZ7" s="366"/>
      <c r="IA7" s="364"/>
      <c r="IB7" s="364"/>
      <c r="IC7" s="364"/>
      <c r="ID7" s="365"/>
      <c r="IE7" s="366"/>
      <c r="IF7" s="364"/>
      <c r="IG7" s="364"/>
      <c r="IH7" s="364"/>
      <c r="II7" s="365"/>
      <c r="IJ7" s="366"/>
      <c r="IK7" s="364"/>
      <c r="IL7" s="364"/>
      <c r="IM7" s="364"/>
      <c r="IN7" s="365"/>
      <c r="IO7" s="366"/>
      <c r="IP7" s="364"/>
      <c r="IQ7" s="364"/>
      <c r="IR7" s="364"/>
      <c r="IS7" s="365"/>
      <c r="IT7" s="366"/>
    </row>
    <row r="8" spans="1:5" ht="12.75">
      <c r="A8" s="164">
        <v>1</v>
      </c>
      <c r="B8" s="354">
        <v>2</v>
      </c>
      <c r="C8" s="354">
        <v>3</v>
      </c>
      <c r="D8" s="355">
        <v>4</v>
      </c>
      <c r="E8" s="355">
        <v>5</v>
      </c>
    </row>
    <row r="9" spans="1:5" s="3" customFormat="1" ht="12.75">
      <c r="A9" s="326" t="s">
        <v>357</v>
      </c>
      <c r="B9" s="103"/>
      <c r="C9" s="103">
        <v>3659</v>
      </c>
      <c r="D9" s="126"/>
      <c r="E9" s="103">
        <f aca="true" t="shared" si="0" ref="E9:E32">C9</f>
        <v>3659</v>
      </c>
    </row>
    <row r="10" spans="1:5" s="3" customFormat="1" ht="12.75">
      <c r="A10" s="326" t="s">
        <v>34</v>
      </c>
      <c r="B10" s="103"/>
      <c r="C10" s="103">
        <f>SUM(C11,C26)</f>
        <v>1953</v>
      </c>
      <c r="D10" s="126"/>
      <c r="E10" s="103">
        <f t="shared" si="0"/>
        <v>1953</v>
      </c>
    </row>
    <row r="11" spans="1:5" s="333" customFormat="1" ht="12.75">
      <c r="A11" s="341" t="s">
        <v>364</v>
      </c>
      <c r="B11" s="103"/>
      <c r="C11" s="103">
        <f>SUM(C12,C18,C19)</f>
        <v>1399</v>
      </c>
      <c r="D11" s="126"/>
      <c r="E11" s="103">
        <f t="shared" si="0"/>
        <v>1399</v>
      </c>
    </row>
    <row r="12" spans="1:5" s="333" customFormat="1" ht="12.75">
      <c r="A12" s="341" t="s">
        <v>365</v>
      </c>
      <c r="B12" s="103"/>
      <c r="C12" s="103">
        <f>SUM(C13,C14,C15)</f>
        <v>865</v>
      </c>
      <c r="D12" s="126"/>
      <c r="E12" s="103">
        <f t="shared" si="0"/>
        <v>865</v>
      </c>
    </row>
    <row r="13" spans="1:5" ht="17.25" customHeight="1">
      <c r="A13" s="342" t="s">
        <v>35</v>
      </c>
      <c r="B13" s="103"/>
      <c r="C13" s="103">
        <v>112</v>
      </c>
      <c r="D13" s="126"/>
      <c r="E13" s="103">
        <f t="shared" si="0"/>
        <v>112</v>
      </c>
    </row>
    <row r="14" spans="1:5" ht="25.5">
      <c r="A14" s="342" t="s">
        <v>36</v>
      </c>
      <c r="B14" s="103"/>
      <c r="C14" s="103">
        <v>29</v>
      </c>
      <c r="D14" s="126"/>
      <c r="E14" s="103">
        <f t="shared" si="0"/>
        <v>29</v>
      </c>
    </row>
    <row r="15" spans="1:5" ht="12.75">
      <c r="A15" s="342" t="s">
        <v>37</v>
      </c>
      <c r="B15" s="103"/>
      <c r="C15" s="103">
        <f>SUM(C16:C17)</f>
        <v>724</v>
      </c>
      <c r="D15" s="126"/>
      <c r="E15" s="103">
        <f t="shared" si="0"/>
        <v>724</v>
      </c>
    </row>
    <row r="16" spans="1:5" ht="25.5">
      <c r="A16" s="352" t="s">
        <v>38</v>
      </c>
      <c r="B16" s="103"/>
      <c r="C16" s="103">
        <f>625+90</f>
        <v>715</v>
      </c>
      <c r="D16" s="126"/>
      <c r="E16" s="103">
        <f t="shared" si="0"/>
        <v>715</v>
      </c>
    </row>
    <row r="17" spans="1:5" ht="12.75">
      <c r="A17" s="352" t="s">
        <v>69</v>
      </c>
      <c r="B17" s="103"/>
      <c r="C17" s="103">
        <v>9</v>
      </c>
      <c r="D17" s="126"/>
      <c r="E17" s="103">
        <f t="shared" si="0"/>
        <v>9</v>
      </c>
    </row>
    <row r="18" spans="1:5" ht="25.5">
      <c r="A18" s="341" t="s">
        <v>40</v>
      </c>
      <c r="B18" s="103"/>
      <c r="C18" s="103">
        <v>4</v>
      </c>
      <c r="D18" s="126"/>
      <c r="E18" s="103">
        <f t="shared" si="0"/>
        <v>4</v>
      </c>
    </row>
    <row r="19" spans="1:5" ht="12.75">
      <c r="A19" s="341" t="s">
        <v>373</v>
      </c>
      <c r="B19" s="103"/>
      <c r="C19" s="103">
        <f>SUM(C20:C24)</f>
        <v>530</v>
      </c>
      <c r="D19" s="126"/>
      <c r="E19" s="103">
        <f t="shared" si="0"/>
        <v>530</v>
      </c>
    </row>
    <row r="20" spans="1:5" ht="12.75">
      <c r="A20" s="342" t="s">
        <v>41</v>
      </c>
      <c r="B20" s="103"/>
      <c r="C20" s="103">
        <v>32</v>
      </c>
      <c r="D20" s="126"/>
      <c r="E20" s="103">
        <f t="shared" si="0"/>
        <v>32</v>
      </c>
    </row>
    <row r="21" spans="1:5" ht="12.75">
      <c r="A21" s="342" t="s">
        <v>42</v>
      </c>
      <c r="B21" s="103"/>
      <c r="C21" s="103">
        <v>24</v>
      </c>
      <c r="D21" s="126"/>
      <c r="E21" s="103">
        <f t="shared" si="0"/>
        <v>24</v>
      </c>
    </row>
    <row r="22" spans="1:5" ht="12.75">
      <c r="A22" s="342" t="s">
        <v>43</v>
      </c>
      <c r="B22" s="103"/>
      <c r="C22" s="103">
        <v>14</v>
      </c>
      <c r="D22" s="126"/>
      <c r="E22" s="103">
        <f t="shared" si="0"/>
        <v>14</v>
      </c>
    </row>
    <row r="23" spans="1:5" ht="25.5">
      <c r="A23" s="342" t="s">
        <v>44</v>
      </c>
      <c r="B23" s="103"/>
      <c r="C23" s="103">
        <v>288</v>
      </c>
      <c r="D23" s="126"/>
      <c r="E23" s="103">
        <f t="shared" si="0"/>
        <v>288</v>
      </c>
    </row>
    <row r="24" spans="1:5" ht="12.75">
      <c r="A24" s="342" t="s">
        <v>45</v>
      </c>
      <c r="B24" s="103"/>
      <c r="C24" s="103">
        <v>172</v>
      </c>
      <c r="D24" s="126"/>
      <c r="E24" s="103">
        <f t="shared" si="0"/>
        <v>172</v>
      </c>
    </row>
    <row r="25" spans="1:5" ht="12.75">
      <c r="A25" s="342" t="s">
        <v>70</v>
      </c>
      <c r="B25" s="103"/>
      <c r="C25" s="103">
        <v>3</v>
      </c>
      <c r="D25" s="126"/>
      <c r="E25" s="103">
        <f t="shared" si="0"/>
        <v>3</v>
      </c>
    </row>
    <row r="26" spans="1:7" s="333" customFormat="1" ht="12.75">
      <c r="A26" s="341" t="s">
        <v>393</v>
      </c>
      <c r="B26" s="103"/>
      <c r="C26" s="103">
        <f>SUM(C27:C28)</f>
        <v>554</v>
      </c>
      <c r="D26" s="126"/>
      <c r="E26" s="103">
        <f t="shared" si="0"/>
        <v>554</v>
      </c>
      <c r="F26" s="282"/>
      <c r="G26" s="282"/>
    </row>
    <row r="27" spans="1:7" s="333" customFormat="1" ht="17.25" customHeight="1">
      <c r="A27" s="342" t="s">
        <v>47</v>
      </c>
      <c r="B27" s="103"/>
      <c r="C27" s="103">
        <f>542+2</f>
        <v>544</v>
      </c>
      <c r="D27" s="126"/>
      <c r="E27" s="103">
        <f t="shared" si="0"/>
        <v>544</v>
      </c>
      <c r="F27" s="282"/>
      <c r="G27" s="282"/>
    </row>
    <row r="28" spans="1:5" ht="12.75">
      <c r="A28" s="163" t="s">
        <v>763</v>
      </c>
      <c r="B28" s="103"/>
      <c r="C28" s="103">
        <v>10</v>
      </c>
      <c r="D28" s="126"/>
      <c r="E28" s="103">
        <f t="shared" si="0"/>
        <v>10</v>
      </c>
    </row>
    <row r="29" spans="1:7" s="333" customFormat="1" ht="12.75">
      <c r="A29" s="341" t="s">
        <v>48</v>
      </c>
      <c r="B29" s="103"/>
      <c r="C29" s="103">
        <f>C30-C31</f>
        <v>-876</v>
      </c>
      <c r="D29" s="126"/>
      <c r="E29" s="103">
        <f t="shared" si="0"/>
        <v>-876</v>
      </c>
      <c r="F29" s="282"/>
      <c r="G29" s="282"/>
    </row>
    <row r="30" spans="1:5" ht="12.75">
      <c r="A30" s="342" t="s">
        <v>49</v>
      </c>
      <c r="B30" s="103"/>
      <c r="C30" s="103">
        <v>64</v>
      </c>
      <c r="D30" s="126"/>
      <c r="E30" s="103">
        <f t="shared" si="0"/>
        <v>64</v>
      </c>
    </row>
    <row r="31" spans="1:5" ht="12.75">
      <c r="A31" s="342" t="s">
        <v>50</v>
      </c>
      <c r="B31" s="103"/>
      <c r="C31" s="103">
        <v>940</v>
      </c>
      <c r="D31" s="126"/>
      <c r="E31" s="103">
        <f t="shared" si="0"/>
        <v>940</v>
      </c>
    </row>
    <row r="32" spans="1:5" ht="12.75">
      <c r="A32" s="341" t="s">
        <v>723</v>
      </c>
      <c r="B32" s="103"/>
      <c r="C32" s="103">
        <f>C9-C10-C29</f>
        <v>2582</v>
      </c>
      <c r="D32" s="126"/>
      <c r="E32" s="103">
        <f t="shared" si="0"/>
        <v>2582</v>
      </c>
    </row>
    <row r="33" spans="1:4" ht="17.25" customHeight="1">
      <c r="A33" s="335"/>
      <c r="B33" s="93"/>
      <c r="C33" s="93"/>
      <c r="D33" s="367"/>
    </row>
    <row r="34" ht="17.25" customHeight="1">
      <c r="A34" s="130"/>
    </row>
    <row r="35" spans="1:7" s="33" customFormat="1" ht="17.25" customHeight="1">
      <c r="A35" s="130"/>
      <c r="B35" s="282"/>
      <c r="C35" s="282"/>
      <c r="D35" s="282"/>
      <c r="E35" s="282"/>
      <c r="F35" s="282"/>
      <c r="G35" s="282"/>
    </row>
    <row r="36" spans="1:7" s="33" customFormat="1" ht="17.25" customHeight="1">
      <c r="A36" s="335"/>
      <c r="B36" s="282"/>
      <c r="C36" s="282"/>
      <c r="D36" s="282"/>
      <c r="E36" s="282"/>
      <c r="F36" s="282"/>
      <c r="G36" s="282"/>
    </row>
    <row r="37" spans="1:254" s="3" customFormat="1" ht="17.25" customHeight="1">
      <c r="A37" s="63" t="s">
        <v>407</v>
      </c>
      <c r="B37" s="62"/>
      <c r="C37" s="62"/>
      <c r="D37" s="62" t="s">
        <v>296</v>
      </c>
      <c r="E37" s="363"/>
      <c r="F37" s="282"/>
      <c r="G37" s="282"/>
      <c r="H37" s="182"/>
      <c r="I37" s="275"/>
      <c r="J37" s="275"/>
      <c r="K37" s="368"/>
      <c r="L37" s="282"/>
      <c r="M37" s="348"/>
      <c r="N37" s="348"/>
      <c r="O37" s="33"/>
      <c r="P37" s="33"/>
      <c r="Q37" s="33"/>
      <c r="R37" s="33"/>
      <c r="S37" s="282"/>
      <c r="T37" s="348"/>
      <c r="U37" s="348"/>
      <c r="V37" s="182"/>
      <c r="W37" s="369"/>
      <c r="X37" s="369"/>
      <c r="Y37" s="368"/>
      <c r="Z37" s="282"/>
      <c r="AA37" s="348"/>
      <c r="AB37" s="348"/>
      <c r="AC37" s="182"/>
      <c r="AD37" s="369"/>
      <c r="AE37" s="369"/>
      <c r="AF37" s="368"/>
      <c r="AG37" s="282"/>
      <c r="AH37" s="348"/>
      <c r="AI37" s="348"/>
      <c r="AJ37" s="182"/>
      <c r="AK37" s="369"/>
      <c r="AL37" s="369"/>
      <c r="AM37" s="368"/>
      <c r="AN37" s="282"/>
      <c r="AO37" s="348"/>
      <c r="AP37" s="348"/>
      <c r="AQ37" s="182"/>
      <c r="AR37" s="369"/>
      <c r="AS37" s="369"/>
      <c r="AT37" s="368"/>
      <c r="AU37" s="282"/>
      <c r="AV37" s="348"/>
      <c r="AW37" s="348"/>
      <c r="AX37" s="182"/>
      <c r="AY37" s="369"/>
      <c r="AZ37" s="369"/>
      <c r="BA37" s="368"/>
      <c r="BB37" s="282"/>
      <c r="BC37" s="348"/>
      <c r="BD37" s="348"/>
      <c r="BE37" s="182"/>
      <c r="BF37" s="369"/>
      <c r="BG37" s="369"/>
      <c r="BH37" s="368"/>
      <c r="BI37" s="282"/>
      <c r="BJ37" s="348"/>
      <c r="BK37" s="348"/>
      <c r="BL37" s="182"/>
      <c r="BM37" s="369"/>
      <c r="BN37" s="369"/>
      <c r="BO37" s="368"/>
      <c r="BP37" s="282"/>
      <c r="BQ37" s="348"/>
      <c r="BR37" s="348"/>
      <c r="BS37" s="182"/>
      <c r="BT37" s="369"/>
      <c r="BU37" s="369"/>
      <c r="BV37" s="368"/>
      <c r="BW37" s="282"/>
      <c r="BX37" s="348"/>
      <c r="BY37" s="348"/>
      <c r="BZ37" s="182"/>
      <c r="CA37" s="369"/>
      <c r="CB37" s="369"/>
      <c r="CC37" s="368"/>
      <c r="CD37" s="282"/>
      <c r="CE37" s="348"/>
      <c r="CF37" s="348"/>
      <c r="CG37" s="182"/>
      <c r="CH37" s="369"/>
      <c r="CI37" s="369"/>
      <c r="CJ37" s="368"/>
      <c r="CK37" s="282"/>
      <c r="CL37" s="348"/>
      <c r="CM37" s="348"/>
      <c r="CN37" s="182"/>
      <c r="CO37" s="369"/>
      <c r="CP37" s="369"/>
      <c r="CQ37" s="368"/>
      <c r="CR37" s="282"/>
      <c r="CS37" s="348"/>
      <c r="CT37" s="348"/>
      <c r="CU37" s="182"/>
      <c r="CV37" s="369"/>
      <c r="CW37" s="369"/>
      <c r="CX37" s="368"/>
      <c r="CY37" s="282"/>
      <c r="CZ37" s="348"/>
      <c r="DA37" s="348"/>
      <c r="DB37" s="182"/>
      <c r="DC37" s="369"/>
      <c r="DD37" s="369"/>
      <c r="DE37" s="368"/>
      <c r="DF37" s="282"/>
      <c r="DG37" s="348"/>
      <c r="DH37" s="348"/>
      <c r="DI37" s="182"/>
      <c r="DJ37" s="369"/>
      <c r="DK37" s="369"/>
      <c r="DL37" s="368"/>
      <c r="DM37" s="282"/>
      <c r="DN37" s="348"/>
      <c r="DO37" s="348"/>
      <c r="DP37" s="182"/>
      <c r="DQ37" s="369"/>
      <c r="DR37" s="369"/>
      <c r="DS37" s="368"/>
      <c r="DT37" s="282"/>
      <c r="DU37" s="348"/>
      <c r="DV37" s="348"/>
      <c r="DW37" s="182"/>
      <c r="DX37" s="369"/>
      <c r="DY37" s="369"/>
      <c r="DZ37" s="368"/>
      <c r="EA37" s="282"/>
      <c r="EB37" s="348"/>
      <c r="EC37" s="348"/>
      <c r="ED37" s="182"/>
      <c r="EE37" s="369"/>
      <c r="EF37" s="369"/>
      <c r="EG37" s="368"/>
      <c r="EH37" s="282"/>
      <c r="EI37" s="348"/>
      <c r="EJ37" s="348"/>
      <c r="EK37" s="182"/>
      <c r="EL37" s="369"/>
      <c r="EM37" s="369"/>
      <c r="EN37" s="368"/>
      <c r="EO37" s="282"/>
      <c r="EP37" s="348"/>
      <c r="EQ37" s="348"/>
      <c r="ER37" s="182"/>
      <c r="ES37" s="369"/>
      <c r="ET37" s="369"/>
      <c r="EU37" s="368"/>
      <c r="EV37" s="282"/>
      <c r="EW37" s="348"/>
      <c r="EX37" s="348"/>
      <c r="EY37" s="182"/>
      <c r="EZ37" s="369"/>
      <c r="FA37" s="369"/>
      <c r="FB37" s="368"/>
      <c r="FC37" s="282"/>
      <c r="FD37" s="348"/>
      <c r="FE37" s="348"/>
      <c r="FF37" s="182"/>
      <c r="FG37" s="369"/>
      <c r="FH37" s="369"/>
      <c r="FI37" s="368"/>
      <c r="FJ37" s="282"/>
      <c r="FK37" s="348"/>
      <c r="FL37" s="348"/>
      <c r="FM37" s="182"/>
      <c r="FN37" s="369"/>
      <c r="FO37" s="369"/>
      <c r="FP37" s="368"/>
      <c r="FQ37" s="282"/>
      <c r="FR37" s="348"/>
      <c r="FS37" s="348"/>
      <c r="FT37" s="182"/>
      <c r="FU37" s="369"/>
      <c r="FV37" s="369"/>
      <c r="FW37" s="368"/>
      <c r="FX37" s="282"/>
      <c r="FY37" s="348"/>
      <c r="FZ37" s="348"/>
      <c r="GA37" s="182"/>
      <c r="GB37" s="369"/>
      <c r="GC37" s="369"/>
      <c r="GD37" s="368"/>
      <c r="GE37" s="282"/>
      <c r="GF37" s="348"/>
      <c r="GG37" s="348"/>
      <c r="GH37" s="182"/>
      <c r="GI37" s="369"/>
      <c r="GJ37" s="369"/>
      <c r="GK37" s="368"/>
      <c r="GL37" s="282"/>
      <c r="GM37" s="348"/>
      <c r="GN37" s="348"/>
      <c r="GO37" s="182"/>
      <c r="GP37" s="369"/>
      <c r="GQ37" s="369"/>
      <c r="GR37" s="368"/>
      <c r="GS37" s="282"/>
      <c r="GT37" s="348"/>
      <c r="GU37" s="348"/>
      <c r="GV37" s="182"/>
      <c r="GW37" s="369"/>
      <c r="GX37" s="369"/>
      <c r="GY37" s="368"/>
      <c r="GZ37" s="282"/>
      <c r="HA37" s="348"/>
      <c r="HB37" s="348"/>
      <c r="HC37" s="182"/>
      <c r="HD37" s="369"/>
      <c r="HE37" s="369"/>
      <c r="HF37" s="368"/>
      <c r="HG37" s="282"/>
      <c r="HH37" s="348"/>
      <c r="HI37" s="348"/>
      <c r="HJ37" s="182"/>
      <c r="HK37" s="369"/>
      <c r="HL37" s="369"/>
      <c r="HM37" s="368"/>
      <c r="HN37" s="282"/>
      <c r="HO37" s="348"/>
      <c r="HP37" s="348"/>
      <c r="HQ37" s="182"/>
      <c r="HR37" s="369"/>
      <c r="HS37" s="369"/>
      <c r="HT37" s="368"/>
      <c r="HU37" s="282"/>
      <c r="HV37" s="348"/>
      <c r="HW37" s="348"/>
      <c r="HX37" s="182"/>
      <c r="HY37" s="369"/>
      <c r="HZ37" s="369"/>
      <c r="IA37" s="368"/>
      <c r="IB37" s="282"/>
      <c r="IC37" s="348"/>
      <c r="ID37" s="348"/>
      <c r="IE37" s="182"/>
      <c r="IF37" s="369"/>
      <c r="IG37" s="369"/>
      <c r="IH37" s="368"/>
      <c r="II37" s="282"/>
      <c r="IJ37" s="348"/>
      <c r="IK37" s="348"/>
      <c r="IL37" s="182"/>
      <c r="IM37" s="369"/>
      <c r="IN37" s="369"/>
      <c r="IO37" s="368"/>
      <c r="IP37" s="282"/>
      <c r="IQ37" s="348"/>
      <c r="IR37" s="348"/>
      <c r="IS37" s="182"/>
      <c r="IT37" s="369"/>
    </row>
    <row r="38" spans="1:253" s="348" customFormat="1" ht="17.25" customHeight="1">
      <c r="A38" s="311"/>
      <c r="B38" s="70"/>
      <c r="C38" s="70"/>
      <c r="D38" s="282"/>
      <c r="E38" s="282"/>
      <c r="F38" s="282"/>
      <c r="G38" s="282"/>
      <c r="H38" s="182"/>
      <c r="I38" s="33"/>
      <c r="J38" s="182"/>
      <c r="K38" s="182"/>
      <c r="M38" s="33"/>
      <c r="O38" s="182"/>
      <c r="P38" s="33"/>
      <c r="Q38" s="182"/>
      <c r="R38" s="182"/>
      <c r="T38" s="33"/>
      <c r="V38" s="182"/>
      <c r="W38" s="33"/>
      <c r="X38" s="182"/>
      <c r="Y38" s="182"/>
      <c r="AA38" s="33"/>
      <c r="AC38" s="182"/>
      <c r="AD38" s="33"/>
      <c r="AE38" s="182"/>
      <c r="AF38" s="182"/>
      <c r="AH38" s="33"/>
      <c r="AJ38" s="182"/>
      <c r="AK38" s="33"/>
      <c r="AL38" s="182"/>
      <c r="AM38" s="182"/>
      <c r="AO38" s="33"/>
      <c r="AQ38" s="182"/>
      <c r="AR38" s="33"/>
      <c r="AS38" s="182"/>
      <c r="AT38" s="182"/>
      <c r="AV38" s="33"/>
      <c r="AX38" s="182"/>
      <c r="AY38" s="33"/>
      <c r="AZ38" s="182"/>
      <c r="BA38" s="182"/>
      <c r="BC38" s="33"/>
      <c r="BE38" s="182"/>
      <c r="BF38" s="33"/>
      <c r="BG38" s="182"/>
      <c r="BH38" s="182"/>
      <c r="BJ38" s="33"/>
      <c r="BL38" s="182"/>
      <c r="BM38" s="33"/>
      <c r="BN38" s="182"/>
      <c r="BO38" s="182"/>
      <c r="BQ38" s="33"/>
      <c r="BS38" s="182"/>
      <c r="BT38" s="33"/>
      <c r="BU38" s="182"/>
      <c r="BV38" s="182"/>
      <c r="BX38" s="33"/>
      <c r="BZ38" s="182"/>
      <c r="CA38" s="33"/>
      <c r="CB38" s="182"/>
      <c r="CC38" s="182"/>
      <c r="CE38" s="33"/>
      <c r="CG38" s="182"/>
      <c r="CH38" s="33"/>
      <c r="CI38" s="182"/>
      <c r="CJ38" s="182"/>
      <c r="CL38" s="33"/>
      <c r="CN38" s="182"/>
      <c r="CO38" s="33"/>
      <c r="CP38" s="182"/>
      <c r="CQ38" s="182"/>
      <c r="CS38" s="33"/>
      <c r="CU38" s="182"/>
      <c r="CV38" s="33"/>
      <c r="CW38" s="182"/>
      <c r="CX38" s="182"/>
      <c r="CZ38" s="33"/>
      <c r="DB38" s="182"/>
      <c r="DC38" s="33"/>
      <c r="DD38" s="182"/>
      <c r="DE38" s="182"/>
      <c r="DG38" s="33"/>
      <c r="DI38" s="182"/>
      <c r="DJ38" s="33"/>
      <c r="DK38" s="182"/>
      <c r="DL38" s="182"/>
      <c r="DN38" s="33"/>
      <c r="DP38" s="182"/>
      <c r="DQ38" s="33"/>
      <c r="DR38" s="182"/>
      <c r="DS38" s="182"/>
      <c r="DU38" s="33"/>
      <c r="DW38" s="182"/>
      <c r="DX38" s="33"/>
      <c r="DY38" s="182"/>
      <c r="DZ38" s="182"/>
      <c r="EB38" s="33"/>
      <c r="ED38" s="182"/>
      <c r="EE38" s="33"/>
      <c r="EF38" s="182"/>
      <c r="EG38" s="182"/>
      <c r="EI38" s="33"/>
      <c r="EK38" s="182"/>
      <c r="EL38" s="33"/>
      <c r="EM38" s="182"/>
      <c r="EN38" s="182"/>
      <c r="EP38" s="33"/>
      <c r="ER38" s="182"/>
      <c r="ES38" s="33"/>
      <c r="ET38" s="182"/>
      <c r="EU38" s="182"/>
      <c r="EW38" s="33"/>
      <c r="EY38" s="182"/>
      <c r="EZ38" s="33"/>
      <c r="FA38" s="182"/>
      <c r="FB38" s="182"/>
      <c r="FD38" s="33"/>
      <c r="FF38" s="182"/>
      <c r="FG38" s="33"/>
      <c r="FH38" s="182"/>
      <c r="FI38" s="182"/>
      <c r="FK38" s="33"/>
      <c r="FM38" s="182"/>
      <c r="FN38" s="33"/>
      <c r="FO38" s="182"/>
      <c r="FP38" s="182"/>
      <c r="FR38" s="33"/>
      <c r="FT38" s="182"/>
      <c r="FU38" s="33"/>
      <c r="FV38" s="182"/>
      <c r="FW38" s="182"/>
      <c r="FY38" s="33"/>
      <c r="GA38" s="182"/>
      <c r="GB38" s="33"/>
      <c r="GC38" s="182"/>
      <c r="GD38" s="182"/>
      <c r="GF38" s="33"/>
      <c r="GH38" s="182"/>
      <c r="GI38" s="33"/>
      <c r="GJ38" s="182"/>
      <c r="GK38" s="182"/>
      <c r="GM38" s="33"/>
      <c r="GO38" s="182"/>
      <c r="GP38" s="33"/>
      <c r="GQ38" s="182"/>
      <c r="GR38" s="182"/>
      <c r="GT38" s="33"/>
      <c r="GV38" s="182"/>
      <c r="GW38" s="33"/>
      <c r="GX38" s="182"/>
      <c r="GY38" s="182"/>
      <c r="HA38" s="33"/>
      <c r="HC38" s="182"/>
      <c r="HD38" s="33"/>
      <c r="HE38" s="182"/>
      <c r="HF38" s="182"/>
      <c r="HH38" s="33"/>
      <c r="HJ38" s="182"/>
      <c r="HK38" s="33"/>
      <c r="HL38" s="182"/>
      <c r="HM38" s="182"/>
      <c r="HO38" s="33"/>
      <c r="HQ38" s="182"/>
      <c r="HR38" s="33"/>
      <c r="HS38" s="182"/>
      <c r="HT38" s="182"/>
      <c r="HV38" s="33"/>
      <c r="HX38" s="182"/>
      <c r="HY38" s="33"/>
      <c r="HZ38" s="182"/>
      <c r="IA38" s="182"/>
      <c r="IC38" s="33"/>
      <c r="IE38" s="182"/>
      <c r="IF38" s="33"/>
      <c r="IG38" s="182"/>
      <c r="IH38" s="182"/>
      <c r="IJ38" s="33"/>
      <c r="IL38" s="182"/>
      <c r="IM38" s="33"/>
      <c r="IN38" s="182"/>
      <c r="IO38" s="182"/>
      <c r="IQ38" s="33"/>
      <c r="IS38" s="182"/>
    </row>
    <row r="39" spans="1:7" s="33" customFormat="1" ht="17.25" customHeight="1">
      <c r="A39" s="130"/>
      <c r="B39" s="168"/>
      <c r="C39" s="168"/>
      <c r="D39" s="282"/>
      <c r="E39" s="282"/>
      <c r="F39" s="282"/>
      <c r="G39" s="282"/>
    </row>
    <row r="40" spans="1:7" s="3" customFormat="1" ht="17.25" customHeight="1">
      <c r="A40" s="130"/>
      <c r="D40" s="282"/>
      <c r="E40" s="282"/>
      <c r="F40" s="282"/>
      <c r="G40" s="282"/>
    </row>
    <row r="41" spans="1:7" s="3" customFormat="1" ht="17.25" customHeight="1">
      <c r="A41" s="311"/>
      <c r="B41" s="311"/>
      <c r="C41" s="311"/>
      <c r="D41" s="282"/>
      <c r="E41" s="282"/>
      <c r="F41" s="282"/>
      <c r="G41" s="282"/>
    </row>
    <row r="45" ht="17.25" customHeight="1">
      <c r="A45" s="3" t="s">
        <v>684</v>
      </c>
    </row>
    <row r="46" ht="17.25" customHeight="1">
      <c r="A46" s="3" t="s">
        <v>562</v>
      </c>
    </row>
  </sheetData>
  <mergeCells count="3">
    <mergeCell ref="A2:E2"/>
    <mergeCell ref="A4:E4"/>
    <mergeCell ref="A5:E5"/>
  </mergeCells>
  <printOptions/>
  <pageMargins left="0.75" right="0.75" top="1" bottom="0.65" header="0.5" footer="0.5"/>
  <pageSetup firstPageNumber="41" useFirstPageNumber="1" horizontalDpi="600" verticalDpi="600" orientation="portrait" paperSize="9" r:id="rId1"/>
  <headerFooter alignWithMargins="0">
    <oddFooter>&amp;R&amp;9&amp;P&amp;10
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C96"/>
  <sheetViews>
    <sheetView workbookViewId="0" topLeftCell="F1">
      <selection activeCell="M21" sqref="M21"/>
    </sheetView>
  </sheetViews>
  <sheetFormatPr defaultColWidth="9.140625" defaultRowHeight="12.75"/>
  <cols>
    <col min="1" max="1" width="50.28125" style="3" hidden="1" customWidth="1"/>
    <col min="2" max="2" width="17.7109375" style="4" hidden="1" customWidth="1"/>
    <col min="3" max="3" width="13.57421875" style="3" hidden="1" customWidth="1"/>
    <col min="4" max="4" width="8.7109375" style="3" hidden="1" customWidth="1"/>
    <col min="5" max="5" width="6.140625" style="3" hidden="1" customWidth="1"/>
    <col min="6" max="6" width="55.7109375" style="0" customWidth="1"/>
    <col min="7" max="7" width="10.7109375" style="0" customWidth="1"/>
    <col min="8" max="8" width="7.8515625" style="0" customWidth="1"/>
    <col min="9" max="9" width="9.00390625" style="0" customWidth="1"/>
    <col min="10" max="10" width="9.421875" style="0" customWidth="1"/>
    <col min="212" max="16384" width="9.140625" style="3" customWidth="1"/>
  </cols>
  <sheetData>
    <row r="1" spans="1:10" ht="18.75" customHeight="1">
      <c r="A1" s="2"/>
      <c r="B1" s="2"/>
      <c r="C1" s="2"/>
      <c r="D1" s="2"/>
      <c r="E1" s="2"/>
      <c r="F1" s="3"/>
      <c r="G1" s="4"/>
      <c r="H1" s="3"/>
      <c r="I1" s="3"/>
      <c r="J1" s="3" t="s">
        <v>186</v>
      </c>
    </row>
    <row r="2" spans="1:10" ht="18.75" customHeight="1">
      <c r="A2" s="2"/>
      <c r="B2" s="2"/>
      <c r="C2" s="2"/>
      <c r="D2" s="2"/>
      <c r="E2" s="2"/>
      <c r="F2" s="5" t="s">
        <v>187</v>
      </c>
      <c r="G2" s="6"/>
      <c r="H2" s="5"/>
      <c r="I2" s="5"/>
      <c r="J2" s="5"/>
    </row>
    <row r="3" spans="1:10" ht="14.25" customHeight="1">
      <c r="A3" s="2"/>
      <c r="B3" s="2"/>
      <c r="C3" s="2"/>
      <c r="D3" s="2"/>
      <c r="E3" s="2"/>
      <c r="F3" s="3"/>
      <c r="G3" s="4"/>
      <c r="H3" s="3"/>
      <c r="I3" s="3"/>
      <c r="J3" s="3"/>
    </row>
    <row r="4" spans="1:10" ht="18.75" customHeight="1">
      <c r="A4" s="2"/>
      <c r="B4" s="2"/>
      <c r="C4" s="2"/>
      <c r="D4" s="2"/>
      <c r="E4" s="2"/>
      <c r="F4" s="616" t="s">
        <v>188</v>
      </c>
      <c r="G4" s="616"/>
      <c r="H4" s="616"/>
      <c r="I4" s="616"/>
      <c r="J4" s="616"/>
    </row>
    <row r="5" spans="1:10" ht="18.75" customHeight="1">
      <c r="A5" s="2"/>
      <c r="B5" s="2"/>
      <c r="C5" s="2"/>
      <c r="D5" s="2"/>
      <c r="E5" s="2"/>
      <c r="F5" s="617" t="s">
        <v>189</v>
      </c>
      <c r="G5" s="617"/>
      <c r="H5" s="617"/>
      <c r="I5" s="617"/>
      <c r="J5" s="617"/>
    </row>
    <row r="6" spans="1:10" ht="14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>
      <c r="A7" s="7"/>
      <c r="B7" s="6"/>
      <c r="C7" s="5"/>
      <c r="D7" s="8"/>
      <c r="E7" s="8"/>
      <c r="F7" s="7"/>
      <c r="G7" s="6"/>
      <c r="H7" s="5"/>
      <c r="I7" s="8"/>
      <c r="J7" s="9" t="s">
        <v>190</v>
      </c>
    </row>
    <row r="8" spans="1:10" ht="45">
      <c r="A8" s="10" t="s">
        <v>191</v>
      </c>
      <c r="B8" s="11" t="s">
        <v>192</v>
      </c>
      <c r="C8" s="10" t="s">
        <v>193</v>
      </c>
      <c r="D8" s="10" t="s">
        <v>194</v>
      </c>
      <c r="E8" s="10" t="s">
        <v>195</v>
      </c>
      <c r="F8" s="10" t="s">
        <v>191</v>
      </c>
      <c r="G8" s="11" t="s">
        <v>192</v>
      </c>
      <c r="H8" s="10" t="s">
        <v>193</v>
      </c>
      <c r="I8" s="10" t="s">
        <v>194</v>
      </c>
      <c r="J8" s="10" t="s">
        <v>195</v>
      </c>
    </row>
    <row r="9" spans="1:10" ht="12.75">
      <c r="A9" s="10">
        <v>1</v>
      </c>
      <c r="B9" s="11">
        <v>2</v>
      </c>
      <c r="C9" s="10">
        <v>3</v>
      </c>
      <c r="D9" s="10">
        <v>4</v>
      </c>
      <c r="E9" s="10">
        <v>5</v>
      </c>
      <c r="F9" s="10">
        <v>1</v>
      </c>
      <c r="G9" s="11">
        <v>2</v>
      </c>
      <c r="H9" s="10">
        <v>3</v>
      </c>
      <c r="I9" s="10">
        <v>4</v>
      </c>
      <c r="J9" s="10">
        <v>5</v>
      </c>
    </row>
    <row r="10" spans="1:10" ht="12.75">
      <c r="A10" s="12" t="s">
        <v>196</v>
      </c>
      <c r="B10" s="13">
        <f>SUM(B24,B33)</f>
        <v>1444470847</v>
      </c>
      <c r="C10" s="13">
        <f>SUM(C24,C33)</f>
        <v>0</v>
      </c>
      <c r="D10" s="14">
        <f>IF(ISERROR(C10/B10)," ",(C10/B10))</f>
        <v>0</v>
      </c>
      <c r="E10" s="13">
        <f>C10</f>
        <v>0</v>
      </c>
      <c r="F10" s="12" t="s">
        <v>196</v>
      </c>
      <c r="G10" s="15">
        <f>SUM(G24,G33)</f>
        <v>1444470</v>
      </c>
      <c r="H10" s="15">
        <f>SUM(H24,H33)</f>
        <v>115043</v>
      </c>
      <c r="I10" s="16">
        <f>IF(ISERROR(H10/G10)," ",(H10/G10))*100</f>
        <v>7.96437447645157</v>
      </c>
      <c r="J10" s="15">
        <f>H10</f>
        <v>115043</v>
      </c>
    </row>
    <row r="11" spans="1:10" ht="12.75" customHeight="1">
      <c r="A11" s="17" t="s">
        <v>197</v>
      </c>
      <c r="B11" s="13">
        <f>SUM(B12,B20,B21,B22)</f>
        <v>784824315</v>
      </c>
      <c r="C11" s="13">
        <f>SUM(C12,C20,C21)</f>
        <v>0</v>
      </c>
      <c r="D11" s="14">
        <f aca="true" t="shared" si="0" ref="D11:D74">IF(ISERROR(C11/B11)," ",(C11/B11))</f>
        <v>0</v>
      </c>
      <c r="E11" s="13">
        <f aca="true" t="shared" si="1" ref="E11:E75">C11</f>
        <v>0</v>
      </c>
      <c r="F11" s="17" t="s">
        <v>197</v>
      </c>
      <c r="G11" s="15">
        <f>SUM(G12,G20,G21,G22)</f>
        <v>784824</v>
      </c>
      <c r="H11" s="15">
        <f>SUM(H12,H20,H21,H22)</f>
        <v>64465</v>
      </c>
      <c r="I11" s="16">
        <f>IF(ISERROR(H11/G11)," ",(H11/G11))*100</f>
        <v>8.213943508353465</v>
      </c>
      <c r="J11" s="15">
        <f aca="true" t="shared" si="2" ref="J11:J78">H11</f>
        <v>64465</v>
      </c>
    </row>
    <row r="12" spans="1:10" ht="12.75">
      <c r="A12" s="18" t="s">
        <v>198</v>
      </c>
      <c r="B12" s="19">
        <f>SUM(B13,B15,B19)</f>
        <v>611912797</v>
      </c>
      <c r="C12" s="19">
        <f>SUM(C13,C15,C19)</f>
        <v>0</v>
      </c>
      <c r="D12" s="20">
        <f t="shared" si="0"/>
        <v>0</v>
      </c>
      <c r="E12" s="13">
        <f t="shared" si="1"/>
        <v>0</v>
      </c>
      <c r="F12" s="18" t="s">
        <v>198</v>
      </c>
      <c r="G12" s="21">
        <f>SUM(G13,G15,G19)</f>
        <v>611913</v>
      </c>
      <c r="H12" s="21">
        <f>SUM(H13,H15,H19)</f>
        <v>50697</v>
      </c>
      <c r="I12" s="22">
        <f>IF(ISERROR(H12/G12)," ",(H12/G12))*100</f>
        <v>8.2850012992043</v>
      </c>
      <c r="J12" s="21">
        <f t="shared" si="2"/>
        <v>50697</v>
      </c>
    </row>
    <row r="13" spans="1:10" ht="12.75">
      <c r="A13" s="23" t="s">
        <v>199</v>
      </c>
      <c r="B13" s="19">
        <f>SUM(B14)</f>
        <v>98046000</v>
      </c>
      <c r="C13" s="19">
        <f>SUM(C14)</f>
        <v>0</v>
      </c>
      <c r="D13" s="20">
        <f t="shared" si="0"/>
        <v>0</v>
      </c>
      <c r="E13" s="13">
        <f t="shared" si="1"/>
        <v>0</v>
      </c>
      <c r="F13" s="23" t="s">
        <v>199</v>
      </c>
      <c r="G13" s="19">
        <f>SUM(G14)</f>
        <v>98046</v>
      </c>
      <c r="H13" s="19">
        <f>SUM(H14)</f>
        <v>6876</v>
      </c>
      <c r="I13" s="22">
        <f>IF(ISERROR(H13/G13)," ",(H13/G13))*100</f>
        <v>7.013034697998899</v>
      </c>
      <c r="J13" s="19">
        <f t="shared" si="2"/>
        <v>6876</v>
      </c>
    </row>
    <row r="14" spans="1:10" ht="12.75">
      <c r="A14" s="24" t="s">
        <v>200</v>
      </c>
      <c r="B14" s="19">
        <v>98046000</v>
      </c>
      <c r="C14" s="19"/>
      <c r="D14" s="20">
        <f t="shared" si="0"/>
        <v>0</v>
      </c>
      <c r="E14" s="13">
        <f t="shared" si="1"/>
        <v>0</v>
      </c>
      <c r="F14" s="24" t="s">
        <v>200</v>
      </c>
      <c r="G14" s="21">
        <f>ROUND(B14/1000,0)</f>
        <v>98046</v>
      </c>
      <c r="H14" s="21">
        <v>6876</v>
      </c>
      <c r="I14" s="22">
        <f>IF(ISERROR(H14/G14)," ",(H14/G14))*100</f>
        <v>7.013034697998899</v>
      </c>
      <c r="J14" s="21">
        <f t="shared" si="2"/>
        <v>6876</v>
      </c>
    </row>
    <row r="15" spans="1:10" ht="12.75">
      <c r="A15" s="23" t="s">
        <v>201</v>
      </c>
      <c r="B15" s="19">
        <f>SUM(B16:B18)</f>
        <v>513866797</v>
      </c>
      <c r="C15" s="19">
        <f>SUM(C16:C18)</f>
        <v>0</v>
      </c>
      <c r="D15" s="20">
        <f t="shared" si="0"/>
        <v>0</v>
      </c>
      <c r="E15" s="13">
        <f t="shared" si="1"/>
        <v>0</v>
      </c>
      <c r="F15" s="23" t="s">
        <v>201</v>
      </c>
      <c r="G15" s="19">
        <f>SUM(G16:G18)</f>
        <v>513867</v>
      </c>
      <c r="H15" s="19">
        <f>SUM(H16:H18)</f>
        <v>40876</v>
      </c>
      <c r="I15" s="22">
        <f aca="true" t="shared" si="3" ref="I15:I78">IF(ISERROR(H15/G15)," ",(H15/G15))*100</f>
        <v>7.954587471077145</v>
      </c>
      <c r="J15" s="19">
        <f t="shared" si="2"/>
        <v>40876</v>
      </c>
    </row>
    <row r="16" spans="1:10" ht="12.75" customHeight="1">
      <c r="A16" s="25" t="s">
        <v>202</v>
      </c>
      <c r="B16" s="19">
        <v>368947657</v>
      </c>
      <c r="C16" s="19"/>
      <c r="D16" s="20">
        <f t="shared" si="0"/>
        <v>0</v>
      </c>
      <c r="E16" s="13">
        <f t="shared" si="1"/>
        <v>0</v>
      </c>
      <c r="F16" s="25" t="s">
        <v>202</v>
      </c>
      <c r="G16" s="21">
        <f aca="true" t="shared" si="4" ref="G16:G23">ROUND(B16/1000,0)</f>
        <v>368948</v>
      </c>
      <c r="H16" s="21">
        <v>29888</v>
      </c>
      <c r="I16" s="22">
        <f t="shared" si="3"/>
        <v>8.100870583388446</v>
      </c>
      <c r="J16" s="21">
        <f t="shared" si="2"/>
        <v>29888</v>
      </c>
    </row>
    <row r="17" spans="1:10" ht="12.75">
      <c r="A17" s="24" t="s">
        <v>203</v>
      </c>
      <c r="B17" s="19">
        <v>132976140</v>
      </c>
      <c r="C17" s="19"/>
      <c r="D17" s="20">
        <f t="shared" si="0"/>
        <v>0</v>
      </c>
      <c r="E17" s="13">
        <f t="shared" si="1"/>
        <v>0</v>
      </c>
      <c r="F17" s="24" t="s">
        <v>203</v>
      </c>
      <c r="G17" s="21">
        <f t="shared" si="4"/>
        <v>132976</v>
      </c>
      <c r="H17" s="21">
        <v>9957</v>
      </c>
      <c r="I17" s="22">
        <f t="shared" si="3"/>
        <v>7.487817350499339</v>
      </c>
      <c r="J17" s="21">
        <f t="shared" si="2"/>
        <v>9957</v>
      </c>
    </row>
    <row r="18" spans="1:10" ht="12.75">
      <c r="A18" s="24" t="s">
        <v>204</v>
      </c>
      <c r="B18" s="19">
        <v>11943000</v>
      </c>
      <c r="C18" s="19"/>
      <c r="D18" s="20">
        <f t="shared" si="0"/>
        <v>0</v>
      </c>
      <c r="E18" s="13">
        <f t="shared" si="1"/>
        <v>0</v>
      </c>
      <c r="F18" s="24" t="s">
        <v>204</v>
      </c>
      <c r="G18" s="21">
        <f t="shared" si="4"/>
        <v>11943</v>
      </c>
      <c r="H18" s="21">
        <v>1031</v>
      </c>
      <c r="I18" s="22">
        <f t="shared" si="3"/>
        <v>8.632671857992129</v>
      </c>
      <c r="J18" s="21">
        <f t="shared" si="2"/>
        <v>1031</v>
      </c>
    </row>
    <row r="19" spans="1:10" ht="12.75">
      <c r="A19" s="23" t="s">
        <v>205</v>
      </c>
      <c r="B19" s="19"/>
      <c r="C19" s="19"/>
      <c r="D19" s="20" t="str">
        <f t="shared" si="0"/>
        <v> </v>
      </c>
      <c r="E19" s="13">
        <f t="shared" si="1"/>
        <v>0</v>
      </c>
      <c r="F19" s="23" t="s">
        <v>205</v>
      </c>
      <c r="G19" s="26" t="s">
        <v>206</v>
      </c>
      <c r="H19" s="19">
        <v>2945</v>
      </c>
      <c r="I19" s="22"/>
      <c r="J19" s="19">
        <f t="shared" si="2"/>
        <v>2945</v>
      </c>
    </row>
    <row r="20" spans="1:10" ht="12.75">
      <c r="A20" s="18" t="s">
        <v>207</v>
      </c>
      <c r="B20" s="19">
        <v>66652153</v>
      </c>
      <c r="C20" s="19"/>
      <c r="D20" s="20">
        <f t="shared" si="0"/>
        <v>0</v>
      </c>
      <c r="E20" s="13">
        <f t="shared" si="1"/>
        <v>0</v>
      </c>
      <c r="F20" s="18" t="s">
        <v>207</v>
      </c>
      <c r="G20" s="21">
        <f t="shared" si="4"/>
        <v>66652</v>
      </c>
      <c r="H20" s="21">
        <v>6218</v>
      </c>
      <c r="I20" s="22">
        <f t="shared" si="3"/>
        <v>9.329052391526135</v>
      </c>
      <c r="J20" s="21">
        <f t="shared" si="2"/>
        <v>6218</v>
      </c>
    </row>
    <row r="21" spans="1:10" ht="12.75" customHeight="1">
      <c r="A21" s="27" t="s">
        <v>208</v>
      </c>
      <c r="B21" s="19">
        <v>60659270</v>
      </c>
      <c r="C21" s="19"/>
      <c r="D21" s="20">
        <f t="shared" si="0"/>
        <v>0</v>
      </c>
      <c r="E21" s="13">
        <f t="shared" si="1"/>
        <v>0</v>
      </c>
      <c r="F21" s="27" t="s">
        <v>208</v>
      </c>
      <c r="G21" s="21">
        <f t="shared" si="4"/>
        <v>60659</v>
      </c>
      <c r="H21" s="21">
        <v>5202</v>
      </c>
      <c r="I21" s="22">
        <f t="shared" si="3"/>
        <v>8.575809030811586</v>
      </c>
      <c r="J21" s="21">
        <f t="shared" si="2"/>
        <v>5202</v>
      </c>
    </row>
    <row r="22" spans="1:10" ht="12" customHeight="1">
      <c r="A22" s="27" t="s">
        <v>209</v>
      </c>
      <c r="B22" s="19">
        <v>45600095</v>
      </c>
      <c r="C22" s="19"/>
      <c r="D22" s="20"/>
      <c r="E22" s="13"/>
      <c r="F22" s="27" t="s">
        <v>210</v>
      </c>
      <c r="G22" s="21">
        <f t="shared" si="4"/>
        <v>45600</v>
      </c>
      <c r="H22" s="21">
        <v>2348</v>
      </c>
      <c r="I22" s="22">
        <f t="shared" si="3"/>
        <v>5.1491228070175445</v>
      </c>
      <c r="J22" s="21">
        <f t="shared" si="2"/>
        <v>2348</v>
      </c>
    </row>
    <row r="23" spans="1:10" ht="12.75" customHeight="1">
      <c r="A23" s="28" t="s">
        <v>211</v>
      </c>
      <c r="B23" s="19">
        <v>1201200</v>
      </c>
      <c r="C23" s="19"/>
      <c r="D23" s="20">
        <f t="shared" si="0"/>
        <v>0</v>
      </c>
      <c r="E23" s="13">
        <f t="shared" si="1"/>
        <v>0</v>
      </c>
      <c r="F23" s="28" t="s">
        <v>211</v>
      </c>
      <c r="G23" s="29">
        <f t="shared" si="4"/>
        <v>1201</v>
      </c>
      <c r="H23" s="30">
        <v>100</v>
      </c>
      <c r="I23" s="31">
        <f t="shared" si="3"/>
        <v>8.32639467110741</v>
      </c>
      <c r="J23" s="29">
        <f t="shared" si="2"/>
        <v>100</v>
      </c>
    </row>
    <row r="24" spans="1:10" ht="12.75" customHeight="1">
      <c r="A24" s="17" t="s">
        <v>212</v>
      </c>
      <c r="B24" s="13">
        <f>SUM(B11-B23)</f>
        <v>783623115</v>
      </c>
      <c r="C24" s="13">
        <f>SUM(C11-C23)</f>
        <v>0</v>
      </c>
      <c r="D24" s="14">
        <f t="shared" si="0"/>
        <v>0</v>
      </c>
      <c r="E24" s="13">
        <f t="shared" si="1"/>
        <v>0</v>
      </c>
      <c r="F24" s="17" t="s">
        <v>212</v>
      </c>
      <c r="G24" s="15">
        <f>SUM(G11-G23)</f>
        <v>783623</v>
      </c>
      <c r="H24" s="15">
        <f>SUM(H11-H23)</f>
        <v>64365</v>
      </c>
      <c r="I24" s="16">
        <f t="shared" si="3"/>
        <v>8.213771162918903</v>
      </c>
      <c r="J24" s="15">
        <f t="shared" si="2"/>
        <v>64365</v>
      </c>
    </row>
    <row r="25" spans="1:10" ht="12.75">
      <c r="A25" s="32" t="s">
        <v>213</v>
      </c>
      <c r="B25" s="13">
        <f>SUM(B26)</f>
        <v>724591784</v>
      </c>
      <c r="C25" s="13">
        <f>SUM(C26)</f>
        <v>0</v>
      </c>
      <c r="D25" s="14">
        <f t="shared" si="0"/>
        <v>0</v>
      </c>
      <c r="E25" s="13">
        <f t="shared" si="1"/>
        <v>0</v>
      </c>
      <c r="F25" s="32" t="s">
        <v>213</v>
      </c>
      <c r="G25" s="15">
        <f>SUM(G26)</f>
        <v>724591</v>
      </c>
      <c r="H25" s="15">
        <f>SUM(H26)</f>
        <v>55863</v>
      </c>
      <c r="I25" s="16">
        <f t="shared" si="3"/>
        <v>7.709590651829791</v>
      </c>
      <c r="J25" s="15">
        <f t="shared" si="2"/>
        <v>55863</v>
      </c>
    </row>
    <row r="26" spans="1:10" ht="12.75">
      <c r="A26" s="18" t="s">
        <v>214</v>
      </c>
      <c r="B26" s="19">
        <f>SUM(B27:B31)</f>
        <v>724591784</v>
      </c>
      <c r="C26" s="19">
        <f>SUM(C27:C31)</f>
        <v>0</v>
      </c>
      <c r="D26" s="20">
        <f t="shared" si="0"/>
        <v>0</v>
      </c>
      <c r="E26" s="13">
        <f t="shared" si="1"/>
        <v>0</v>
      </c>
      <c r="F26" s="18" t="s">
        <v>214</v>
      </c>
      <c r="G26" s="21">
        <f>SUM(G27:G31)</f>
        <v>724591</v>
      </c>
      <c r="H26" s="21">
        <f>SUM(H27:H31)</f>
        <v>55863</v>
      </c>
      <c r="I26" s="22">
        <f t="shared" si="3"/>
        <v>7.709590651829791</v>
      </c>
      <c r="J26" s="21">
        <f t="shared" si="2"/>
        <v>55863</v>
      </c>
    </row>
    <row r="27" spans="1:211" s="33" customFormat="1" ht="12.75">
      <c r="A27" s="24" t="s">
        <v>215</v>
      </c>
      <c r="B27" s="19">
        <v>495585390</v>
      </c>
      <c r="C27" s="19"/>
      <c r="D27" s="20">
        <f t="shared" si="0"/>
        <v>0</v>
      </c>
      <c r="E27" s="13">
        <f t="shared" si="1"/>
        <v>0</v>
      </c>
      <c r="F27" s="24" t="s">
        <v>215</v>
      </c>
      <c r="G27" s="21">
        <f aca="true" t="shared" si="5" ref="G27:G32">ROUND(B27/1000,0)</f>
        <v>495585</v>
      </c>
      <c r="H27" s="21">
        <v>38146</v>
      </c>
      <c r="I27" s="22">
        <f t="shared" si="3"/>
        <v>7.697165975564232</v>
      </c>
      <c r="J27" s="21">
        <f t="shared" si="2"/>
        <v>38146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33" customFormat="1" ht="12.75">
      <c r="A28" s="24" t="s">
        <v>216</v>
      </c>
      <c r="B28" s="19">
        <v>51689860</v>
      </c>
      <c r="C28" s="19"/>
      <c r="D28" s="20">
        <f t="shared" si="0"/>
        <v>0</v>
      </c>
      <c r="E28" s="13">
        <f t="shared" si="1"/>
        <v>0</v>
      </c>
      <c r="F28" s="24" t="s">
        <v>216</v>
      </c>
      <c r="G28" s="21">
        <f t="shared" si="5"/>
        <v>51690</v>
      </c>
      <c r="H28" s="21">
        <f>3472+35+113+57</f>
        <v>3677</v>
      </c>
      <c r="I28" s="22">
        <f t="shared" si="3"/>
        <v>7.113561617334108</v>
      </c>
      <c r="J28" s="21">
        <f t="shared" si="2"/>
        <v>3677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211" s="33" customFormat="1" ht="12.75">
      <c r="A29" s="24" t="s">
        <v>217</v>
      </c>
      <c r="B29" s="19">
        <v>80619197</v>
      </c>
      <c r="C29" s="19"/>
      <c r="D29" s="20">
        <f t="shared" si="0"/>
        <v>0</v>
      </c>
      <c r="E29" s="13">
        <f t="shared" si="1"/>
        <v>0</v>
      </c>
      <c r="F29" s="24" t="s">
        <v>217</v>
      </c>
      <c r="G29" s="21">
        <f t="shared" si="5"/>
        <v>80619</v>
      </c>
      <c r="H29" s="21">
        <v>5829</v>
      </c>
      <c r="I29" s="22">
        <f t="shared" si="3"/>
        <v>7.2303055111078045</v>
      </c>
      <c r="J29" s="21">
        <f t="shared" si="2"/>
        <v>5829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</row>
    <row r="30" spans="1:211" s="33" customFormat="1" ht="12.75">
      <c r="A30" s="24" t="s">
        <v>218</v>
      </c>
      <c r="B30" s="19">
        <v>1678188</v>
      </c>
      <c r="C30" s="19"/>
      <c r="D30" s="20">
        <f t="shared" si="0"/>
        <v>0</v>
      </c>
      <c r="E30" s="13">
        <f t="shared" si="1"/>
        <v>0</v>
      </c>
      <c r="F30" s="24" t="s">
        <v>219</v>
      </c>
      <c r="G30" s="21">
        <f t="shared" si="5"/>
        <v>1678</v>
      </c>
      <c r="H30" s="21">
        <f>490</f>
        <v>490</v>
      </c>
      <c r="I30" s="22">
        <f t="shared" si="3"/>
        <v>29.201430274135877</v>
      </c>
      <c r="J30" s="21">
        <f t="shared" si="2"/>
        <v>490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</row>
    <row r="31" spans="1:211" s="33" customFormat="1" ht="12.75">
      <c r="A31" s="24" t="s">
        <v>220</v>
      </c>
      <c r="B31" s="19">
        <v>95019149</v>
      </c>
      <c r="C31" s="19"/>
      <c r="D31" s="20">
        <f t="shared" si="0"/>
        <v>0</v>
      </c>
      <c r="E31" s="13">
        <f t="shared" si="1"/>
        <v>0</v>
      </c>
      <c r="F31" s="24" t="s">
        <v>220</v>
      </c>
      <c r="G31" s="21">
        <f t="shared" si="5"/>
        <v>95019</v>
      </c>
      <c r="H31" s="21">
        <f>122+7599</f>
        <v>7721</v>
      </c>
      <c r="I31" s="22">
        <f t="shared" si="3"/>
        <v>8.125743272398152</v>
      </c>
      <c r="J31" s="21">
        <f t="shared" si="2"/>
        <v>7721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</row>
    <row r="32" spans="1:211" s="33" customFormat="1" ht="12.75">
      <c r="A32" s="34" t="s">
        <v>221</v>
      </c>
      <c r="B32" s="19">
        <v>63744052</v>
      </c>
      <c r="C32" s="19"/>
      <c r="D32" s="20">
        <f t="shared" si="0"/>
        <v>0</v>
      </c>
      <c r="E32" s="13">
        <f t="shared" si="1"/>
        <v>0</v>
      </c>
      <c r="F32" s="34" t="s">
        <v>221</v>
      </c>
      <c r="G32" s="29">
        <f t="shared" si="5"/>
        <v>63744</v>
      </c>
      <c r="H32" s="19">
        <f>200+286+4244+414+41</f>
        <v>5185</v>
      </c>
      <c r="I32" s="31">
        <f t="shared" si="3"/>
        <v>8.13409889558233</v>
      </c>
      <c r="J32" s="29">
        <f t="shared" si="2"/>
        <v>5185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</row>
    <row r="33" spans="1:10" ht="12.75" customHeight="1">
      <c r="A33" s="17" t="s">
        <v>222</v>
      </c>
      <c r="B33" s="13">
        <f>SUM(B25-B32)</f>
        <v>660847732</v>
      </c>
      <c r="C33" s="13">
        <f>SUM(C25-C32)</f>
        <v>0</v>
      </c>
      <c r="D33" s="14">
        <f t="shared" si="0"/>
        <v>0</v>
      </c>
      <c r="E33" s="13">
        <f t="shared" si="1"/>
        <v>0</v>
      </c>
      <c r="F33" s="17" t="s">
        <v>222</v>
      </c>
      <c r="G33" s="15">
        <f>SUM(G25-G32)</f>
        <v>660847</v>
      </c>
      <c r="H33" s="15">
        <f>SUM(H25-H32)</f>
        <v>50678</v>
      </c>
      <c r="I33" s="16">
        <f t="shared" si="3"/>
        <v>7.668643422758975</v>
      </c>
      <c r="J33" s="15">
        <f t="shared" si="2"/>
        <v>50678</v>
      </c>
    </row>
    <row r="34" spans="1:10" ht="25.5">
      <c r="A34" s="35" t="s">
        <v>223</v>
      </c>
      <c r="B34" s="13">
        <f>SUM(B35:B37)</f>
        <v>1511279203</v>
      </c>
      <c r="C34" s="13">
        <f>SUM(C35:C37)</f>
        <v>0</v>
      </c>
      <c r="D34" s="14">
        <f t="shared" si="0"/>
        <v>0</v>
      </c>
      <c r="E34" s="13">
        <f t="shared" si="1"/>
        <v>0</v>
      </c>
      <c r="F34" s="35" t="s">
        <v>223</v>
      </c>
      <c r="G34" s="15">
        <f>SUM(G35:G37)</f>
        <v>1511278</v>
      </c>
      <c r="H34" s="15">
        <f>SUM(H35:H37)</f>
        <v>110927</v>
      </c>
      <c r="I34" s="16">
        <f t="shared" si="3"/>
        <v>7.339946720590124</v>
      </c>
      <c r="J34" s="15">
        <f t="shared" si="2"/>
        <v>110927</v>
      </c>
    </row>
    <row r="35" spans="1:10" ht="25.5">
      <c r="A35" s="35" t="s">
        <v>224</v>
      </c>
      <c r="B35" s="13">
        <f>SUM(B52+B69)</f>
        <v>1403699917</v>
      </c>
      <c r="C35" s="13">
        <f>SUM(C52+C69)</f>
        <v>0</v>
      </c>
      <c r="D35" s="14">
        <f t="shared" si="0"/>
        <v>0</v>
      </c>
      <c r="E35" s="13">
        <f t="shared" si="1"/>
        <v>0</v>
      </c>
      <c r="F35" s="35" t="s">
        <v>224</v>
      </c>
      <c r="G35" s="15">
        <f>SUM(G52+G69)</f>
        <v>1403699</v>
      </c>
      <c r="H35" s="15">
        <f>SUM(H52+H69)</f>
        <v>105327</v>
      </c>
      <c r="I35" s="16">
        <f t="shared" si="3"/>
        <v>7.503531740066781</v>
      </c>
      <c r="J35" s="15">
        <f t="shared" si="2"/>
        <v>105327</v>
      </c>
    </row>
    <row r="36" spans="1:10" ht="25.5">
      <c r="A36" s="35" t="s">
        <v>225</v>
      </c>
      <c r="B36" s="13">
        <f>SUM(B54+B71)</f>
        <v>34045269</v>
      </c>
      <c r="C36" s="13">
        <f>SUM(C54+C71)</f>
        <v>0</v>
      </c>
      <c r="D36" s="14">
        <f t="shared" si="0"/>
        <v>0</v>
      </c>
      <c r="E36" s="13">
        <f t="shared" si="1"/>
        <v>0</v>
      </c>
      <c r="F36" s="35" t="s">
        <v>225</v>
      </c>
      <c r="G36" s="15">
        <f>SUM(G54+G71)</f>
        <v>34045</v>
      </c>
      <c r="H36" s="15">
        <f>SUM(H54+H71)</f>
        <v>3675</v>
      </c>
      <c r="I36" s="16">
        <f t="shared" si="3"/>
        <v>10.794536642678807</v>
      </c>
      <c r="J36" s="15">
        <f t="shared" si="2"/>
        <v>3675</v>
      </c>
    </row>
    <row r="37" spans="1:10" ht="25.5">
      <c r="A37" s="35" t="s">
        <v>226</v>
      </c>
      <c r="B37" s="13">
        <f>SUM(B57+B73)</f>
        <v>73534017</v>
      </c>
      <c r="C37" s="13">
        <f>SUM(C57+C73)</f>
        <v>0</v>
      </c>
      <c r="D37" s="14">
        <f t="shared" si="0"/>
        <v>0</v>
      </c>
      <c r="E37" s="13">
        <f t="shared" si="1"/>
        <v>0</v>
      </c>
      <c r="F37" s="35" t="s">
        <v>226</v>
      </c>
      <c r="G37" s="15">
        <f>SUM(G57+G73)</f>
        <v>73534</v>
      </c>
      <c r="H37" s="15">
        <f>SUM(H57+H73)</f>
        <v>1925</v>
      </c>
      <c r="I37" s="16">
        <f t="shared" si="3"/>
        <v>2.6178366469932275</v>
      </c>
      <c r="J37" s="15">
        <f t="shared" si="2"/>
        <v>1925</v>
      </c>
    </row>
    <row r="38" spans="1:10" ht="25.5">
      <c r="A38" s="35" t="s">
        <v>227</v>
      </c>
      <c r="B38" s="13">
        <f>SUM(B10-B34)</f>
        <v>-66808356</v>
      </c>
      <c r="C38" s="13">
        <f>SUM(C10-C34)</f>
        <v>0</v>
      </c>
      <c r="D38" s="14">
        <f t="shared" si="0"/>
        <v>0</v>
      </c>
      <c r="E38" s="13">
        <f t="shared" si="1"/>
        <v>0</v>
      </c>
      <c r="F38" s="35" t="s">
        <v>227</v>
      </c>
      <c r="G38" s="15">
        <f>SUM(G10-G34)</f>
        <v>-66808</v>
      </c>
      <c r="H38" s="15">
        <f>SUM(H10-H34)</f>
        <v>4116</v>
      </c>
      <c r="I38" s="16">
        <f t="shared" si="3"/>
        <v>-6.160938809723386</v>
      </c>
      <c r="J38" s="15">
        <f t="shared" si="2"/>
        <v>4116</v>
      </c>
    </row>
    <row r="39" spans="1:10" ht="25.5">
      <c r="A39" s="35" t="s">
        <v>228</v>
      </c>
      <c r="B39" s="13">
        <f>SUM(B59+B75)</f>
        <v>12372983</v>
      </c>
      <c r="C39" s="13">
        <f>SUM(C59+C75)</f>
        <v>0</v>
      </c>
      <c r="D39" s="14">
        <f t="shared" si="0"/>
        <v>0</v>
      </c>
      <c r="E39" s="13">
        <f t="shared" si="1"/>
        <v>0</v>
      </c>
      <c r="F39" s="35" t="s">
        <v>228</v>
      </c>
      <c r="G39" s="15">
        <f>SUM(G59+G75)</f>
        <v>12373</v>
      </c>
      <c r="H39" s="15">
        <f>SUM(H59+H75)</f>
        <v>225</v>
      </c>
      <c r="I39" s="16">
        <f t="shared" si="3"/>
        <v>1.8184757132465854</v>
      </c>
      <c r="J39" s="15">
        <f t="shared" si="2"/>
        <v>225</v>
      </c>
    </row>
    <row r="40" spans="1:10" ht="25.5">
      <c r="A40" s="35" t="s">
        <v>229</v>
      </c>
      <c r="B40" s="13">
        <f>SUM(B34+B39)</f>
        <v>1523652186</v>
      </c>
      <c r="C40" s="13">
        <f>SUM(C34+C39)</f>
        <v>0</v>
      </c>
      <c r="D40" s="14">
        <f t="shared" si="0"/>
        <v>0</v>
      </c>
      <c r="E40" s="13">
        <f t="shared" si="1"/>
        <v>0</v>
      </c>
      <c r="F40" s="35" t="s">
        <v>229</v>
      </c>
      <c r="G40" s="15">
        <f>SUM(G34+G39)</f>
        <v>1523651</v>
      </c>
      <c r="H40" s="15">
        <f>SUM(H34+H39)</f>
        <v>111152</v>
      </c>
      <c r="I40" s="16">
        <f t="shared" si="3"/>
        <v>7.295108919299762</v>
      </c>
      <c r="J40" s="15">
        <f t="shared" si="2"/>
        <v>111152</v>
      </c>
    </row>
    <row r="41" spans="1:10" ht="25.5">
      <c r="A41" s="35" t="s">
        <v>230</v>
      </c>
      <c r="B41" s="13">
        <f>IF((B38-B39=B10-B40)=TRUE,B38-B39,9)</f>
        <v>-79181339</v>
      </c>
      <c r="C41" s="15">
        <f>C38-C39</f>
        <v>0</v>
      </c>
      <c r="D41" s="14">
        <f t="shared" si="0"/>
        <v>0</v>
      </c>
      <c r="E41" s="13">
        <f t="shared" si="1"/>
        <v>0</v>
      </c>
      <c r="F41" s="35" t="s">
        <v>230</v>
      </c>
      <c r="G41" s="15">
        <f>IF((G38-G39=G10-G40)=TRUE,G38-G39,9)</f>
        <v>-79181</v>
      </c>
      <c r="H41" s="15">
        <f>IF((H38-H39=H10-H40)=TRUE,H38-H39,9)</f>
        <v>3891</v>
      </c>
      <c r="I41" s="15">
        <f t="shared" si="3"/>
        <v>-4.914057665349011</v>
      </c>
      <c r="J41" s="15">
        <f t="shared" si="2"/>
        <v>3891</v>
      </c>
    </row>
    <row r="42" spans="1:10" ht="12.75">
      <c r="A42" s="35"/>
      <c r="B42" s="13"/>
      <c r="C42" s="15"/>
      <c r="D42" s="14"/>
      <c r="E42" s="13"/>
      <c r="F42" s="36" t="s">
        <v>231</v>
      </c>
      <c r="G42" s="15"/>
      <c r="H42" s="15"/>
      <c r="I42" s="15"/>
      <c r="J42" s="15">
        <f t="shared" si="2"/>
        <v>0</v>
      </c>
    </row>
    <row r="43" spans="1:10" ht="12.75">
      <c r="A43" s="35"/>
      <c r="B43" s="13"/>
      <c r="C43" s="15"/>
      <c r="D43" s="14"/>
      <c r="E43" s="13"/>
      <c r="F43" s="36" t="s">
        <v>232</v>
      </c>
      <c r="G43" s="37">
        <v>15000</v>
      </c>
      <c r="H43" s="37">
        <v>3240</v>
      </c>
      <c r="I43" s="37">
        <f t="shared" si="3"/>
        <v>21.6</v>
      </c>
      <c r="J43" s="37">
        <f t="shared" si="2"/>
        <v>3240</v>
      </c>
    </row>
    <row r="44" spans="1:10" ht="12.75">
      <c r="A44" s="35"/>
      <c r="B44" s="13"/>
      <c r="C44" s="15"/>
      <c r="D44" s="14"/>
      <c r="E44" s="13"/>
      <c r="F44" s="36" t="s">
        <v>233</v>
      </c>
      <c r="G44" s="37">
        <v>300</v>
      </c>
      <c r="H44" s="37">
        <v>215</v>
      </c>
      <c r="I44" s="37">
        <f t="shared" si="3"/>
        <v>71.66666666666667</v>
      </c>
      <c r="J44" s="37">
        <f t="shared" si="2"/>
        <v>215</v>
      </c>
    </row>
    <row r="45" spans="1:10" ht="12.75">
      <c r="A45" s="35"/>
      <c r="B45" s="13"/>
      <c r="C45" s="15"/>
      <c r="D45" s="14"/>
      <c r="E45" s="13"/>
      <c r="F45" s="36" t="s">
        <v>234</v>
      </c>
      <c r="G45" s="37">
        <v>63881</v>
      </c>
      <c r="H45" s="37">
        <v>62487</v>
      </c>
      <c r="I45" s="37">
        <f t="shared" si="3"/>
        <v>97.8178175044223</v>
      </c>
      <c r="J45" s="37">
        <f t="shared" si="2"/>
        <v>62487</v>
      </c>
    </row>
    <row r="46" spans="1:10" ht="12.75">
      <c r="A46" s="35"/>
      <c r="B46" s="13"/>
      <c r="C46" s="15"/>
      <c r="D46" s="14"/>
      <c r="E46" s="13"/>
      <c r="F46" s="36" t="s">
        <v>235</v>
      </c>
      <c r="G46" s="38" t="s">
        <v>206</v>
      </c>
      <c r="H46" s="37">
        <v>-69833</v>
      </c>
      <c r="I46" s="37"/>
      <c r="J46" s="37">
        <f t="shared" si="2"/>
        <v>-69833</v>
      </c>
    </row>
    <row r="47" spans="1:10" ht="12.75">
      <c r="A47" s="17" t="s">
        <v>236</v>
      </c>
      <c r="B47" s="13">
        <f>B50+B53+B55</f>
        <v>812004772</v>
      </c>
      <c r="C47" s="13">
        <f>C50+C53+C55</f>
        <v>0</v>
      </c>
      <c r="D47" s="14">
        <f t="shared" si="0"/>
        <v>0</v>
      </c>
      <c r="E47" s="13">
        <f t="shared" si="1"/>
        <v>0</v>
      </c>
      <c r="F47" s="17" t="s">
        <v>236</v>
      </c>
      <c r="G47" s="15">
        <f>G50+G53+G55</f>
        <v>812004</v>
      </c>
      <c r="H47" s="15">
        <f>H50+H53+H55</f>
        <v>55533</v>
      </c>
      <c r="I47" s="16">
        <f t="shared" si="3"/>
        <v>6.83900571918365</v>
      </c>
      <c r="J47" s="15">
        <f t="shared" si="2"/>
        <v>55533</v>
      </c>
    </row>
    <row r="48" spans="1:10" ht="12.75">
      <c r="A48" s="39" t="s">
        <v>237</v>
      </c>
      <c r="B48" s="19">
        <f>B51+B56</f>
        <v>63744052</v>
      </c>
      <c r="C48" s="19">
        <f>C51+C56</f>
        <v>0</v>
      </c>
      <c r="D48" s="20">
        <f t="shared" si="0"/>
        <v>0</v>
      </c>
      <c r="E48" s="13">
        <f t="shared" si="1"/>
        <v>0</v>
      </c>
      <c r="F48" s="39" t="s">
        <v>237</v>
      </c>
      <c r="G48" s="29">
        <f>G51+G56</f>
        <v>63744</v>
      </c>
      <c r="H48" s="29">
        <f>H51+H56</f>
        <v>5185</v>
      </c>
      <c r="I48" s="31">
        <f t="shared" si="3"/>
        <v>8.13409889558233</v>
      </c>
      <c r="J48" s="29">
        <f t="shared" si="2"/>
        <v>5185</v>
      </c>
    </row>
    <row r="49" spans="1:10" ht="12.75">
      <c r="A49" s="17" t="s">
        <v>238</v>
      </c>
      <c r="B49" s="13">
        <f>SUM(B47-B48)</f>
        <v>748260720</v>
      </c>
      <c r="C49" s="13">
        <f>SUM(C47-C48)</f>
        <v>0</v>
      </c>
      <c r="D49" s="14">
        <f t="shared" si="0"/>
        <v>0</v>
      </c>
      <c r="E49" s="13">
        <f t="shared" si="1"/>
        <v>0</v>
      </c>
      <c r="F49" s="17" t="s">
        <v>238</v>
      </c>
      <c r="G49" s="15">
        <f>SUM(G47-G48)</f>
        <v>748260</v>
      </c>
      <c r="H49" s="15">
        <f>SUM(H47-H48)</f>
        <v>50348</v>
      </c>
      <c r="I49" s="16">
        <f t="shared" si="3"/>
        <v>6.7286771977654825</v>
      </c>
      <c r="J49" s="15">
        <f t="shared" si="2"/>
        <v>50348</v>
      </c>
    </row>
    <row r="50" spans="1:10" ht="12.75">
      <c r="A50" s="18" t="s">
        <v>239</v>
      </c>
      <c r="B50" s="19">
        <v>736101793</v>
      </c>
      <c r="C50" s="19"/>
      <c r="D50" s="20">
        <f t="shared" si="0"/>
        <v>0</v>
      </c>
      <c r="E50" s="13">
        <f t="shared" si="1"/>
        <v>0</v>
      </c>
      <c r="F50" s="18" t="s">
        <v>239</v>
      </c>
      <c r="G50" s="19">
        <f>ROUND(B50/1000,0)-1</f>
        <v>736101</v>
      </c>
      <c r="H50" s="19">
        <v>53375</v>
      </c>
      <c r="I50" s="22">
        <f t="shared" si="3"/>
        <v>7.251042995458504</v>
      </c>
      <c r="J50" s="19">
        <f t="shared" si="2"/>
        <v>53375</v>
      </c>
    </row>
    <row r="51" spans="1:10" ht="12.75">
      <c r="A51" s="34" t="s">
        <v>240</v>
      </c>
      <c r="B51" s="19">
        <v>62992652</v>
      </c>
      <c r="C51" s="19"/>
      <c r="D51" s="20">
        <f t="shared" si="0"/>
        <v>0</v>
      </c>
      <c r="E51" s="13">
        <f t="shared" si="1"/>
        <v>0</v>
      </c>
      <c r="F51" s="34" t="s">
        <v>240</v>
      </c>
      <c r="G51" s="29">
        <f>ROUND(B51/1000,0)</f>
        <v>62993</v>
      </c>
      <c r="H51" s="29">
        <v>5065</v>
      </c>
      <c r="I51" s="31">
        <f t="shared" si="3"/>
        <v>8.040575937008875</v>
      </c>
      <c r="J51" s="29">
        <f t="shared" si="2"/>
        <v>5065</v>
      </c>
    </row>
    <row r="52" spans="1:10" ht="12.75">
      <c r="A52" s="17" t="s">
        <v>241</v>
      </c>
      <c r="B52" s="13">
        <f>SUM(B50-B51)</f>
        <v>673109141</v>
      </c>
      <c r="C52" s="13">
        <f>SUM(C50-C51)</f>
        <v>0</v>
      </c>
      <c r="D52" s="14">
        <f t="shared" si="0"/>
        <v>0</v>
      </c>
      <c r="E52" s="13">
        <f t="shared" si="1"/>
        <v>0</v>
      </c>
      <c r="F52" s="17" t="s">
        <v>241</v>
      </c>
      <c r="G52" s="15">
        <f>SUM(G50-G51)</f>
        <v>673108</v>
      </c>
      <c r="H52" s="15">
        <f>SUM(H50-H51)</f>
        <v>48310</v>
      </c>
      <c r="I52" s="16">
        <f t="shared" si="3"/>
        <v>7.177154334816999</v>
      </c>
      <c r="J52" s="15">
        <f t="shared" si="2"/>
        <v>48310</v>
      </c>
    </row>
    <row r="53" spans="1:10" ht="12.75">
      <c r="A53" s="18" t="s">
        <v>242</v>
      </c>
      <c r="B53" s="19">
        <v>22316983</v>
      </c>
      <c r="C53" s="19"/>
      <c r="D53" s="20">
        <f t="shared" si="0"/>
        <v>0</v>
      </c>
      <c r="E53" s="13">
        <f t="shared" si="1"/>
        <v>0</v>
      </c>
      <c r="F53" s="18" t="s">
        <v>242</v>
      </c>
      <c r="G53" s="19">
        <f>ROUND(B53/1000,0)</f>
        <v>22317</v>
      </c>
      <c r="H53" s="19">
        <v>498</v>
      </c>
      <c r="I53" s="22">
        <f t="shared" si="3"/>
        <v>2.2314827261728727</v>
      </c>
      <c r="J53" s="19">
        <f t="shared" si="2"/>
        <v>498</v>
      </c>
    </row>
    <row r="54" spans="1:10" ht="12.75">
      <c r="A54" s="17" t="s">
        <v>243</v>
      </c>
      <c r="B54" s="13">
        <f>SUM(B53)</f>
        <v>22316983</v>
      </c>
      <c r="C54" s="13">
        <f>SUM(C53)</f>
        <v>0</v>
      </c>
      <c r="D54" s="14">
        <f t="shared" si="0"/>
        <v>0</v>
      </c>
      <c r="E54" s="13">
        <f t="shared" si="1"/>
        <v>0</v>
      </c>
      <c r="F54" s="17" t="s">
        <v>243</v>
      </c>
      <c r="G54" s="15">
        <f>SUM(G53)</f>
        <v>22317</v>
      </c>
      <c r="H54" s="15">
        <f>SUM(H53)</f>
        <v>498</v>
      </c>
      <c r="I54" s="16">
        <f t="shared" si="3"/>
        <v>2.2314827261728727</v>
      </c>
      <c r="J54" s="15">
        <f t="shared" si="2"/>
        <v>498</v>
      </c>
    </row>
    <row r="55" spans="1:10" ht="12.75">
      <c r="A55" s="18" t="s">
        <v>244</v>
      </c>
      <c r="B55" s="19">
        <v>53585996</v>
      </c>
      <c r="C55" s="19"/>
      <c r="D55" s="20">
        <f t="shared" si="0"/>
        <v>0</v>
      </c>
      <c r="E55" s="13">
        <f t="shared" si="1"/>
        <v>0</v>
      </c>
      <c r="F55" s="18" t="s">
        <v>244</v>
      </c>
      <c r="G55" s="19">
        <f>ROUND(B55/1000,0)</f>
        <v>53586</v>
      </c>
      <c r="H55" s="19">
        <v>1660</v>
      </c>
      <c r="I55" s="22">
        <f t="shared" si="3"/>
        <v>3.0978240585227486</v>
      </c>
      <c r="J55" s="19">
        <f t="shared" si="2"/>
        <v>1660</v>
      </c>
    </row>
    <row r="56" spans="1:211" s="18" customFormat="1" ht="12.75">
      <c r="A56" s="34" t="s">
        <v>245</v>
      </c>
      <c r="B56" s="19">
        <v>751400</v>
      </c>
      <c r="C56" s="19"/>
      <c r="D56" s="20">
        <f t="shared" si="0"/>
        <v>0</v>
      </c>
      <c r="E56" s="13">
        <f t="shared" si="1"/>
        <v>0</v>
      </c>
      <c r="F56" s="34" t="s">
        <v>245</v>
      </c>
      <c r="G56" s="29">
        <f>ROUND(B56/1000,0)</f>
        <v>751</v>
      </c>
      <c r="H56" s="29">
        <v>120</v>
      </c>
      <c r="I56" s="31">
        <f t="shared" si="3"/>
        <v>15.978695073235686</v>
      </c>
      <c r="J56" s="29">
        <f t="shared" si="2"/>
        <v>120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18" customFormat="1" ht="12.75">
      <c r="A57" s="17" t="s">
        <v>246</v>
      </c>
      <c r="B57" s="13">
        <f>SUM(B55-B56)</f>
        <v>52834596</v>
      </c>
      <c r="C57" s="13">
        <f>SUM(C55-C56)</f>
        <v>0</v>
      </c>
      <c r="D57" s="14">
        <f t="shared" si="0"/>
        <v>0</v>
      </c>
      <c r="E57" s="13">
        <f t="shared" si="1"/>
        <v>0</v>
      </c>
      <c r="F57" s="17" t="s">
        <v>246</v>
      </c>
      <c r="G57" s="15">
        <f>SUM(G55-G56)</f>
        <v>52835</v>
      </c>
      <c r="H57" s="15">
        <f>SUM(H55-H56)</f>
        <v>1540</v>
      </c>
      <c r="I57" s="16">
        <f t="shared" si="3"/>
        <v>2.914734550960538</v>
      </c>
      <c r="J57" s="15">
        <f t="shared" si="2"/>
        <v>1540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18" customFormat="1" ht="25.5">
      <c r="A58" s="35" t="s">
        <v>247</v>
      </c>
      <c r="B58" s="13">
        <f>SUM(B11-B47)</f>
        <v>-27180457</v>
      </c>
      <c r="C58" s="13">
        <f>SUM(C11-C47)</f>
        <v>0</v>
      </c>
      <c r="D58" s="14">
        <f t="shared" si="0"/>
        <v>0</v>
      </c>
      <c r="E58" s="13">
        <f t="shared" si="1"/>
        <v>0</v>
      </c>
      <c r="F58" s="35" t="s">
        <v>247</v>
      </c>
      <c r="G58" s="15">
        <f>SUM(G11-G47)</f>
        <v>-27180</v>
      </c>
      <c r="H58" s="15">
        <f>SUM(H11-H47)</f>
        <v>8932</v>
      </c>
      <c r="I58" s="16">
        <f t="shared" si="3"/>
        <v>-32.86239882266372</v>
      </c>
      <c r="J58" s="15">
        <f t="shared" si="2"/>
        <v>8932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18" customFormat="1" ht="12.75">
      <c r="A59" s="17" t="s">
        <v>248</v>
      </c>
      <c r="B59" s="13">
        <f>B62</f>
        <v>5673780</v>
      </c>
      <c r="C59" s="13"/>
      <c r="D59" s="14">
        <f t="shared" si="0"/>
        <v>0</v>
      </c>
      <c r="E59" s="13">
        <f t="shared" si="1"/>
        <v>0</v>
      </c>
      <c r="F59" s="17" t="s">
        <v>248</v>
      </c>
      <c r="G59" s="15">
        <f>G62</f>
        <v>5674</v>
      </c>
      <c r="H59" s="15">
        <f>H62</f>
        <v>-243</v>
      </c>
      <c r="I59" s="16">
        <f t="shared" si="3"/>
        <v>-4.282692985548114</v>
      </c>
      <c r="J59" s="15">
        <f t="shared" si="2"/>
        <v>-243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18" customFormat="1" ht="12.75">
      <c r="A60" s="18" t="s">
        <v>249</v>
      </c>
      <c r="B60" s="19">
        <v>48898920</v>
      </c>
      <c r="C60" s="19"/>
      <c r="D60" s="20">
        <f t="shared" si="0"/>
        <v>0</v>
      </c>
      <c r="E60" s="13">
        <f t="shared" si="1"/>
        <v>0</v>
      </c>
      <c r="F60" s="18" t="s">
        <v>250</v>
      </c>
      <c r="G60" s="21">
        <f>ROUND(B60/1000,0)</f>
        <v>48899</v>
      </c>
      <c r="H60" s="21">
        <v>7906</v>
      </c>
      <c r="I60" s="22">
        <f t="shared" si="3"/>
        <v>16.168019795905845</v>
      </c>
      <c r="J60" s="21">
        <f t="shared" si="2"/>
        <v>7906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18" customFormat="1" ht="12.75" customHeight="1">
      <c r="A61" s="34" t="s">
        <v>245</v>
      </c>
      <c r="B61" s="19">
        <v>43225140</v>
      </c>
      <c r="C61" s="19"/>
      <c r="D61" s="20">
        <f t="shared" si="0"/>
        <v>0</v>
      </c>
      <c r="E61" s="13">
        <f t="shared" si="1"/>
        <v>0</v>
      </c>
      <c r="F61" s="34" t="s">
        <v>245</v>
      </c>
      <c r="G61" s="29">
        <f>ROUND(B61/1000,0)</f>
        <v>43225</v>
      </c>
      <c r="H61" s="29">
        <v>8149</v>
      </c>
      <c r="I61" s="31">
        <f t="shared" si="3"/>
        <v>18.852515905147484</v>
      </c>
      <c r="J61" s="29">
        <f t="shared" si="2"/>
        <v>8149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18" customFormat="1" ht="12.75">
      <c r="A62" s="18" t="s">
        <v>251</v>
      </c>
      <c r="B62" s="19">
        <f>B60-B61</f>
        <v>5673780</v>
      </c>
      <c r="C62" s="19"/>
      <c r="D62" s="20">
        <f t="shared" si="0"/>
        <v>0</v>
      </c>
      <c r="E62" s="13">
        <f t="shared" si="1"/>
        <v>0</v>
      </c>
      <c r="F62" s="18" t="s">
        <v>251</v>
      </c>
      <c r="G62" s="21">
        <f>G60-G61</f>
        <v>5674</v>
      </c>
      <c r="H62" s="21">
        <f>SUM(H60-H61)</f>
        <v>-243</v>
      </c>
      <c r="I62" s="22">
        <f t="shared" si="3"/>
        <v>-4.282692985548114</v>
      </c>
      <c r="J62" s="21">
        <f t="shared" si="2"/>
        <v>-243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18" customFormat="1" ht="25.5">
      <c r="A63" s="35" t="s">
        <v>252</v>
      </c>
      <c r="B63" s="13">
        <f>B58-B60</f>
        <v>-76079377</v>
      </c>
      <c r="C63" s="13">
        <f>C58-C60</f>
        <v>0</v>
      </c>
      <c r="D63" s="14">
        <f t="shared" si="0"/>
        <v>0</v>
      </c>
      <c r="E63" s="13">
        <f t="shared" si="1"/>
        <v>0</v>
      </c>
      <c r="F63" s="35" t="s">
        <v>253</v>
      </c>
      <c r="G63" s="15">
        <f>G58-G60</f>
        <v>-76079</v>
      </c>
      <c r="H63" s="15">
        <f>H58-H60</f>
        <v>1026</v>
      </c>
      <c r="I63" s="16">
        <f t="shared" si="3"/>
        <v>-1.3485981676941075</v>
      </c>
      <c r="J63" s="15">
        <f t="shared" si="2"/>
        <v>1026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18" customFormat="1" ht="12.75">
      <c r="A64" s="17" t="s">
        <v>254</v>
      </c>
      <c r="B64" s="13">
        <v>764219683</v>
      </c>
      <c r="C64" s="13">
        <f>C67+C70+C72</f>
        <v>0</v>
      </c>
      <c r="D64" s="14">
        <f t="shared" si="0"/>
        <v>0</v>
      </c>
      <c r="E64" s="13">
        <f t="shared" si="1"/>
        <v>0</v>
      </c>
      <c r="F64" s="17" t="s">
        <v>254</v>
      </c>
      <c r="G64" s="15">
        <f>G67+G70+G72</f>
        <v>764219</v>
      </c>
      <c r="H64" s="15">
        <f>H67+H70+H72</f>
        <v>60679</v>
      </c>
      <c r="I64" s="16">
        <f t="shared" si="3"/>
        <v>7.940001491718997</v>
      </c>
      <c r="J64" s="15">
        <f t="shared" si="2"/>
        <v>60679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18" customFormat="1" ht="12.75">
      <c r="A65" s="34" t="s">
        <v>255</v>
      </c>
      <c r="B65" s="19">
        <f>B68</f>
        <v>1201200</v>
      </c>
      <c r="C65" s="19">
        <f>C23</f>
        <v>0</v>
      </c>
      <c r="D65" s="20">
        <f t="shared" si="0"/>
        <v>0</v>
      </c>
      <c r="E65" s="13">
        <f t="shared" si="1"/>
        <v>0</v>
      </c>
      <c r="F65" s="34" t="s">
        <v>255</v>
      </c>
      <c r="G65" s="29">
        <f>G68</f>
        <v>1201</v>
      </c>
      <c r="H65" s="29">
        <f>H68</f>
        <v>100</v>
      </c>
      <c r="I65" s="31">
        <f t="shared" si="3"/>
        <v>8.32639467110741</v>
      </c>
      <c r="J65" s="29">
        <f t="shared" si="2"/>
        <v>100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18" customFormat="1" ht="12.75">
      <c r="A66" s="17" t="s">
        <v>256</v>
      </c>
      <c r="B66" s="13">
        <f>SUM(B64-B65)</f>
        <v>763018483</v>
      </c>
      <c r="C66" s="13">
        <f>SUM(C64-C65)</f>
        <v>0</v>
      </c>
      <c r="D66" s="14">
        <f t="shared" si="0"/>
        <v>0</v>
      </c>
      <c r="E66" s="13">
        <f t="shared" si="1"/>
        <v>0</v>
      </c>
      <c r="F66" s="17" t="s">
        <v>256</v>
      </c>
      <c r="G66" s="15">
        <f>SUM(G64-G65)</f>
        <v>763018</v>
      </c>
      <c r="H66" s="15">
        <f>SUM(H64-H65)</f>
        <v>60579</v>
      </c>
      <c r="I66" s="16">
        <f t="shared" si="3"/>
        <v>7.939393303958752</v>
      </c>
      <c r="J66" s="15">
        <f t="shared" si="2"/>
        <v>60579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18" customFormat="1" ht="12.75">
      <c r="A67" s="18" t="s">
        <v>257</v>
      </c>
      <c r="B67" s="19">
        <v>731791976</v>
      </c>
      <c r="C67" s="19"/>
      <c r="D67" s="20">
        <f t="shared" si="0"/>
        <v>0</v>
      </c>
      <c r="E67" s="13">
        <f t="shared" si="1"/>
        <v>0</v>
      </c>
      <c r="F67" s="18" t="s">
        <v>257</v>
      </c>
      <c r="G67" s="21">
        <f>ROUND(B67/1000,0)</f>
        <v>731792</v>
      </c>
      <c r="H67" s="21">
        <v>57117</v>
      </c>
      <c r="I67" s="22">
        <f t="shared" si="3"/>
        <v>7.80508669130026</v>
      </c>
      <c r="J67" s="21">
        <f t="shared" si="2"/>
        <v>57117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18" customFormat="1" ht="12.75">
      <c r="A68" s="34" t="s">
        <v>258</v>
      </c>
      <c r="B68" s="19">
        <v>1201200</v>
      </c>
      <c r="C68" s="19">
        <f>C23</f>
        <v>0</v>
      </c>
      <c r="D68" s="20">
        <f t="shared" si="0"/>
        <v>0</v>
      </c>
      <c r="E68" s="13">
        <f t="shared" si="1"/>
        <v>0</v>
      </c>
      <c r="F68" s="34" t="s">
        <v>258</v>
      </c>
      <c r="G68" s="29">
        <f>ROUND(B68/1000,0)</f>
        <v>1201</v>
      </c>
      <c r="H68" s="30">
        <v>100</v>
      </c>
      <c r="I68" s="31">
        <f t="shared" si="3"/>
        <v>8.32639467110741</v>
      </c>
      <c r="J68" s="29">
        <f t="shared" si="2"/>
        <v>100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18" customFormat="1" ht="24">
      <c r="A69" s="17" t="s">
        <v>259</v>
      </c>
      <c r="B69" s="13">
        <f>SUM(B67-B68)</f>
        <v>730590776</v>
      </c>
      <c r="C69" s="13">
        <f>SUM(C67-C68)</f>
        <v>0</v>
      </c>
      <c r="D69" s="14">
        <f t="shared" si="0"/>
        <v>0</v>
      </c>
      <c r="E69" s="13">
        <f t="shared" si="1"/>
        <v>0</v>
      </c>
      <c r="F69" s="17" t="s">
        <v>259</v>
      </c>
      <c r="G69" s="15">
        <f>SUM(G67-G68)</f>
        <v>730591</v>
      </c>
      <c r="H69" s="15">
        <f>SUM(H67-H68)</f>
        <v>57017</v>
      </c>
      <c r="I69" s="16">
        <f t="shared" si="3"/>
        <v>7.804229726344836</v>
      </c>
      <c r="J69" s="15">
        <f t="shared" si="2"/>
        <v>57017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18" customFormat="1" ht="12.75">
      <c r="A70" s="18" t="s">
        <v>260</v>
      </c>
      <c r="B70" s="19">
        <v>11728286</v>
      </c>
      <c r="C70" s="19"/>
      <c r="D70" s="20">
        <f t="shared" si="0"/>
        <v>0</v>
      </c>
      <c r="E70" s="13">
        <f t="shared" si="1"/>
        <v>0</v>
      </c>
      <c r="F70" s="18" t="s">
        <v>260</v>
      </c>
      <c r="G70" s="21">
        <f>ROUND(B70/1000,0)</f>
        <v>11728</v>
      </c>
      <c r="H70" s="21">
        <v>3177</v>
      </c>
      <c r="I70" s="22">
        <f t="shared" si="3"/>
        <v>27.08901773533424</v>
      </c>
      <c r="J70" s="21">
        <f t="shared" si="2"/>
        <v>3177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18" customFormat="1" ht="12.75">
      <c r="A71" s="17" t="s">
        <v>261</v>
      </c>
      <c r="B71" s="13">
        <f>SUM(B70)</f>
        <v>11728286</v>
      </c>
      <c r="C71" s="13">
        <f>SUM(C70)</f>
        <v>0</v>
      </c>
      <c r="D71" s="14">
        <f t="shared" si="0"/>
        <v>0</v>
      </c>
      <c r="E71" s="13">
        <f t="shared" si="1"/>
        <v>0</v>
      </c>
      <c r="F71" s="17" t="s">
        <v>261</v>
      </c>
      <c r="G71" s="15">
        <f>SUM(G70)</f>
        <v>11728</v>
      </c>
      <c r="H71" s="15">
        <f>SUM(H70)</f>
        <v>3177</v>
      </c>
      <c r="I71" s="16">
        <f t="shared" si="3"/>
        <v>27.08901773533424</v>
      </c>
      <c r="J71" s="15">
        <f t="shared" si="2"/>
        <v>3177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18" customFormat="1" ht="12.75">
      <c r="A72" s="18" t="s">
        <v>262</v>
      </c>
      <c r="B72" s="19">
        <v>20699421</v>
      </c>
      <c r="C72" s="19"/>
      <c r="D72" s="20">
        <f t="shared" si="0"/>
        <v>0</v>
      </c>
      <c r="E72" s="13">
        <f t="shared" si="1"/>
        <v>0</v>
      </c>
      <c r="F72" s="18" t="s">
        <v>262</v>
      </c>
      <c r="G72" s="21">
        <f>ROUND(B72/1000,0)</f>
        <v>20699</v>
      </c>
      <c r="H72" s="21">
        <v>385</v>
      </c>
      <c r="I72" s="22">
        <f t="shared" si="3"/>
        <v>1.8599932363882312</v>
      </c>
      <c r="J72" s="21">
        <f t="shared" si="2"/>
        <v>385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18" customFormat="1" ht="12.75">
      <c r="A73" s="17" t="s">
        <v>263</v>
      </c>
      <c r="B73" s="13">
        <f>SUM(B72)</f>
        <v>20699421</v>
      </c>
      <c r="C73" s="13">
        <f>SUM(C72)</f>
        <v>0</v>
      </c>
      <c r="D73" s="14">
        <f t="shared" si="0"/>
        <v>0</v>
      </c>
      <c r="E73" s="13">
        <f t="shared" si="1"/>
        <v>0</v>
      </c>
      <c r="F73" s="17" t="s">
        <v>263</v>
      </c>
      <c r="G73" s="15">
        <f>SUM(G72)</f>
        <v>20699</v>
      </c>
      <c r="H73" s="15">
        <f>SUM(H72)</f>
        <v>385</v>
      </c>
      <c r="I73" s="16">
        <f t="shared" si="3"/>
        <v>1.8599932363882312</v>
      </c>
      <c r="J73" s="15">
        <f t="shared" si="2"/>
        <v>385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18" customFormat="1" ht="25.5">
      <c r="A74" s="35" t="s">
        <v>264</v>
      </c>
      <c r="B74" s="13">
        <f>SUM(B25-B64)</f>
        <v>-39627899</v>
      </c>
      <c r="C74" s="13">
        <f>SUM(C25-C64)</f>
        <v>0</v>
      </c>
      <c r="D74" s="14">
        <f t="shared" si="0"/>
        <v>0</v>
      </c>
      <c r="E74" s="13">
        <f t="shared" si="1"/>
        <v>0</v>
      </c>
      <c r="F74" s="35" t="s">
        <v>264</v>
      </c>
      <c r="G74" s="15">
        <f>SUM(G25-G64)</f>
        <v>-39628</v>
      </c>
      <c r="H74" s="15">
        <f>SUM(H25-H64)</f>
        <v>-4816</v>
      </c>
      <c r="I74" s="16">
        <f t="shared" si="3"/>
        <v>12.153023114969214</v>
      </c>
      <c r="J74" s="15">
        <f t="shared" si="2"/>
        <v>-4816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18" customFormat="1" ht="12.75">
      <c r="A75" s="17" t="s">
        <v>265</v>
      </c>
      <c r="B75" s="13">
        <f>SUM(B76)</f>
        <v>6699203</v>
      </c>
      <c r="C75" s="13"/>
      <c r="D75" s="14">
        <f>IF(ISERROR(C75/B75)," ",(C75/B75))</f>
        <v>0</v>
      </c>
      <c r="E75" s="13">
        <f t="shared" si="1"/>
        <v>0</v>
      </c>
      <c r="F75" s="17" t="s">
        <v>265</v>
      </c>
      <c r="G75" s="15">
        <f>SUM(G76)</f>
        <v>6699</v>
      </c>
      <c r="H75" s="15">
        <f>SUM(H76)</f>
        <v>468</v>
      </c>
      <c r="I75" s="16">
        <f t="shared" si="3"/>
        <v>6.986117330944917</v>
      </c>
      <c r="J75" s="15">
        <f t="shared" si="2"/>
        <v>468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18" customFormat="1" ht="12.75">
      <c r="A76" s="18" t="s">
        <v>555</v>
      </c>
      <c r="B76" s="19">
        <v>6699203</v>
      </c>
      <c r="C76" s="19"/>
      <c r="D76" s="20">
        <f>IF(ISERROR(C76/B76)," ",(C76/B76))</f>
        <v>0</v>
      </c>
      <c r="E76" s="13">
        <f>C76</f>
        <v>0</v>
      </c>
      <c r="F76" s="18" t="s">
        <v>555</v>
      </c>
      <c r="G76" s="19">
        <f>ROUND(B76/1000,0)</f>
        <v>6699</v>
      </c>
      <c r="H76" s="19">
        <v>468</v>
      </c>
      <c r="I76" s="40">
        <f t="shared" si="3"/>
        <v>6.986117330944917</v>
      </c>
      <c r="J76" s="19">
        <f t="shared" si="2"/>
        <v>468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18" customFormat="1" ht="12.75">
      <c r="A77" s="18" t="s">
        <v>556</v>
      </c>
      <c r="B77" s="19">
        <f>SUM(B76)</f>
        <v>6699203</v>
      </c>
      <c r="C77" s="19">
        <f>SUM(C76)</f>
        <v>0</v>
      </c>
      <c r="D77" s="20">
        <f>IF(ISERROR(C77/B77)," ",(C77/B77))</f>
        <v>0</v>
      </c>
      <c r="E77" s="13">
        <f>C77</f>
        <v>0</v>
      </c>
      <c r="F77" s="18" t="s">
        <v>556</v>
      </c>
      <c r="G77" s="19">
        <f>SUM(G76)</f>
        <v>6699</v>
      </c>
      <c r="H77" s="19">
        <f>SUM(H76)</f>
        <v>468</v>
      </c>
      <c r="I77" s="40">
        <f t="shared" si="3"/>
        <v>6.986117330944917</v>
      </c>
      <c r="J77" s="19">
        <f t="shared" si="2"/>
        <v>468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18" customFormat="1" ht="25.5">
      <c r="A78" s="35" t="s">
        <v>557</v>
      </c>
      <c r="B78" s="13">
        <f>SUM(B74-B75)</f>
        <v>-46327102</v>
      </c>
      <c r="C78" s="13">
        <f>SUM(C74-C75)</f>
        <v>0</v>
      </c>
      <c r="D78" s="14">
        <f>IF(ISERROR(C78/B78)," ",(C78/B78))</f>
        <v>0</v>
      </c>
      <c r="E78" s="13">
        <f>C78</f>
        <v>0</v>
      </c>
      <c r="F78" s="35" t="s">
        <v>557</v>
      </c>
      <c r="G78" s="15">
        <f>SUM(G74-G75)</f>
        <v>-46327</v>
      </c>
      <c r="H78" s="15">
        <f>SUM(H74-H75)</f>
        <v>-5284</v>
      </c>
      <c r="I78" s="16">
        <f t="shared" si="3"/>
        <v>11.405875623286637</v>
      </c>
      <c r="J78" s="15">
        <f t="shared" si="2"/>
        <v>-5284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211" s="43" customFormat="1" ht="12.75">
      <c r="A79" s="41"/>
      <c r="B79" s="42"/>
      <c r="F79" s="44"/>
      <c r="G79" s="42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</row>
    <row r="80" spans="1:211" s="43" customFormat="1" ht="12.75">
      <c r="A80" s="41"/>
      <c r="B80" s="42"/>
      <c r="F80" s="45"/>
      <c r="G80" s="42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</row>
    <row r="81" spans="1:10" ht="12.75">
      <c r="A81" s="46"/>
      <c r="F81" s="46"/>
      <c r="G81" s="4"/>
      <c r="H81" s="3"/>
      <c r="I81" s="3"/>
      <c r="J81" s="3"/>
    </row>
    <row r="82" spans="1:10" ht="12.75">
      <c r="A82" s="46"/>
      <c r="F82" s="46"/>
      <c r="G82" s="4"/>
      <c r="H82" s="3"/>
      <c r="I82" s="3"/>
      <c r="J82" s="3"/>
    </row>
    <row r="83" spans="1:10" ht="12.75">
      <c r="A83" s="43"/>
      <c r="F83" s="47" t="s">
        <v>558</v>
      </c>
      <c r="G83" s="6"/>
      <c r="H83" s="48"/>
      <c r="I83" s="3"/>
      <c r="J83" s="3"/>
    </row>
    <row r="84" spans="1:10" ht="12.75">
      <c r="A84" s="47" t="s">
        <v>559</v>
      </c>
      <c r="B84" s="6"/>
      <c r="C84" s="48"/>
      <c r="D84" s="48"/>
      <c r="E84" s="48"/>
      <c r="F84" s="47"/>
      <c r="G84" s="6"/>
      <c r="H84" s="48"/>
      <c r="I84" s="48"/>
      <c r="J84" s="48"/>
    </row>
    <row r="85" spans="1:10" ht="12.75">
      <c r="A85" s="33"/>
      <c r="F85" s="33"/>
      <c r="G85" s="4"/>
      <c r="H85" s="3"/>
      <c r="I85" s="3"/>
      <c r="J85" s="3"/>
    </row>
    <row r="86" spans="1:10" ht="12.75">
      <c r="A86" s="33"/>
      <c r="C86" s="8"/>
      <c r="D86" s="8"/>
      <c r="E86" s="8"/>
      <c r="F86" s="33"/>
      <c r="G86" s="4"/>
      <c r="H86" s="8"/>
      <c r="I86" s="8"/>
      <c r="J86" s="8"/>
    </row>
    <row r="87" spans="7:10" ht="12.75">
      <c r="G87" s="4"/>
      <c r="H87" s="3"/>
      <c r="I87" s="3"/>
      <c r="J87" s="3"/>
    </row>
    <row r="88" spans="7:10" ht="12.75">
      <c r="G88" s="4"/>
      <c r="H88" s="3"/>
      <c r="I88" s="3"/>
      <c r="J88" s="3"/>
    </row>
    <row r="89" spans="9:10" ht="12.75">
      <c r="I89" s="3"/>
      <c r="J89" s="3"/>
    </row>
    <row r="90" spans="1:10" ht="12.75">
      <c r="A90" s="33" t="s">
        <v>560</v>
      </c>
      <c r="G90" s="6"/>
      <c r="H90" s="48"/>
      <c r="I90" s="3"/>
      <c r="J90" s="3"/>
    </row>
    <row r="91" spans="1:10" ht="12.75">
      <c r="A91" s="33" t="s">
        <v>561</v>
      </c>
      <c r="F91" s="33" t="s">
        <v>560</v>
      </c>
      <c r="G91" s="4"/>
      <c r="H91" s="3"/>
      <c r="I91" s="3"/>
      <c r="J91" s="3"/>
    </row>
    <row r="92" spans="6:10" ht="12.75">
      <c r="F92" s="33" t="s">
        <v>562</v>
      </c>
      <c r="G92" s="4"/>
      <c r="H92" s="3"/>
      <c r="I92" s="3"/>
      <c r="J92" s="3"/>
    </row>
    <row r="93" spans="1:8" ht="15" customHeight="1">
      <c r="A93"/>
      <c r="B93"/>
      <c r="C93"/>
      <c r="D93"/>
      <c r="E93"/>
      <c r="F93" s="47"/>
      <c r="G93" s="6"/>
      <c r="H93" s="48"/>
    </row>
    <row r="94" spans="1:5" ht="16.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</sheetData>
  <mergeCells count="2">
    <mergeCell ref="F4:J4"/>
    <mergeCell ref="F5:J5"/>
  </mergeCells>
  <printOptions/>
  <pageMargins left="0.5" right="0.2755905511811024" top="0.5" bottom="0.984251968503937" header="0.37" footer="0.5118110236220472"/>
  <pageSetup firstPageNumber="5" useFirstPageNumber="1" horizontalDpi="600" verticalDpi="600" orientation="portrait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9" sqref="F9:F10"/>
    </sheetView>
  </sheetViews>
  <sheetFormatPr defaultColWidth="9.140625" defaultRowHeight="17.25" customHeight="1"/>
  <cols>
    <col min="1" max="1" width="20.7109375" style="307" customWidth="1"/>
    <col min="2" max="2" width="10.57421875" style="282" customWidth="1"/>
    <col min="3" max="3" width="9.00390625" style="282" customWidth="1"/>
    <col min="4" max="4" width="10.140625" style="282" customWidth="1"/>
    <col min="5" max="5" width="8.28125" style="282" customWidth="1"/>
    <col min="6" max="6" width="7.00390625" style="282" bestFit="1" customWidth="1"/>
    <col min="7" max="8" width="7.8515625" style="282" customWidth="1"/>
    <col min="9" max="9" width="8.140625" style="282" customWidth="1"/>
    <col min="10" max="10" width="10.00390625" style="282" customWidth="1"/>
    <col min="11" max="11" width="10.421875" style="282" customWidth="1"/>
    <col min="12" max="12" width="0.42578125" style="282" hidden="1" customWidth="1"/>
    <col min="13" max="13" width="8.28125" style="282" bestFit="1" customWidth="1"/>
    <col min="14" max="14" width="7.00390625" style="282" bestFit="1" customWidth="1"/>
    <col min="15" max="17" width="6.57421875" style="282" bestFit="1" customWidth="1"/>
    <col min="18" max="18" width="8.7109375" style="282" bestFit="1" customWidth="1"/>
    <col min="19" max="19" width="9.8515625" style="282" customWidth="1"/>
    <col min="20" max="16384" width="9.140625" style="282" customWidth="1"/>
  </cols>
  <sheetData>
    <row r="1" spans="2:19" ht="17.25" customHeight="1">
      <c r="B1" s="3"/>
      <c r="C1" s="3"/>
      <c r="D1" s="3"/>
      <c r="E1" s="3"/>
      <c r="F1" s="3"/>
      <c r="I1" s="3"/>
      <c r="J1" s="3"/>
      <c r="K1" s="3"/>
      <c r="L1" s="3"/>
      <c r="M1" s="3"/>
      <c r="N1" s="3"/>
      <c r="O1" s="3"/>
      <c r="P1" s="3"/>
      <c r="Q1" s="5"/>
      <c r="R1" s="5"/>
      <c r="S1" s="5" t="s">
        <v>71</v>
      </c>
    </row>
    <row r="2" spans="7:18" ht="17.25" customHeight="1">
      <c r="G2" s="3" t="s">
        <v>72</v>
      </c>
      <c r="H2" s="3"/>
      <c r="Q2" s="105"/>
      <c r="R2" s="353"/>
    </row>
    <row r="3" spans="1:19" s="3" customFormat="1" ht="17.25" customHeight="1">
      <c r="A3" s="307"/>
      <c r="Q3" s="5"/>
      <c r="R3" s="5"/>
      <c r="S3" s="5"/>
    </row>
    <row r="4" spans="1:19" s="315" customFormat="1" ht="17.25" customHeight="1">
      <c r="A4" s="618" t="s">
        <v>73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</row>
    <row r="5" spans="1:19" s="370" customFormat="1" ht="17.25" customHeight="1">
      <c r="A5" s="640" t="s">
        <v>301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</row>
    <row r="6" spans="1:19" s="370" customFormat="1" ht="17.25" customHeight="1">
      <c r="A6" s="371"/>
      <c r="B6" s="281"/>
      <c r="C6" s="281"/>
      <c r="D6" s="281"/>
      <c r="E6" s="281"/>
      <c r="F6" s="372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8" customFormat="1" ht="17.25" customHeight="1">
      <c r="A7" s="37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Q7" s="48"/>
      <c r="S7" s="9" t="s">
        <v>413</v>
      </c>
    </row>
    <row r="8" spans="1:19" s="3" customFormat="1" ht="17.25" customHeight="1">
      <c r="A8" s="645" t="s">
        <v>74</v>
      </c>
      <c r="B8" s="374" t="s">
        <v>447</v>
      </c>
      <c r="C8" s="374"/>
      <c r="D8" s="374"/>
      <c r="E8" s="374"/>
      <c r="F8" s="374" t="s">
        <v>75</v>
      </c>
      <c r="G8" s="374"/>
      <c r="H8" s="374"/>
      <c r="I8" s="374"/>
      <c r="J8" s="645" t="s">
        <v>76</v>
      </c>
      <c r="K8" s="645" t="s">
        <v>77</v>
      </c>
      <c r="L8" s="72"/>
      <c r="M8" s="375" t="s">
        <v>78</v>
      </c>
      <c r="N8" s="374"/>
      <c r="O8" s="374"/>
      <c r="P8" s="376"/>
      <c r="Q8" s="374"/>
      <c r="R8" s="377"/>
      <c r="S8" s="645" t="s">
        <v>79</v>
      </c>
    </row>
    <row r="9" spans="1:19" ht="17.25" customHeight="1">
      <c r="A9" s="610"/>
      <c r="B9" s="645" t="s">
        <v>80</v>
      </c>
      <c r="C9" s="645" t="s">
        <v>81</v>
      </c>
      <c r="D9" s="643" t="s">
        <v>82</v>
      </c>
      <c r="E9" s="645" t="s">
        <v>83</v>
      </c>
      <c r="F9" s="645" t="s">
        <v>84</v>
      </c>
      <c r="G9" s="645" t="s">
        <v>85</v>
      </c>
      <c r="H9" s="643" t="s">
        <v>86</v>
      </c>
      <c r="I9" s="645" t="s">
        <v>87</v>
      </c>
      <c r="J9" s="612"/>
      <c r="K9" s="612"/>
      <c r="L9" s="378"/>
      <c r="M9" s="379"/>
      <c r="N9" s="379"/>
      <c r="O9" s="374" t="s">
        <v>88</v>
      </c>
      <c r="P9" s="374"/>
      <c r="Q9" s="379"/>
      <c r="R9" s="379"/>
      <c r="S9" s="612"/>
    </row>
    <row r="10" spans="1:19" s="384" customFormat="1" ht="90">
      <c r="A10" s="611"/>
      <c r="B10" s="595"/>
      <c r="C10" s="608"/>
      <c r="D10" s="644"/>
      <c r="E10" s="608"/>
      <c r="F10" s="608"/>
      <c r="G10" s="608"/>
      <c r="H10" s="644"/>
      <c r="I10" s="608"/>
      <c r="J10" s="613"/>
      <c r="K10" s="613"/>
      <c r="L10" s="382" t="s">
        <v>89</v>
      </c>
      <c r="M10" s="383" t="s">
        <v>589</v>
      </c>
      <c r="N10" s="383" t="s">
        <v>90</v>
      </c>
      <c r="O10" s="383" t="s">
        <v>91</v>
      </c>
      <c r="P10" s="383" t="s">
        <v>92</v>
      </c>
      <c r="Q10" s="383" t="s">
        <v>93</v>
      </c>
      <c r="R10" s="10" t="s">
        <v>601</v>
      </c>
      <c r="S10" s="613"/>
    </row>
    <row r="11" spans="1:19" s="8" customFormat="1" ht="17.25" customHeight="1">
      <c r="A11" s="385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/>
      <c r="M11" s="73">
        <v>12</v>
      </c>
      <c r="N11" s="73">
        <v>13</v>
      </c>
      <c r="O11" s="73">
        <v>14</v>
      </c>
      <c r="P11" s="73">
        <v>15</v>
      </c>
      <c r="Q11" s="73">
        <v>16</v>
      </c>
      <c r="R11" s="73">
        <v>17</v>
      </c>
      <c r="S11" s="73">
        <v>18</v>
      </c>
    </row>
    <row r="12" spans="1:19" ht="12" customHeight="1">
      <c r="A12" s="386" t="s">
        <v>94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12" customHeight="1">
      <c r="A13" s="387" t="s">
        <v>95</v>
      </c>
      <c r="B13" s="104">
        <v>8813</v>
      </c>
      <c r="C13" s="104">
        <v>2117</v>
      </c>
      <c r="D13" s="104"/>
      <c r="E13" s="104">
        <f aca="true" t="shared" si="0" ref="E13:E19">SUM(B13:C13)</f>
        <v>10930</v>
      </c>
      <c r="F13" s="104">
        <v>9591</v>
      </c>
      <c r="G13" s="104">
        <v>1604</v>
      </c>
      <c r="H13" s="104">
        <v>1604</v>
      </c>
      <c r="I13" s="104">
        <f aca="true" t="shared" si="1" ref="I13:I19">SUM(F13:G13)</f>
        <v>11195</v>
      </c>
      <c r="J13" s="104">
        <f aca="true" t="shared" si="2" ref="J13:J19">E13-I13</f>
        <v>-265</v>
      </c>
      <c r="K13" s="104">
        <f aca="true" t="shared" si="3" ref="K13:K20">-J13</f>
        <v>265</v>
      </c>
      <c r="L13" s="104">
        <f>SUM(Q13:S13,N13,M12)</f>
        <v>265</v>
      </c>
      <c r="M13" s="104"/>
      <c r="N13" s="104">
        <f>O13-P13</f>
        <v>-220</v>
      </c>
      <c r="O13" s="104">
        <v>4372</v>
      </c>
      <c r="P13" s="104">
        <v>4592</v>
      </c>
      <c r="Q13" s="104"/>
      <c r="R13" s="104">
        <v>485</v>
      </c>
      <c r="S13" s="104"/>
    </row>
    <row r="14" spans="1:19" ht="12" customHeight="1">
      <c r="A14" s="387" t="s">
        <v>96</v>
      </c>
      <c r="B14" s="104">
        <v>750</v>
      </c>
      <c r="C14" s="104">
        <v>454</v>
      </c>
      <c r="D14" s="104">
        <v>117</v>
      </c>
      <c r="E14" s="104">
        <f t="shared" si="0"/>
        <v>1204</v>
      </c>
      <c r="F14" s="104">
        <v>1195</v>
      </c>
      <c r="G14" s="104"/>
      <c r="H14" s="104"/>
      <c r="I14" s="104">
        <f t="shared" si="1"/>
        <v>1195</v>
      </c>
      <c r="J14" s="104">
        <f t="shared" si="2"/>
        <v>9</v>
      </c>
      <c r="K14" s="104">
        <f t="shared" si="3"/>
        <v>-9</v>
      </c>
      <c r="L14" s="104">
        <f>SUM(Q14:S14,N14,M13)</f>
        <v>-9</v>
      </c>
      <c r="M14" s="104"/>
      <c r="N14" s="104">
        <v>-82</v>
      </c>
      <c r="O14" s="104">
        <v>50</v>
      </c>
      <c r="P14" s="104">
        <v>131</v>
      </c>
      <c r="Q14" s="104">
        <v>-4</v>
      </c>
      <c r="R14" s="104">
        <v>77</v>
      </c>
      <c r="S14" s="104"/>
    </row>
    <row r="15" spans="1:19" ht="12" customHeight="1">
      <c r="A15" s="387" t="s">
        <v>97</v>
      </c>
      <c r="B15" s="104">
        <v>567</v>
      </c>
      <c r="C15" s="104">
        <v>219</v>
      </c>
      <c r="D15" s="104"/>
      <c r="E15" s="104">
        <f t="shared" si="0"/>
        <v>786</v>
      </c>
      <c r="F15" s="104">
        <v>564</v>
      </c>
      <c r="G15" s="104">
        <v>17</v>
      </c>
      <c r="H15" s="104">
        <v>7</v>
      </c>
      <c r="I15" s="104">
        <f t="shared" si="1"/>
        <v>581</v>
      </c>
      <c r="J15" s="104">
        <f t="shared" si="2"/>
        <v>205</v>
      </c>
      <c r="K15" s="104">
        <f t="shared" si="3"/>
        <v>-205</v>
      </c>
      <c r="L15" s="104">
        <f>SUM(Q15:S15,N15,M14)</f>
        <v>-205</v>
      </c>
      <c r="M15" s="104"/>
      <c r="N15" s="104">
        <f>O15-P15</f>
        <v>-211</v>
      </c>
      <c r="O15" s="104">
        <v>51</v>
      </c>
      <c r="P15" s="104">
        <v>262</v>
      </c>
      <c r="Q15" s="104"/>
      <c r="R15" s="104">
        <v>6</v>
      </c>
      <c r="S15" s="104"/>
    </row>
    <row r="16" spans="1:19" ht="12" customHeight="1">
      <c r="A16" s="387" t="s">
        <v>98</v>
      </c>
      <c r="B16" s="297">
        <v>517</v>
      </c>
      <c r="C16" s="104">
        <v>197</v>
      </c>
      <c r="D16" s="388">
        <v>51</v>
      </c>
      <c r="E16" s="104">
        <f t="shared" si="0"/>
        <v>714</v>
      </c>
      <c r="F16" s="104">
        <v>602</v>
      </c>
      <c r="G16" s="104">
        <v>69</v>
      </c>
      <c r="H16" s="104">
        <v>69</v>
      </c>
      <c r="I16" s="104">
        <f t="shared" si="1"/>
        <v>671</v>
      </c>
      <c r="J16" s="104">
        <f t="shared" si="2"/>
        <v>43</v>
      </c>
      <c r="K16" s="104">
        <f t="shared" si="3"/>
        <v>-43</v>
      </c>
      <c r="L16" s="104">
        <f>SUM(Q16:S16,N16,M15)</f>
        <v>-43</v>
      </c>
      <c r="M16" s="104"/>
      <c r="N16" s="104">
        <f>O16-P16</f>
        <v>-43</v>
      </c>
      <c r="O16" s="104">
        <v>200</v>
      </c>
      <c r="P16" s="104">
        <v>243</v>
      </c>
      <c r="Q16" s="104"/>
      <c r="R16" s="104"/>
      <c r="S16" s="104"/>
    </row>
    <row r="17" spans="1:19" ht="12" customHeight="1">
      <c r="A17" s="387" t="s">
        <v>99</v>
      </c>
      <c r="B17" s="104">
        <v>712</v>
      </c>
      <c r="C17" s="104">
        <v>272</v>
      </c>
      <c r="D17" s="104"/>
      <c r="E17" s="104">
        <f t="shared" si="0"/>
        <v>984</v>
      </c>
      <c r="F17" s="104">
        <v>902</v>
      </c>
      <c r="G17" s="104"/>
      <c r="H17" s="104"/>
      <c r="I17" s="104">
        <f t="shared" si="1"/>
        <v>902</v>
      </c>
      <c r="J17" s="104">
        <f t="shared" si="2"/>
        <v>82</v>
      </c>
      <c r="K17" s="104">
        <f t="shared" si="3"/>
        <v>-82</v>
      </c>
      <c r="L17" s="104">
        <f>SUM(Q17:S17,N17,M16)</f>
        <v>-82</v>
      </c>
      <c r="M17" s="104"/>
      <c r="N17" s="104">
        <f>O17-P17</f>
        <v>-82</v>
      </c>
      <c r="O17" s="104">
        <v>381</v>
      </c>
      <c r="P17" s="104">
        <v>463</v>
      </c>
      <c r="Q17" s="104"/>
      <c r="R17" s="104"/>
      <c r="S17" s="104"/>
    </row>
    <row r="18" spans="1:19" ht="12" customHeight="1">
      <c r="A18" s="387" t="s">
        <v>100</v>
      </c>
      <c r="B18" s="104">
        <v>308</v>
      </c>
      <c r="C18" s="104">
        <v>145</v>
      </c>
      <c r="D18" s="104">
        <v>2</v>
      </c>
      <c r="E18" s="104">
        <f t="shared" si="0"/>
        <v>453</v>
      </c>
      <c r="F18" s="104">
        <v>422</v>
      </c>
      <c r="G18" s="104"/>
      <c r="H18" s="104"/>
      <c r="I18" s="104">
        <f t="shared" si="1"/>
        <v>422</v>
      </c>
      <c r="J18" s="104">
        <f t="shared" si="2"/>
        <v>31</v>
      </c>
      <c r="K18" s="104">
        <f t="shared" si="3"/>
        <v>-31</v>
      </c>
      <c r="L18" s="104">
        <f>SUM(Q18:S18,N18,M18)</f>
        <v>-31</v>
      </c>
      <c r="M18" s="104">
        <v>-15</v>
      </c>
      <c r="N18" s="104">
        <f>O18-P18</f>
        <v>-16</v>
      </c>
      <c r="O18" s="104">
        <v>68</v>
      </c>
      <c r="P18" s="104">
        <v>84</v>
      </c>
      <c r="Q18" s="104"/>
      <c r="R18" s="104"/>
      <c r="S18" s="104"/>
    </row>
    <row r="19" spans="1:19" ht="12" customHeight="1">
      <c r="A19" s="387" t="s">
        <v>101</v>
      </c>
      <c r="B19" s="104">
        <v>677</v>
      </c>
      <c r="C19" s="104">
        <v>108</v>
      </c>
      <c r="D19" s="104"/>
      <c r="E19" s="104">
        <f t="shared" si="0"/>
        <v>785</v>
      </c>
      <c r="F19" s="104">
        <v>509</v>
      </c>
      <c r="G19" s="104">
        <v>211</v>
      </c>
      <c r="H19" s="104">
        <v>211</v>
      </c>
      <c r="I19" s="104">
        <f t="shared" si="1"/>
        <v>720</v>
      </c>
      <c r="J19" s="104">
        <f t="shared" si="2"/>
        <v>65</v>
      </c>
      <c r="K19" s="104">
        <f t="shared" si="3"/>
        <v>-65</v>
      </c>
      <c r="L19" s="104">
        <f>SUM(Q19:S19,N19,M19)</f>
        <v>-65</v>
      </c>
      <c r="M19" s="104"/>
      <c r="N19" s="104">
        <f>O19-P19</f>
        <v>-65</v>
      </c>
      <c r="O19" s="104">
        <v>1118</v>
      </c>
      <c r="P19" s="104">
        <v>1183</v>
      </c>
      <c r="Q19" s="104"/>
      <c r="R19" s="104"/>
      <c r="S19" s="104"/>
    </row>
    <row r="20" spans="1:19" ht="12" customHeight="1">
      <c r="A20" s="386" t="s">
        <v>102</v>
      </c>
      <c r="B20" s="297">
        <f>SUM(B13:B19)</f>
        <v>12344</v>
      </c>
      <c r="C20" s="297">
        <f>SUM(C13:C19)</f>
        <v>3512</v>
      </c>
      <c r="D20" s="297">
        <f>SUM(D13:D19)</f>
        <v>170</v>
      </c>
      <c r="E20" s="297">
        <f>SUM(E13:E19)</f>
        <v>15856</v>
      </c>
      <c r="F20" s="297">
        <f>SUM(F13:F19)+1</f>
        <v>13786</v>
      </c>
      <c r="G20" s="297">
        <f>SUM(G13:G19)</f>
        <v>1901</v>
      </c>
      <c r="H20" s="297">
        <f>SUM(H13:H19)</f>
        <v>1891</v>
      </c>
      <c r="I20" s="297">
        <f>SUM(I13:I19)</f>
        <v>15686</v>
      </c>
      <c r="J20" s="297">
        <f>SUM(J13:J19)</f>
        <v>170</v>
      </c>
      <c r="K20" s="104">
        <f t="shared" si="3"/>
        <v>-170</v>
      </c>
      <c r="L20" s="104">
        <f>SUM(Q20:S20,N20,M20)</f>
        <v>-170</v>
      </c>
      <c r="M20" s="104">
        <f>SUM(M18:M19)</f>
        <v>-15</v>
      </c>
      <c r="N20" s="104">
        <f>SUM(N13:N19)</f>
        <v>-719</v>
      </c>
      <c r="O20" s="104">
        <f>SUM(O13:O19)</f>
        <v>6240</v>
      </c>
      <c r="P20" s="104">
        <f>SUM(P13:P19)</f>
        <v>6958</v>
      </c>
      <c r="Q20" s="104">
        <f>SUM(Q13:Q19)</f>
        <v>-4</v>
      </c>
      <c r="R20" s="104">
        <f>SUM(R13:R19)</f>
        <v>568</v>
      </c>
      <c r="S20" s="104"/>
    </row>
    <row r="21" spans="1:19" s="68" customFormat="1" ht="12" customHeight="1">
      <c r="A21" s="386" t="s">
        <v>103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4"/>
      <c r="M21" s="102"/>
      <c r="N21" s="102"/>
      <c r="O21" s="102"/>
      <c r="P21" s="102"/>
      <c r="Q21" s="102"/>
      <c r="R21" s="102"/>
      <c r="S21" s="102"/>
    </row>
    <row r="22" spans="1:19" ht="12" customHeight="1">
      <c r="A22" s="387" t="s">
        <v>104</v>
      </c>
      <c r="B22" s="104">
        <v>311</v>
      </c>
      <c r="C22" s="104">
        <v>272</v>
      </c>
      <c r="D22" s="104">
        <v>76</v>
      </c>
      <c r="E22" s="104">
        <f aca="true" t="shared" si="4" ref="E22:E47">SUM(B22:C22)</f>
        <v>583</v>
      </c>
      <c r="F22" s="104">
        <v>502</v>
      </c>
      <c r="G22" s="104">
        <v>30</v>
      </c>
      <c r="H22" s="104">
        <v>22</v>
      </c>
      <c r="I22" s="104">
        <f aca="true" t="shared" si="5" ref="I22:I27">SUM(F22:G22)</f>
        <v>532</v>
      </c>
      <c r="J22" s="104">
        <f aca="true" t="shared" si="6" ref="J22:J47">E22-I22</f>
        <v>51</v>
      </c>
      <c r="K22" s="104">
        <f aca="true" t="shared" si="7" ref="K22:K47">-J22</f>
        <v>-51</v>
      </c>
      <c r="L22" s="104">
        <f aca="true" t="shared" si="8" ref="L22:L49">SUM(Q22:S22,N22,M22)</f>
        <v>-51</v>
      </c>
      <c r="M22" s="104"/>
      <c r="N22" s="104">
        <f aca="true" t="shared" si="9" ref="N22:N47">O22-P22</f>
        <v>-47</v>
      </c>
      <c r="O22" s="104">
        <v>362</v>
      </c>
      <c r="P22" s="104">
        <v>409</v>
      </c>
      <c r="Q22" s="104">
        <v>-1</v>
      </c>
      <c r="R22" s="104">
        <v>-3</v>
      </c>
      <c r="S22" s="104"/>
    </row>
    <row r="23" spans="1:19" ht="12" customHeight="1">
      <c r="A23" s="387" t="s">
        <v>105</v>
      </c>
      <c r="B23" s="104">
        <f>148</f>
        <v>148</v>
      </c>
      <c r="C23" s="104">
        <f>222-1</f>
        <v>221</v>
      </c>
      <c r="D23" s="104">
        <v>75</v>
      </c>
      <c r="E23" s="104">
        <f t="shared" si="4"/>
        <v>369</v>
      </c>
      <c r="F23" s="104">
        <v>321</v>
      </c>
      <c r="G23" s="104">
        <v>6</v>
      </c>
      <c r="H23" s="104"/>
      <c r="I23" s="104">
        <f t="shared" si="5"/>
        <v>327</v>
      </c>
      <c r="J23" s="104">
        <f t="shared" si="6"/>
        <v>42</v>
      </c>
      <c r="K23" s="104">
        <f t="shared" si="7"/>
        <v>-42</v>
      </c>
      <c r="L23" s="104">
        <f t="shared" si="8"/>
        <v>-42</v>
      </c>
      <c r="M23" s="104">
        <v>-1</v>
      </c>
      <c r="N23" s="104">
        <f t="shared" si="9"/>
        <v>-42</v>
      </c>
      <c r="O23" s="104">
        <v>85</v>
      </c>
      <c r="P23" s="104">
        <v>127</v>
      </c>
      <c r="Q23" s="104"/>
      <c r="R23" s="104">
        <v>1</v>
      </c>
      <c r="S23" s="104"/>
    </row>
    <row r="24" spans="1:19" ht="12" customHeight="1">
      <c r="A24" s="387" t="s">
        <v>106</v>
      </c>
      <c r="B24" s="104">
        <f>149-1</f>
        <v>148</v>
      </c>
      <c r="C24" s="104">
        <v>302</v>
      </c>
      <c r="D24" s="104">
        <v>117</v>
      </c>
      <c r="E24" s="104">
        <f t="shared" si="4"/>
        <v>450</v>
      </c>
      <c r="F24" s="104">
        <v>428</v>
      </c>
      <c r="G24" s="104">
        <v>9</v>
      </c>
      <c r="H24" s="104"/>
      <c r="I24" s="104">
        <f t="shared" si="5"/>
        <v>437</v>
      </c>
      <c r="J24" s="104">
        <f t="shared" si="6"/>
        <v>13</v>
      </c>
      <c r="K24" s="104">
        <f t="shared" si="7"/>
        <v>-13</v>
      </c>
      <c r="L24" s="104">
        <f t="shared" si="8"/>
        <v>-13</v>
      </c>
      <c r="M24" s="104">
        <v>4</v>
      </c>
      <c r="N24" s="104">
        <f t="shared" si="9"/>
        <v>-96</v>
      </c>
      <c r="O24" s="104">
        <v>61</v>
      </c>
      <c r="P24" s="104">
        <v>157</v>
      </c>
      <c r="Q24" s="104"/>
      <c r="R24" s="104">
        <v>-1</v>
      </c>
      <c r="S24" s="104">
        <v>80</v>
      </c>
    </row>
    <row r="25" spans="1:19" ht="12" customHeight="1">
      <c r="A25" s="387" t="s">
        <v>107</v>
      </c>
      <c r="B25" s="104">
        <f>321</f>
        <v>321</v>
      </c>
      <c r="C25" s="104">
        <v>383</v>
      </c>
      <c r="D25" s="104">
        <v>113</v>
      </c>
      <c r="E25" s="104">
        <f t="shared" si="4"/>
        <v>704</v>
      </c>
      <c r="F25" s="104">
        <v>571</v>
      </c>
      <c r="G25" s="104">
        <v>25</v>
      </c>
      <c r="H25" s="104"/>
      <c r="I25" s="104">
        <f t="shared" si="5"/>
        <v>596</v>
      </c>
      <c r="J25" s="104">
        <f t="shared" si="6"/>
        <v>108</v>
      </c>
      <c r="K25" s="104">
        <f t="shared" si="7"/>
        <v>-108</v>
      </c>
      <c r="L25" s="104">
        <f t="shared" si="8"/>
        <v>-108</v>
      </c>
      <c r="M25" s="104">
        <v>-3</v>
      </c>
      <c r="N25" s="104">
        <f t="shared" si="9"/>
        <v>-105</v>
      </c>
      <c r="O25" s="104">
        <v>159</v>
      </c>
      <c r="P25" s="104">
        <v>264</v>
      </c>
      <c r="Q25" s="104"/>
      <c r="R25" s="104"/>
      <c r="S25" s="104"/>
    </row>
    <row r="26" spans="1:19" ht="12" customHeight="1">
      <c r="A26" s="387" t="s">
        <v>108</v>
      </c>
      <c r="B26" s="104">
        <f>535</f>
        <v>535</v>
      </c>
      <c r="C26" s="104">
        <v>472</v>
      </c>
      <c r="D26" s="104">
        <v>139</v>
      </c>
      <c r="E26" s="104">
        <f t="shared" si="4"/>
        <v>1007</v>
      </c>
      <c r="F26" s="104">
        <v>795</v>
      </c>
      <c r="G26" s="104">
        <v>30</v>
      </c>
      <c r="H26" s="104">
        <v>11</v>
      </c>
      <c r="I26" s="104">
        <f t="shared" si="5"/>
        <v>825</v>
      </c>
      <c r="J26" s="104">
        <f t="shared" si="6"/>
        <v>182</v>
      </c>
      <c r="K26" s="104">
        <f t="shared" si="7"/>
        <v>-182</v>
      </c>
      <c r="L26" s="104">
        <f t="shared" si="8"/>
        <v>-182</v>
      </c>
      <c r="M26" s="104">
        <v>-26</v>
      </c>
      <c r="N26" s="104">
        <f t="shared" si="9"/>
        <v>-154</v>
      </c>
      <c r="O26" s="104">
        <v>159</v>
      </c>
      <c r="P26" s="104">
        <f>314-1</f>
        <v>313</v>
      </c>
      <c r="Q26" s="104">
        <v>-1</v>
      </c>
      <c r="R26" s="104"/>
      <c r="S26" s="104">
        <v>-1</v>
      </c>
    </row>
    <row r="27" spans="1:19" ht="12" customHeight="1">
      <c r="A27" s="387" t="s">
        <v>109</v>
      </c>
      <c r="B27" s="104">
        <f>208</f>
        <v>208</v>
      </c>
      <c r="C27" s="104">
        <f>355-1</f>
        <v>354</v>
      </c>
      <c r="D27" s="104">
        <v>151</v>
      </c>
      <c r="E27" s="104">
        <f t="shared" si="4"/>
        <v>562</v>
      </c>
      <c r="F27" s="104">
        <v>474</v>
      </c>
      <c r="G27" s="104">
        <v>12</v>
      </c>
      <c r="H27" s="104">
        <v>5</v>
      </c>
      <c r="I27" s="104">
        <f t="shared" si="5"/>
        <v>486</v>
      </c>
      <c r="J27" s="104">
        <f t="shared" si="6"/>
        <v>76</v>
      </c>
      <c r="K27" s="104">
        <f t="shared" si="7"/>
        <v>-76</v>
      </c>
      <c r="L27" s="104">
        <f t="shared" si="8"/>
        <v>-76</v>
      </c>
      <c r="M27" s="104">
        <v>-4</v>
      </c>
      <c r="N27" s="104">
        <f t="shared" si="9"/>
        <v>-94</v>
      </c>
      <c r="O27" s="104">
        <v>114</v>
      </c>
      <c r="P27" s="104">
        <v>208</v>
      </c>
      <c r="Q27" s="104"/>
      <c r="R27" s="104"/>
      <c r="S27" s="104">
        <v>22</v>
      </c>
    </row>
    <row r="28" spans="1:19" ht="12" customHeight="1">
      <c r="A28" s="387" t="s">
        <v>110</v>
      </c>
      <c r="B28" s="104">
        <f>279</f>
        <v>279</v>
      </c>
      <c r="C28" s="104">
        <v>270</v>
      </c>
      <c r="D28" s="104">
        <v>100</v>
      </c>
      <c r="E28" s="104">
        <f t="shared" si="4"/>
        <v>549</v>
      </c>
      <c r="F28" s="104">
        <v>510</v>
      </c>
      <c r="G28" s="104">
        <v>15</v>
      </c>
      <c r="H28" s="104">
        <v>10</v>
      </c>
      <c r="I28" s="104">
        <f>SUM(F28:G28)+1</f>
        <v>526</v>
      </c>
      <c r="J28" s="104">
        <f t="shared" si="6"/>
        <v>23</v>
      </c>
      <c r="K28" s="104">
        <f t="shared" si="7"/>
        <v>-23</v>
      </c>
      <c r="L28" s="104">
        <f t="shared" si="8"/>
        <v>-23</v>
      </c>
      <c r="M28" s="104">
        <v>-3</v>
      </c>
      <c r="N28" s="104">
        <f t="shared" si="9"/>
        <v>-20</v>
      </c>
      <c r="O28" s="104">
        <v>197</v>
      </c>
      <c r="P28" s="104">
        <v>217</v>
      </c>
      <c r="Q28" s="104"/>
      <c r="R28" s="104"/>
      <c r="S28" s="104"/>
    </row>
    <row r="29" spans="1:19" ht="12" customHeight="1">
      <c r="A29" s="387" t="s">
        <v>111</v>
      </c>
      <c r="B29" s="104">
        <f>182-1</f>
        <v>181</v>
      </c>
      <c r="C29" s="104">
        <v>184</v>
      </c>
      <c r="D29" s="104">
        <v>60</v>
      </c>
      <c r="E29" s="104">
        <f t="shared" si="4"/>
        <v>365</v>
      </c>
      <c r="F29" s="104">
        <v>300</v>
      </c>
      <c r="G29" s="104">
        <v>8</v>
      </c>
      <c r="H29" s="104"/>
      <c r="I29" s="104">
        <f>SUM(F29:G29)</f>
        <v>308</v>
      </c>
      <c r="J29" s="104">
        <f t="shared" si="6"/>
        <v>57</v>
      </c>
      <c r="K29" s="104">
        <f t="shared" si="7"/>
        <v>-57</v>
      </c>
      <c r="L29" s="104">
        <f t="shared" si="8"/>
        <v>-57</v>
      </c>
      <c r="M29" s="104">
        <v>-2</v>
      </c>
      <c r="N29" s="104">
        <f t="shared" si="9"/>
        <v>-55</v>
      </c>
      <c r="O29" s="104">
        <v>269</v>
      </c>
      <c r="P29" s="104">
        <v>324</v>
      </c>
      <c r="Q29" s="104"/>
      <c r="R29" s="104"/>
      <c r="S29" s="104"/>
    </row>
    <row r="30" spans="1:19" ht="12" customHeight="1">
      <c r="A30" s="387" t="s">
        <v>112</v>
      </c>
      <c r="B30" s="104">
        <f>207</f>
        <v>207</v>
      </c>
      <c r="C30" s="104">
        <v>276</v>
      </c>
      <c r="D30" s="104">
        <v>100</v>
      </c>
      <c r="E30" s="104">
        <f t="shared" si="4"/>
        <v>483</v>
      </c>
      <c r="F30" s="104">
        <v>421</v>
      </c>
      <c r="G30" s="104">
        <v>12</v>
      </c>
      <c r="H30" s="104"/>
      <c r="I30" s="104">
        <f>SUM(F30:G30)</f>
        <v>433</v>
      </c>
      <c r="J30" s="104">
        <f t="shared" si="6"/>
        <v>50</v>
      </c>
      <c r="K30" s="104">
        <f t="shared" si="7"/>
        <v>-50</v>
      </c>
      <c r="L30" s="104">
        <f t="shared" si="8"/>
        <v>-50</v>
      </c>
      <c r="M30" s="104">
        <v>-3</v>
      </c>
      <c r="N30" s="104">
        <f t="shared" si="9"/>
        <v>-47</v>
      </c>
      <c r="O30" s="104">
        <v>112</v>
      </c>
      <c r="P30" s="104">
        <v>159</v>
      </c>
      <c r="Q30" s="104"/>
      <c r="R30" s="104"/>
      <c r="S30" s="104"/>
    </row>
    <row r="31" spans="1:19" ht="12" customHeight="1">
      <c r="A31" s="387" t="s">
        <v>113</v>
      </c>
      <c r="B31" s="104">
        <f>321</f>
        <v>321</v>
      </c>
      <c r="C31" s="104">
        <f>382-1</f>
        <v>381</v>
      </c>
      <c r="D31" s="104">
        <v>153</v>
      </c>
      <c r="E31" s="104">
        <f t="shared" si="4"/>
        <v>702</v>
      </c>
      <c r="F31" s="104">
        <v>655</v>
      </c>
      <c r="G31" s="104">
        <v>7</v>
      </c>
      <c r="H31" s="104"/>
      <c r="I31" s="104">
        <f>SUM(F31:G31)+1</f>
        <v>663</v>
      </c>
      <c r="J31" s="104">
        <f t="shared" si="6"/>
        <v>39</v>
      </c>
      <c r="K31" s="104">
        <f t="shared" si="7"/>
        <v>-39</v>
      </c>
      <c r="L31" s="104">
        <f t="shared" si="8"/>
        <v>-39</v>
      </c>
      <c r="M31" s="104">
        <v>-18</v>
      </c>
      <c r="N31" s="104">
        <f t="shared" si="9"/>
        <v>-20</v>
      </c>
      <c r="O31" s="104">
        <v>271</v>
      </c>
      <c r="P31" s="104">
        <v>291</v>
      </c>
      <c r="Q31" s="104"/>
      <c r="R31" s="104">
        <v>-1</v>
      </c>
      <c r="S31" s="104"/>
    </row>
    <row r="32" spans="1:19" ht="12" customHeight="1">
      <c r="A32" s="387" t="s">
        <v>114</v>
      </c>
      <c r="B32" s="104">
        <f>150</f>
        <v>150</v>
      </c>
      <c r="C32" s="104">
        <v>273</v>
      </c>
      <c r="D32" s="104">
        <v>122</v>
      </c>
      <c r="E32" s="104">
        <f t="shared" si="4"/>
        <v>423</v>
      </c>
      <c r="F32" s="104">
        <v>381</v>
      </c>
      <c r="G32" s="104">
        <v>7</v>
      </c>
      <c r="H32" s="104"/>
      <c r="I32" s="104">
        <f>SUM(F32:G32)</f>
        <v>388</v>
      </c>
      <c r="J32" s="104">
        <f t="shared" si="6"/>
        <v>35</v>
      </c>
      <c r="K32" s="104">
        <f t="shared" si="7"/>
        <v>-35</v>
      </c>
      <c r="L32" s="104">
        <f t="shared" si="8"/>
        <v>-35</v>
      </c>
      <c r="M32" s="104">
        <v>31</v>
      </c>
      <c r="N32" s="104">
        <f t="shared" si="9"/>
        <v>-66</v>
      </c>
      <c r="O32" s="104">
        <v>67</v>
      </c>
      <c r="P32" s="104">
        <v>133</v>
      </c>
      <c r="Q32" s="104"/>
      <c r="R32" s="104"/>
      <c r="S32" s="104"/>
    </row>
    <row r="33" spans="1:19" ht="12" customHeight="1">
      <c r="A33" s="387" t="s">
        <v>115</v>
      </c>
      <c r="B33" s="104">
        <f>278</f>
        <v>278</v>
      </c>
      <c r="C33" s="104">
        <v>281</v>
      </c>
      <c r="D33" s="104">
        <v>83</v>
      </c>
      <c r="E33" s="104">
        <f t="shared" si="4"/>
        <v>559</v>
      </c>
      <c r="F33" s="104">
        <v>498</v>
      </c>
      <c r="G33" s="104">
        <v>14</v>
      </c>
      <c r="H33" s="104"/>
      <c r="I33" s="104">
        <f>SUM(F33:G33)</f>
        <v>512</v>
      </c>
      <c r="J33" s="104">
        <f t="shared" si="6"/>
        <v>47</v>
      </c>
      <c r="K33" s="104">
        <f t="shared" si="7"/>
        <v>-47</v>
      </c>
      <c r="L33" s="104">
        <f t="shared" si="8"/>
        <v>-47</v>
      </c>
      <c r="M33" s="104">
        <v>9</v>
      </c>
      <c r="N33" s="104">
        <f t="shared" si="9"/>
        <v>-56</v>
      </c>
      <c r="O33" s="104">
        <v>462</v>
      </c>
      <c r="P33" s="104">
        <v>518</v>
      </c>
      <c r="Q33" s="104"/>
      <c r="R33" s="104"/>
      <c r="S33" s="104"/>
    </row>
    <row r="34" spans="1:19" ht="12" customHeight="1">
      <c r="A34" s="387" t="s">
        <v>116</v>
      </c>
      <c r="B34" s="104">
        <f>280</f>
        <v>280</v>
      </c>
      <c r="C34" s="104">
        <f>321-1</f>
        <v>320</v>
      </c>
      <c r="D34" s="104">
        <v>100</v>
      </c>
      <c r="E34" s="104">
        <f t="shared" si="4"/>
        <v>600</v>
      </c>
      <c r="F34" s="104">
        <v>566</v>
      </c>
      <c r="G34" s="104">
        <v>12</v>
      </c>
      <c r="H34" s="104">
        <v>1</v>
      </c>
      <c r="I34" s="104">
        <f>SUM(F34:G34)</f>
        <v>578</v>
      </c>
      <c r="J34" s="104">
        <f t="shared" si="6"/>
        <v>22</v>
      </c>
      <c r="K34" s="104">
        <f t="shared" si="7"/>
        <v>-22</v>
      </c>
      <c r="L34" s="104">
        <f t="shared" si="8"/>
        <v>-22</v>
      </c>
      <c r="M34" s="104">
        <v>-14</v>
      </c>
      <c r="N34" s="104">
        <f t="shared" si="9"/>
        <v>-10</v>
      </c>
      <c r="O34" s="104">
        <v>136</v>
      </c>
      <c r="P34" s="104">
        <v>146</v>
      </c>
      <c r="Q34" s="104"/>
      <c r="R34" s="104">
        <v>2</v>
      </c>
      <c r="S34" s="104"/>
    </row>
    <row r="35" spans="1:19" ht="12" customHeight="1">
      <c r="A35" s="387" t="s">
        <v>117</v>
      </c>
      <c r="B35" s="104">
        <f>316</f>
        <v>316</v>
      </c>
      <c r="C35" s="104">
        <v>271</v>
      </c>
      <c r="D35" s="104">
        <v>95</v>
      </c>
      <c r="E35" s="104">
        <f t="shared" si="4"/>
        <v>587</v>
      </c>
      <c r="F35" s="104">
        <v>508</v>
      </c>
      <c r="G35" s="104">
        <v>33</v>
      </c>
      <c r="H35" s="104">
        <v>15</v>
      </c>
      <c r="I35" s="104">
        <f>SUM(F35:G35)</f>
        <v>541</v>
      </c>
      <c r="J35" s="104">
        <f t="shared" si="6"/>
        <v>46</v>
      </c>
      <c r="K35" s="104">
        <f t="shared" si="7"/>
        <v>-46</v>
      </c>
      <c r="L35" s="104">
        <f t="shared" si="8"/>
        <v>-46</v>
      </c>
      <c r="M35" s="104">
        <v>-24</v>
      </c>
      <c r="N35" s="104">
        <f t="shared" si="9"/>
        <v>-19</v>
      </c>
      <c r="O35" s="104">
        <v>209</v>
      </c>
      <c r="P35" s="104">
        <v>228</v>
      </c>
      <c r="Q35" s="104">
        <v>-3</v>
      </c>
      <c r="R35" s="104"/>
      <c r="S35" s="104"/>
    </row>
    <row r="36" spans="1:19" ht="12" customHeight="1">
      <c r="A36" s="387" t="s">
        <v>118</v>
      </c>
      <c r="B36" s="104">
        <f>162</f>
        <v>162</v>
      </c>
      <c r="C36" s="104">
        <v>268</v>
      </c>
      <c r="D36" s="104">
        <v>107</v>
      </c>
      <c r="E36" s="104">
        <f t="shared" si="4"/>
        <v>430</v>
      </c>
      <c r="F36" s="104">
        <v>314</v>
      </c>
      <c r="G36" s="104">
        <v>6</v>
      </c>
      <c r="H36" s="104"/>
      <c r="I36" s="104">
        <f>SUM(F36:G36)</f>
        <v>320</v>
      </c>
      <c r="J36" s="104">
        <f t="shared" si="6"/>
        <v>110</v>
      </c>
      <c r="K36" s="104">
        <f t="shared" si="7"/>
        <v>-110</v>
      </c>
      <c r="L36" s="104">
        <f t="shared" si="8"/>
        <v>-110</v>
      </c>
      <c r="M36" s="104">
        <v>-5</v>
      </c>
      <c r="N36" s="104">
        <f t="shared" si="9"/>
        <v>-105</v>
      </c>
      <c r="O36" s="104">
        <v>59</v>
      </c>
      <c r="P36" s="104">
        <v>164</v>
      </c>
      <c r="Q36" s="104"/>
      <c r="R36" s="104"/>
      <c r="S36" s="104"/>
    </row>
    <row r="37" spans="1:19" ht="12" customHeight="1">
      <c r="A37" s="387" t="s">
        <v>119</v>
      </c>
      <c r="B37" s="104">
        <f>305</f>
        <v>305</v>
      </c>
      <c r="C37" s="104">
        <v>370</v>
      </c>
      <c r="D37" s="104">
        <v>124</v>
      </c>
      <c r="E37" s="104">
        <f t="shared" si="4"/>
        <v>675</v>
      </c>
      <c r="F37" s="104">
        <v>557</v>
      </c>
      <c r="G37" s="104">
        <v>19</v>
      </c>
      <c r="H37" s="104">
        <v>4</v>
      </c>
      <c r="I37" s="104">
        <f>SUM(F37:G37)+1</f>
        <v>577</v>
      </c>
      <c r="J37" s="104">
        <f t="shared" si="6"/>
        <v>98</v>
      </c>
      <c r="K37" s="104">
        <f t="shared" si="7"/>
        <v>-98</v>
      </c>
      <c r="L37" s="104">
        <f t="shared" si="8"/>
        <v>-98</v>
      </c>
      <c r="M37" s="104">
        <v>15</v>
      </c>
      <c r="N37" s="104">
        <f t="shared" si="9"/>
        <v>-109</v>
      </c>
      <c r="O37" s="104">
        <v>190</v>
      </c>
      <c r="P37" s="104">
        <v>299</v>
      </c>
      <c r="Q37" s="104"/>
      <c r="R37" s="104">
        <v>-4</v>
      </c>
      <c r="S37" s="104"/>
    </row>
    <row r="38" spans="1:19" ht="12" customHeight="1">
      <c r="A38" s="387" t="s">
        <v>120</v>
      </c>
      <c r="B38" s="104">
        <f>558</f>
        <v>558</v>
      </c>
      <c r="C38" s="104">
        <v>327</v>
      </c>
      <c r="D38" s="104">
        <v>86</v>
      </c>
      <c r="E38" s="104">
        <f t="shared" si="4"/>
        <v>885</v>
      </c>
      <c r="F38" s="104">
        <v>747</v>
      </c>
      <c r="G38" s="104">
        <v>44</v>
      </c>
      <c r="H38" s="104">
        <v>41</v>
      </c>
      <c r="I38" s="104">
        <f aca="true" t="shared" si="10" ref="I38:I46">SUM(F38:G38)</f>
        <v>791</v>
      </c>
      <c r="J38" s="104">
        <f t="shared" si="6"/>
        <v>94</v>
      </c>
      <c r="K38" s="104">
        <f t="shared" si="7"/>
        <v>-94</v>
      </c>
      <c r="L38" s="104">
        <f t="shared" si="8"/>
        <v>-94</v>
      </c>
      <c r="M38" s="104">
        <v>-28</v>
      </c>
      <c r="N38" s="104">
        <f t="shared" si="9"/>
        <v>-75</v>
      </c>
      <c r="O38" s="104">
        <v>314</v>
      </c>
      <c r="P38" s="104">
        <v>389</v>
      </c>
      <c r="Q38" s="104">
        <v>-1</v>
      </c>
      <c r="R38" s="104"/>
      <c r="S38" s="104">
        <v>10</v>
      </c>
    </row>
    <row r="39" spans="1:19" ht="12" customHeight="1">
      <c r="A39" s="387" t="s">
        <v>121</v>
      </c>
      <c r="B39" s="104">
        <f>232</f>
        <v>232</v>
      </c>
      <c r="C39" s="104">
        <v>395</v>
      </c>
      <c r="D39" s="104">
        <v>137</v>
      </c>
      <c r="E39" s="104">
        <f t="shared" si="4"/>
        <v>627</v>
      </c>
      <c r="F39" s="104">
        <v>535</v>
      </c>
      <c r="G39" s="104">
        <v>3</v>
      </c>
      <c r="H39" s="104"/>
      <c r="I39" s="104">
        <f t="shared" si="10"/>
        <v>538</v>
      </c>
      <c r="J39" s="104">
        <f t="shared" si="6"/>
        <v>89</v>
      </c>
      <c r="K39" s="104">
        <f t="shared" si="7"/>
        <v>-89</v>
      </c>
      <c r="L39" s="104">
        <f t="shared" si="8"/>
        <v>-89</v>
      </c>
      <c r="M39" s="104">
        <v>-29</v>
      </c>
      <c r="N39" s="104">
        <f t="shared" si="9"/>
        <v>-140</v>
      </c>
      <c r="O39" s="104">
        <v>148</v>
      </c>
      <c r="P39" s="104">
        <v>288</v>
      </c>
      <c r="Q39" s="104">
        <v>-5</v>
      </c>
      <c r="R39" s="104"/>
      <c r="S39" s="104">
        <v>85</v>
      </c>
    </row>
    <row r="40" spans="1:19" ht="12" customHeight="1">
      <c r="A40" s="387" t="s">
        <v>122</v>
      </c>
      <c r="B40" s="104">
        <f>162</f>
        <v>162</v>
      </c>
      <c r="C40" s="104">
        <v>403</v>
      </c>
      <c r="D40" s="104">
        <v>175</v>
      </c>
      <c r="E40" s="104">
        <f t="shared" si="4"/>
        <v>565</v>
      </c>
      <c r="F40" s="104">
        <v>489</v>
      </c>
      <c r="G40" s="104">
        <v>15</v>
      </c>
      <c r="H40" s="104"/>
      <c r="I40" s="104">
        <f t="shared" si="10"/>
        <v>504</v>
      </c>
      <c r="J40" s="104">
        <f t="shared" si="6"/>
        <v>61</v>
      </c>
      <c r="K40" s="104">
        <f t="shared" si="7"/>
        <v>-61</v>
      </c>
      <c r="L40" s="104">
        <f t="shared" si="8"/>
        <v>-61</v>
      </c>
      <c r="M40" s="104">
        <v>-7</v>
      </c>
      <c r="N40" s="104">
        <f t="shared" si="9"/>
        <v>-54</v>
      </c>
      <c r="O40" s="104">
        <v>105</v>
      </c>
      <c r="P40" s="104">
        <v>159</v>
      </c>
      <c r="Q40" s="104"/>
      <c r="R40" s="104"/>
      <c r="S40" s="104"/>
    </row>
    <row r="41" spans="1:19" ht="12" customHeight="1">
      <c r="A41" s="387" t="s">
        <v>123</v>
      </c>
      <c r="B41" s="104">
        <f>1670</f>
        <v>1670</v>
      </c>
      <c r="C41" s="104">
        <v>606</v>
      </c>
      <c r="D41" s="104">
        <v>123</v>
      </c>
      <c r="E41" s="104">
        <f t="shared" si="4"/>
        <v>2276</v>
      </c>
      <c r="F41" s="104">
        <v>1995</v>
      </c>
      <c r="G41" s="104">
        <v>217</v>
      </c>
      <c r="H41" s="104">
        <v>189</v>
      </c>
      <c r="I41" s="104">
        <f t="shared" si="10"/>
        <v>2212</v>
      </c>
      <c r="J41" s="104">
        <f t="shared" si="6"/>
        <v>64</v>
      </c>
      <c r="K41" s="104">
        <f t="shared" si="7"/>
        <v>-64</v>
      </c>
      <c r="L41" s="104">
        <f t="shared" si="8"/>
        <v>-64</v>
      </c>
      <c r="M41" s="104">
        <v>177</v>
      </c>
      <c r="N41" s="104">
        <f t="shared" si="9"/>
        <v>-254</v>
      </c>
      <c r="O41" s="104">
        <v>1098</v>
      </c>
      <c r="P41" s="104">
        <v>1352</v>
      </c>
      <c r="Q41" s="104"/>
      <c r="R41" s="104"/>
      <c r="S41" s="104">
        <v>13</v>
      </c>
    </row>
    <row r="42" spans="1:19" ht="12" customHeight="1">
      <c r="A42" s="387" t="s">
        <v>124</v>
      </c>
      <c r="B42" s="104">
        <f>293</f>
        <v>293</v>
      </c>
      <c r="C42" s="104">
        <f>348-1</f>
        <v>347</v>
      </c>
      <c r="D42" s="104">
        <v>89</v>
      </c>
      <c r="E42" s="104">
        <f t="shared" si="4"/>
        <v>640</v>
      </c>
      <c r="F42" s="104">
        <v>520</v>
      </c>
      <c r="G42" s="104">
        <v>10</v>
      </c>
      <c r="H42" s="104">
        <v>2</v>
      </c>
      <c r="I42" s="104">
        <f t="shared" si="10"/>
        <v>530</v>
      </c>
      <c r="J42" s="104">
        <f t="shared" si="6"/>
        <v>110</v>
      </c>
      <c r="K42" s="104">
        <f t="shared" si="7"/>
        <v>-110</v>
      </c>
      <c r="L42" s="104">
        <f t="shared" si="8"/>
        <v>-110</v>
      </c>
      <c r="M42" s="104">
        <v>6</v>
      </c>
      <c r="N42" s="104">
        <f t="shared" si="9"/>
        <v>-116</v>
      </c>
      <c r="O42" s="104">
        <v>246</v>
      </c>
      <c r="P42" s="104">
        <v>362</v>
      </c>
      <c r="Q42" s="104"/>
      <c r="R42" s="104"/>
      <c r="S42" s="104"/>
    </row>
    <row r="43" spans="1:19" ht="12" customHeight="1">
      <c r="A43" s="387" t="s">
        <v>125</v>
      </c>
      <c r="B43" s="104">
        <f>354</f>
        <v>354</v>
      </c>
      <c r="C43" s="104">
        <f>328-1</f>
        <v>327</v>
      </c>
      <c r="D43" s="104">
        <v>108</v>
      </c>
      <c r="E43" s="104">
        <f t="shared" si="4"/>
        <v>681</v>
      </c>
      <c r="F43" s="104">
        <v>622</v>
      </c>
      <c r="G43" s="104">
        <v>13</v>
      </c>
      <c r="H43" s="104">
        <v>2</v>
      </c>
      <c r="I43" s="104">
        <f t="shared" si="10"/>
        <v>635</v>
      </c>
      <c r="J43" s="104">
        <f t="shared" si="6"/>
        <v>46</v>
      </c>
      <c r="K43" s="104">
        <f t="shared" si="7"/>
        <v>-46</v>
      </c>
      <c r="L43" s="104">
        <f t="shared" si="8"/>
        <v>-46</v>
      </c>
      <c r="M43" s="104">
        <v>8</v>
      </c>
      <c r="N43" s="104">
        <f t="shared" si="9"/>
        <v>-46</v>
      </c>
      <c r="O43" s="104">
        <v>209</v>
      </c>
      <c r="P43" s="104">
        <v>255</v>
      </c>
      <c r="Q43" s="104"/>
      <c r="R43" s="104">
        <v>-8</v>
      </c>
      <c r="S43" s="104"/>
    </row>
    <row r="44" spans="1:19" ht="12" customHeight="1">
      <c r="A44" s="387" t="s">
        <v>126</v>
      </c>
      <c r="B44" s="104">
        <f>418</f>
        <v>418</v>
      </c>
      <c r="C44" s="104">
        <v>491</v>
      </c>
      <c r="D44" s="104">
        <v>126</v>
      </c>
      <c r="E44" s="104">
        <f t="shared" si="4"/>
        <v>909</v>
      </c>
      <c r="F44" s="104">
        <v>810</v>
      </c>
      <c r="G44" s="104">
        <v>94</v>
      </c>
      <c r="H44" s="104">
        <v>2</v>
      </c>
      <c r="I44" s="104">
        <f t="shared" si="10"/>
        <v>904</v>
      </c>
      <c r="J44" s="104">
        <f t="shared" si="6"/>
        <v>5</v>
      </c>
      <c r="K44" s="104">
        <f t="shared" si="7"/>
        <v>-5</v>
      </c>
      <c r="L44" s="104">
        <f t="shared" si="8"/>
        <v>-5</v>
      </c>
      <c r="M44" s="104">
        <v>53</v>
      </c>
      <c r="N44" s="104">
        <f t="shared" si="9"/>
        <v>-57</v>
      </c>
      <c r="O44" s="104">
        <v>365</v>
      </c>
      <c r="P44" s="104">
        <v>422</v>
      </c>
      <c r="Q44" s="104"/>
      <c r="R44" s="104">
        <v>-1</v>
      </c>
      <c r="S44" s="104"/>
    </row>
    <row r="45" spans="1:19" ht="12" customHeight="1">
      <c r="A45" s="387" t="s">
        <v>127</v>
      </c>
      <c r="B45" s="104">
        <f>259</f>
        <v>259</v>
      </c>
      <c r="C45" s="104">
        <v>204</v>
      </c>
      <c r="D45" s="104">
        <v>64</v>
      </c>
      <c r="E45" s="104">
        <f t="shared" si="4"/>
        <v>463</v>
      </c>
      <c r="F45" s="104">
        <v>289</v>
      </c>
      <c r="G45" s="104">
        <v>19</v>
      </c>
      <c r="H45" s="104">
        <v>6</v>
      </c>
      <c r="I45" s="104">
        <f t="shared" si="10"/>
        <v>308</v>
      </c>
      <c r="J45" s="104">
        <f t="shared" si="6"/>
        <v>155</v>
      </c>
      <c r="K45" s="104">
        <f t="shared" si="7"/>
        <v>-155</v>
      </c>
      <c r="L45" s="104">
        <f t="shared" si="8"/>
        <v>-155</v>
      </c>
      <c r="M45" s="104">
        <v>-6</v>
      </c>
      <c r="N45" s="104">
        <f t="shared" si="9"/>
        <v>-151</v>
      </c>
      <c r="O45" s="104">
        <v>75</v>
      </c>
      <c r="P45" s="104">
        <v>226</v>
      </c>
      <c r="Q45" s="104"/>
      <c r="R45" s="104">
        <v>2</v>
      </c>
      <c r="S45" s="104"/>
    </row>
    <row r="46" spans="1:19" ht="12" customHeight="1">
      <c r="A46" s="387" t="s">
        <v>128</v>
      </c>
      <c r="B46" s="104">
        <f>745</f>
        <v>745</v>
      </c>
      <c r="C46" s="104">
        <v>432</v>
      </c>
      <c r="D46" s="104">
        <v>106</v>
      </c>
      <c r="E46" s="104">
        <f t="shared" si="4"/>
        <v>1177</v>
      </c>
      <c r="F46" s="104">
        <v>990</v>
      </c>
      <c r="G46" s="104">
        <v>56</v>
      </c>
      <c r="H46" s="104">
        <v>28</v>
      </c>
      <c r="I46" s="104">
        <f t="shared" si="10"/>
        <v>1046</v>
      </c>
      <c r="J46" s="104">
        <f t="shared" si="6"/>
        <v>131</v>
      </c>
      <c r="K46" s="104">
        <f t="shared" si="7"/>
        <v>-131</v>
      </c>
      <c r="L46" s="104">
        <f t="shared" si="8"/>
        <v>-131</v>
      </c>
      <c r="M46" s="104">
        <v>-51</v>
      </c>
      <c r="N46" s="104">
        <f t="shared" si="9"/>
        <v>-102</v>
      </c>
      <c r="O46" s="104">
        <v>268</v>
      </c>
      <c r="P46" s="104">
        <v>370</v>
      </c>
      <c r="Q46" s="104">
        <v>-3</v>
      </c>
      <c r="R46" s="104">
        <v>25</v>
      </c>
      <c r="S46" s="104"/>
    </row>
    <row r="47" spans="1:19" ht="12" customHeight="1">
      <c r="A47" s="387" t="s">
        <v>129</v>
      </c>
      <c r="B47" s="104">
        <f>107</f>
        <v>107</v>
      </c>
      <c r="C47" s="104">
        <v>89</v>
      </c>
      <c r="D47" s="104">
        <v>16</v>
      </c>
      <c r="E47" s="104">
        <f t="shared" si="4"/>
        <v>196</v>
      </c>
      <c r="F47" s="104">
        <v>164</v>
      </c>
      <c r="G47" s="104">
        <v>10</v>
      </c>
      <c r="H47" s="104">
        <v>2</v>
      </c>
      <c r="I47" s="104">
        <v>173</v>
      </c>
      <c r="J47" s="104">
        <f t="shared" si="6"/>
        <v>23</v>
      </c>
      <c r="K47" s="104">
        <f t="shared" si="7"/>
        <v>-23</v>
      </c>
      <c r="L47" s="104">
        <f t="shared" si="8"/>
        <v>-23</v>
      </c>
      <c r="M47" s="104">
        <v>-5</v>
      </c>
      <c r="N47" s="104">
        <f t="shared" si="9"/>
        <v>-18</v>
      </c>
      <c r="O47" s="104">
        <v>59</v>
      </c>
      <c r="P47" s="104">
        <v>77</v>
      </c>
      <c r="Q47" s="104"/>
      <c r="R47" s="104"/>
      <c r="S47" s="104"/>
    </row>
    <row r="48" spans="1:19" ht="12" customHeight="1">
      <c r="A48" s="386" t="s">
        <v>130</v>
      </c>
      <c r="B48" s="104">
        <f>SUM(B22:B47)</f>
        <v>8948</v>
      </c>
      <c r="C48" s="104">
        <f>SUM(C22:C47)</f>
        <v>8519</v>
      </c>
      <c r="D48" s="104">
        <f>SUM(D22:D47)</f>
        <v>2745</v>
      </c>
      <c r="E48" s="104">
        <f>SUM(E22:E47)-1</f>
        <v>17466</v>
      </c>
      <c r="F48" s="104">
        <f>SUM(F22:F47)+1</f>
        <v>14963</v>
      </c>
      <c r="G48" s="104">
        <f>SUM(G22:G47)</f>
        <v>726</v>
      </c>
      <c r="H48" s="104">
        <f>SUM(H22:H47)</f>
        <v>340</v>
      </c>
      <c r="I48" s="104">
        <f>SUM(I22:I47)</f>
        <v>15690</v>
      </c>
      <c r="J48" s="104">
        <f>SUM(J22:J47)</f>
        <v>1777</v>
      </c>
      <c r="K48" s="104">
        <f>SUM(K22:K47)</f>
        <v>-1777</v>
      </c>
      <c r="L48" s="104">
        <f t="shared" si="8"/>
        <v>-1777</v>
      </c>
      <c r="M48" s="104">
        <f aca="true" t="shared" si="11" ref="M48:S48">SUM(M22:M47)</f>
        <v>74</v>
      </c>
      <c r="N48" s="104">
        <f t="shared" si="11"/>
        <v>-2058</v>
      </c>
      <c r="O48" s="104">
        <f t="shared" si="11"/>
        <v>5799</v>
      </c>
      <c r="P48" s="104">
        <f t="shared" si="11"/>
        <v>7857</v>
      </c>
      <c r="Q48" s="104">
        <f t="shared" si="11"/>
        <v>-14</v>
      </c>
      <c r="R48" s="104">
        <f t="shared" si="11"/>
        <v>12</v>
      </c>
      <c r="S48" s="104">
        <f t="shared" si="11"/>
        <v>209</v>
      </c>
    </row>
    <row r="49" spans="1:19" ht="12" customHeight="1">
      <c r="A49" s="389" t="s">
        <v>131</v>
      </c>
      <c r="B49" s="103">
        <f>B48+B20</f>
        <v>21292</v>
      </c>
      <c r="C49" s="103">
        <f>C48+C20</f>
        <v>12031</v>
      </c>
      <c r="D49" s="103">
        <f>D48+D20</f>
        <v>2915</v>
      </c>
      <c r="E49" s="103">
        <f>E48+E20+1</f>
        <v>33323</v>
      </c>
      <c r="F49" s="103">
        <f aca="true" t="shared" si="12" ref="F49:K49">F48+F20</f>
        <v>28749</v>
      </c>
      <c r="G49" s="103">
        <f t="shared" si="12"/>
        <v>2627</v>
      </c>
      <c r="H49" s="103">
        <f t="shared" si="12"/>
        <v>2231</v>
      </c>
      <c r="I49" s="103">
        <f t="shared" si="12"/>
        <v>31376</v>
      </c>
      <c r="J49" s="103">
        <f t="shared" si="12"/>
        <v>1947</v>
      </c>
      <c r="K49" s="103">
        <f t="shared" si="12"/>
        <v>-1947</v>
      </c>
      <c r="L49" s="104">
        <f t="shared" si="8"/>
        <v>-1947</v>
      </c>
      <c r="M49" s="103">
        <f aca="true" t="shared" si="13" ref="M49:S49">M48+M20</f>
        <v>59</v>
      </c>
      <c r="N49" s="103">
        <f t="shared" si="13"/>
        <v>-2777</v>
      </c>
      <c r="O49" s="103">
        <f t="shared" si="13"/>
        <v>12039</v>
      </c>
      <c r="P49" s="103">
        <f t="shared" si="13"/>
        <v>14815</v>
      </c>
      <c r="Q49" s="103">
        <f t="shared" si="13"/>
        <v>-18</v>
      </c>
      <c r="R49" s="103">
        <f t="shared" si="13"/>
        <v>580</v>
      </c>
      <c r="S49" s="103">
        <f t="shared" si="13"/>
        <v>209</v>
      </c>
    </row>
    <row r="50" spans="1:19" ht="12" customHeight="1">
      <c r="A50" s="390"/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</row>
    <row r="51" spans="1:9" s="99" customFormat="1" ht="17.25" customHeight="1">
      <c r="A51" s="392" t="s">
        <v>132</v>
      </c>
      <c r="I51" s="99" t="s">
        <v>133</v>
      </c>
    </row>
    <row r="52" s="99" customFormat="1" ht="17.25" customHeight="1">
      <c r="A52" s="392"/>
    </row>
    <row r="53" spans="1:14" s="99" customFormat="1" ht="17.25" customHeight="1">
      <c r="A53" s="393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="99" customFormat="1" ht="17.25" customHeight="1">
      <c r="A54" s="392"/>
    </row>
    <row r="55" spans="1:15" s="99" customFormat="1" ht="17.25" customHeight="1">
      <c r="A55" s="394"/>
      <c r="B55" s="395"/>
      <c r="C55" s="33"/>
      <c r="D55" s="33"/>
      <c r="E55" s="33"/>
      <c r="F55" s="33"/>
      <c r="G55" s="33"/>
      <c r="H55" s="33"/>
      <c r="J55" s="106"/>
      <c r="K55" s="106"/>
      <c r="L55" s="106"/>
      <c r="M55" s="106"/>
      <c r="N55" s="106"/>
      <c r="O55" s="106"/>
    </row>
    <row r="56" s="299" customFormat="1" ht="17.25" customHeight="1">
      <c r="A56" s="396"/>
    </row>
    <row r="58" spans="1:10" ht="17.25" customHeight="1">
      <c r="A58" s="181" t="s">
        <v>407</v>
      </c>
      <c r="B58" s="1"/>
      <c r="C58" s="1"/>
      <c r="D58" s="315"/>
      <c r="E58" s="413"/>
      <c r="F58" s="315"/>
      <c r="G58" s="1"/>
      <c r="H58" s="315"/>
      <c r="I58" s="315"/>
      <c r="J58" s="315" t="s">
        <v>296</v>
      </c>
    </row>
    <row r="59" spans="1:14" s="33" customFormat="1" ht="17.25" customHeight="1">
      <c r="A59" s="181"/>
      <c r="B59" s="1"/>
      <c r="C59" s="1"/>
      <c r="D59" s="1"/>
      <c r="E59" s="413"/>
      <c r="F59" s="247"/>
      <c r="G59" s="247"/>
      <c r="H59" s="247"/>
      <c r="I59" s="247"/>
      <c r="J59" s="247"/>
      <c r="K59" s="99"/>
      <c r="L59" s="99"/>
      <c r="M59" s="99"/>
      <c r="N59" s="3"/>
    </row>
    <row r="60" ht="17.25" customHeight="1">
      <c r="A60" s="44"/>
    </row>
    <row r="63" spans="1:3" ht="17.25" customHeight="1">
      <c r="A63" s="609" t="s">
        <v>134</v>
      </c>
      <c r="B63" s="609"/>
      <c r="C63" s="609"/>
    </row>
    <row r="64" spans="1:3" ht="17.25" customHeight="1">
      <c r="A64" s="609" t="s">
        <v>562</v>
      </c>
      <c r="B64" s="609"/>
      <c r="C64" s="609"/>
    </row>
    <row r="68" s="8" customFormat="1" ht="17.25" customHeight="1">
      <c r="A68" s="44"/>
    </row>
  </sheetData>
  <mergeCells count="16">
    <mergeCell ref="A63:C63"/>
    <mergeCell ref="A64:C64"/>
    <mergeCell ref="A4:S4"/>
    <mergeCell ref="A5:S5"/>
    <mergeCell ref="A8:A10"/>
    <mergeCell ref="J8:J10"/>
    <mergeCell ref="K8:K10"/>
    <mergeCell ref="S8:S10"/>
    <mergeCell ref="B9:B10"/>
    <mergeCell ref="C9:C10"/>
    <mergeCell ref="H9:H10"/>
    <mergeCell ref="I9:I10"/>
    <mergeCell ref="D9:D10"/>
    <mergeCell ref="E9:E10"/>
    <mergeCell ref="F9:F10"/>
    <mergeCell ref="G9:G10"/>
  </mergeCells>
  <printOptions horizontalCentered="1"/>
  <pageMargins left="0.35433070866141736" right="0.2362204724409449" top="0.66" bottom="0.984251968503937" header="0.5118110236220472" footer="0.5118110236220472"/>
  <pageSetup firstPageNumber="42" useFirstPageNumber="1" horizontalDpi="600" verticalDpi="600" orientation="landscape" paperSize="9" scale="84" r:id="rId1"/>
  <headerFooter alignWithMargins="0">
    <oddFooter>&amp;R&amp;P</oddFooter>
  </headerFooter>
  <rowBreaks count="1" manualBreakCount="1">
    <brk id="35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U69"/>
  <sheetViews>
    <sheetView zoomScaleSheetLayoutView="50" workbookViewId="0" topLeftCell="A1">
      <selection activeCell="A1" sqref="A1"/>
    </sheetView>
  </sheetViews>
  <sheetFormatPr defaultColWidth="9.140625" defaultRowHeight="17.25" customHeight="1"/>
  <cols>
    <col min="1" max="1" width="22.00390625" style="310" customWidth="1"/>
    <col min="2" max="2" width="8.28125" style="282" customWidth="1"/>
    <col min="3" max="3" width="7.57421875" style="282" customWidth="1"/>
    <col min="4" max="4" width="6.7109375" style="282" bestFit="1" customWidth="1"/>
    <col min="5" max="5" width="6.00390625" style="282" customWidth="1"/>
    <col min="6" max="6" width="11.140625" style="282" customWidth="1"/>
    <col min="7" max="7" width="9.8515625" style="282" customWidth="1"/>
    <col min="8" max="8" width="10.7109375" style="282" customWidth="1"/>
    <col min="9" max="9" width="8.28125" style="282" customWidth="1"/>
    <col min="10" max="10" width="6.28125" style="282" hidden="1" customWidth="1"/>
    <col min="11" max="11" width="8.421875" style="282" bestFit="1" customWidth="1"/>
    <col min="12" max="12" width="7.57421875" style="282" bestFit="1" customWidth="1"/>
    <col min="13" max="13" width="10.421875" style="282" bestFit="1" customWidth="1"/>
    <col min="14" max="14" width="7.57421875" style="282" bestFit="1" customWidth="1"/>
    <col min="15" max="15" width="11.140625" style="282" customWidth="1"/>
    <col min="16" max="16" width="10.421875" style="282" bestFit="1" customWidth="1"/>
    <col min="17" max="17" width="11.00390625" style="282" customWidth="1"/>
    <col min="18" max="21" width="7.140625" style="282" customWidth="1"/>
    <col min="22" max="16384" width="9.140625" style="282" customWidth="1"/>
  </cols>
  <sheetData>
    <row r="1" spans="2:17" s="8" customFormat="1" ht="17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8"/>
      <c r="Q1" s="168" t="s">
        <v>135</v>
      </c>
    </row>
    <row r="2" spans="1:17" s="8" customFormat="1" ht="17.25" customHeight="1">
      <c r="A2" s="5" t="s">
        <v>136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8"/>
      <c r="Q2" s="168"/>
    </row>
    <row r="3" spans="1:17" s="3" customFormat="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68"/>
    </row>
    <row r="4" spans="1:21" s="370" customFormat="1" ht="17.25" customHeight="1">
      <c r="A4" s="281" t="s">
        <v>137</v>
      </c>
      <c r="B4" s="281"/>
      <c r="C4" s="281"/>
      <c r="D4" s="281"/>
      <c r="E4" s="281"/>
      <c r="F4" s="281"/>
      <c r="G4" s="314"/>
      <c r="H4" s="314"/>
      <c r="I4" s="281"/>
      <c r="J4" s="281"/>
      <c r="K4" s="281"/>
      <c r="L4" s="281"/>
      <c r="M4" s="281"/>
      <c r="N4" s="281"/>
      <c r="O4" s="281"/>
      <c r="P4" s="281"/>
      <c r="Q4" s="281"/>
      <c r="R4" s="398"/>
      <c r="S4" s="398"/>
      <c r="T4" s="398"/>
      <c r="U4" s="398"/>
    </row>
    <row r="5" spans="1:21" s="370" customFormat="1" ht="17.25" customHeight="1">
      <c r="A5" s="337" t="s">
        <v>301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398"/>
      <c r="S5" s="398"/>
      <c r="T5" s="398"/>
      <c r="U5" s="398"/>
    </row>
    <row r="6" spans="1:21" ht="17.25" customHeight="1">
      <c r="A6" s="399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</row>
    <row r="7" spans="1:21" s="8" customFormat="1" ht="17.25" customHeight="1">
      <c r="A7" s="37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Q7" s="9" t="s">
        <v>413</v>
      </c>
      <c r="S7" s="48"/>
      <c r="T7" s="48"/>
      <c r="U7" s="48"/>
    </row>
    <row r="8" spans="1:21" s="3" customFormat="1" ht="17.25" customHeight="1">
      <c r="A8" s="596" t="s">
        <v>138</v>
      </c>
      <c r="B8" s="596" t="s">
        <v>306</v>
      </c>
      <c r="C8" s="599" t="s">
        <v>84</v>
      </c>
      <c r="D8" s="600"/>
      <c r="E8" s="601"/>
      <c r="F8" s="596" t="s">
        <v>139</v>
      </c>
      <c r="G8" s="596" t="s">
        <v>140</v>
      </c>
      <c r="H8" s="596" t="s">
        <v>141</v>
      </c>
      <c r="I8" s="596" t="s">
        <v>142</v>
      </c>
      <c r="J8" s="400"/>
      <c r="K8" s="401" t="s">
        <v>143</v>
      </c>
      <c r="L8" s="377"/>
      <c r="M8" s="377"/>
      <c r="N8" s="402"/>
      <c r="O8" s="377"/>
      <c r="P8" s="377"/>
      <c r="Q8" s="596" t="s">
        <v>144</v>
      </c>
      <c r="S8" s="5"/>
      <c r="T8" s="5"/>
      <c r="U8" s="5"/>
    </row>
    <row r="9" spans="1:17" s="336" customFormat="1" ht="17.25" customHeight="1">
      <c r="A9" s="597"/>
      <c r="B9" s="597"/>
      <c r="C9" s="602"/>
      <c r="D9" s="600"/>
      <c r="E9" s="601"/>
      <c r="F9" s="597"/>
      <c r="G9" s="597"/>
      <c r="H9" s="597"/>
      <c r="I9" s="597"/>
      <c r="J9" s="403"/>
      <c r="K9" s="603" t="s">
        <v>88</v>
      </c>
      <c r="L9" s="604"/>
      <c r="M9" s="604"/>
      <c r="N9" s="604"/>
      <c r="O9" s="604"/>
      <c r="P9" s="605"/>
      <c r="Q9" s="598"/>
    </row>
    <row r="10" spans="1:21" ht="45">
      <c r="A10" s="595"/>
      <c r="B10" s="595"/>
      <c r="C10" s="10" t="s">
        <v>145</v>
      </c>
      <c r="D10" s="10" t="s">
        <v>146</v>
      </c>
      <c r="E10" s="10" t="s">
        <v>147</v>
      </c>
      <c r="F10" s="595"/>
      <c r="G10" s="595"/>
      <c r="H10" s="595"/>
      <c r="I10" s="595"/>
      <c r="J10" s="381"/>
      <c r="K10" s="404" t="s">
        <v>589</v>
      </c>
      <c r="L10" s="404" t="s">
        <v>148</v>
      </c>
      <c r="M10" s="404" t="s">
        <v>91</v>
      </c>
      <c r="N10" s="404" t="s">
        <v>92</v>
      </c>
      <c r="O10" s="10" t="s">
        <v>149</v>
      </c>
      <c r="P10" s="10" t="s">
        <v>601</v>
      </c>
      <c r="Q10" s="608"/>
      <c r="R10" s="182"/>
      <c r="S10" s="353"/>
      <c r="T10" s="353"/>
      <c r="U10" s="353"/>
    </row>
    <row r="11" spans="1:21" s="8" customFormat="1" ht="17.25" customHeight="1">
      <c r="A11" s="10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/>
      <c r="K11" s="52">
        <v>10</v>
      </c>
      <c r="L11" s="52">
        <v>11</v>
      </c>
      <c r="M11" s="52">
        <v>12</v>
      </c>
      <c r="N11" s="52">
        <v>13</v>
      </c>
      <c r="O11" s="52">
        <v>14</v>
      </c>
      <c r="P11" s="52">
        <v>15</v>
      </c>
      <c r="Q11" s="52">
        <v>16</v>
      </c>
      <c r="R11" s="44"/>
      <c r="S11" s="48"/>
      <c r="T11" s="48"/>
      <c r="U11" s="48"/>
    </row>
    <row r="12" spans="1:18" ht="12" customHeight="1">
      <c r="A12" s="405" t="s">
        <v>95</v>
      </c>
      <c r="B12" s="103">
        <v>1543</v>
      </c>
      <c r="C12" s="104">
        <v>327</v>
      </c>
      <c r="D12" s="104">
        <v>305</v>
      </c>
      <c r="E12" s="103">
        <f aca="true" t="shared" si="0" ref="E12:E18">SUM(C12:D12)</f>
        <v>632</v>
      </c>
      <c r="F12" s="103">
        <f aca="true" t="shared" si="1" ref="F12:F46">B12-E12</f>
        <v>911</v>
      </c>
      <c r="G12" s="136"/>
      <c r="H12" s="136">
        <f aca="true" t="shared" si="2" ref="H12:H17">F12+G12</f>
        <v>911</v>
      </c>
      <c r="I12" s="103">
        <f aca="true" t="shared" si="3" ref="I12:I39">-H12</f>
        <v>-911</v>
      </c>
      <c r="J12" s="103">
        <f aca="true" t="shared" si="4" ref="J12:J39">K12+L12+O12+P12+Q12</f>
        <v>-911</v>
      </c>
      <c r="K12" s="136"/>
      <c r="L12" s="406">
        <f aca="true" t="shared" si="5" ref="L12:L39">M12-N12</f>
        <v>-911</v>
      </c>
      <c r="M12" s="136">
        <v>10791</v>
      </c>
      <c r="N12" s="136">
        <v>11702</v>
      </c>
      <c r="O12" s="136"/>
      <c r="P12" s="136"/>
      <c r="Q12" s="103"/>
      <c r="R12" s="299"/>
    </row>
    <row r="13" spans="1:18" ht="12" customHeight="1">
      <c r="A13" s="405" t="s">
        <v>96</v>
      </c>
      <c r="B13" s="103">
        <v>75</v>
      </c>
      <c r="C13" s="104">
        <v>18</v>
      </c>
      <c r="D13" s="104">
        <v>48</v>
      </c>
      <c r="E13" s="103">
        <f t="shared" si="0"/>
        <v>66</v>
      </c>
      <c r="F13" s="103">
        <f t="shared" si="1"/>
        <v>9</v>
      </c>
      <c r="G13" s="136"/>
      <c r="H13" s="136">
        <f t="shared" si="2"/>
        <v>9</v>
      </c>
      <c r="I13" s="103">
        <f t="shared" si="3"/>
        <v>-9</v>
      </c>
      <c r="J13" s="103">
        <f t="shared" si="4"/>
        <v>-9</v>
      </c>
      <c r="K13" s="136"/>
      <c r="L13" s="406">
        <f t="shared" si="5"/>
        <v>-9</v>
      </c>
      <c r="M13" s="136">
        <v>98</v>
      </c>
      <c r="N13" s="136">
        <v>107</v>
      </c>
      <c r="O13" s="136"/>
      <c r="P13" s="136"/>
      <c r="Q13" s="103"/>
      <c r="R13" s="299"/>
    </row>
    <row r="14" spans="1:18" ht="12" customHeight="1">
      <c r="A14" s="405" t="s">
        <v>97</v>
      </c>
      <c r="B14" s="103">
        <v>63</v>
      </c>
      <c r="C14" s="104">
        <v>57</v>
      </c>
      <c r="D14" s="104"/>
      <c r="E14" s="103">
        <f t="shared" si="0"/>
        <v>57</v>
      </c>
      <c r="F14" s="103">
        <f t="shared" si="1"/>
        <v>6</v>
      </c>
      <c r="G14" s="136">
        <v>-1</v>
      </c>
      <c r="H14" s="136">
        <f t="shared" si="2"/>
        <v>5</v>
      </c>
      <c r="I14" s="103">
        <f t="shared" si="3"/>
        <v>-5</v>
      </c>
      <c r="J14" s="103">
        <f t="shared" si="4"/>
        <v>-5</v>
      </c>
      <c r="K14" s="136"/>
      <c r="L14" s="406">
        <f t="shared" si="5"/>
        <v>-5</v>
      </c>
      <c r="M14" s="136">
        <v>218</v>
      </c>
      <c r="N14" s="136">
        <v>223</v>
      </c>
      <c r="O14" s="136"/>
      <c r="P14" s="136"/>
      <c r="Q14" s="103"/>
      <c r="R14" s="299"/>
    </row>
    <row r="15" spans="1:18" ht="12" customHeight="1">
      <c r="A15" s="405" t="s">
        <v>98</v>
      </c>
      <c r="B15" s="103">
        <v>178</v>
      </c>
      <c r="C15" s="104">
        <v>34</v>
      </c>
      <c r="D15" s="104">
        <v>53</v>
      </c>
      <c r="E15" s="103">
        <f t="shared" si="0"/>
        <v>87</v>
      </c>
      <c r="F15" s="103">
        <f t="shared" si="1"/>
        <v>91</v>
      </c>
      <c r="G15" s="136"/>
      <c r="H15" s="136">
        <f t="shared" si="2"/>
        <v>91</v>
      </c>
      <c r="I15" s="103">
        <f t="shared" si="3"/>
        <v>-91</v>
      </c>
      <c r="J15" s="103">
        <f t="shared" si="4"/>
        <v>-91</v>
      </c>
      <c r="K15" s="136"/>
      <c r="L15" s="406">
        <f t="shared" si="5"/>
        <v>-91</v>
      </c>
      <c r="M15" s="136">
        <v>74</v>
      </c>
      <c r="N15" s="136">
        <v>165</v>
      </c>
      <c r="O15" s="136"/>
      <c r="P15" s="136"/>
      <c r="Q15" s="103"/>
      <c r="R15" s="299"/>
    </row>
    <row r="16" spans="1:18" ht="12" customHeight="1">
      <c r="A16" s="405" t="s">
        <v>99</v>
      </c>
      <c r="B16" s="103">
        <v>75</v>
      </c>
      <c r="C16" s="104">
        <v>13</v>
      </c>
      <c r="D16" s="104">
        <v>30</v>
      </c>
      <c r="E16" s="103">
        <f t="shared" si="0"/>
        <v>43</v>
      </c>
      <c r="F16" s="103">
        <f t="shared" si="1"/>
        <v>32</v>
      </c>
      <c r="G16" s="136"/>
      <c r="H16" s="136">
        <f t="shared" si="2"/>
        <v>32</v>
      </c>
      <c r="I16" s="103">
        <f t="shared" si="3"/>
        <v>-32</v>
      </c>
      <c r="J16" s="103">
        <f t="shared" si="4"/>
        <v>-32</v>
      </c>
      <c r="K16" s="136"/>
      <c r="L16" s="406">
        <f t="shared" si="5"/>
        <v>-32</v>
      </c>
      <c r="M16" s="136">
        <v>646</v>
      </c>
      <c r="N16" s="136">
        <v>678</v>
      </c>
      <c r="O16" s="136"/>
      <c r="P16" s="136"/>
      <c r="Q16" s="103"/>
      <c r="R16" s="299"/>
    </row>
    <row r="17" spans="1:18" ht="12" customHeight="1">
      <c r="A17" s="405" t="s">
        <v>100</v>
      </c>
      <c r="B17" s="103">
        <v>40</v>
      </c>
      <c r="C17" s="104">
        <v>2</v>
      </c>
      <c r="D17" s="104"/>
      <c r="E17" s="103">
        <f t="shared" si="0"/>
        <v>2</v>
      </c>
      <c r="F17" s="103">
        <f t="shared" si="1"/>
        <v>38</v>
      </c>
      <c r="G17" s="136"/>
      <c r="H17" s="136">
        <f t="shared" si="2"/>
        <v>38</v>
      </c>
      <c r="I17" s="103">
        <f t="shared" si="3"/>
        <v>-38</v>
      </c>
      <c r="J17" s="103">
        <f t="shared" si="4"/>
        <v>-38</v>
      </c>
      <c r="K17" s="136"/>
      <c r="L17" s="406">
        <f t="shared" si="5"/>
        <v>-38</v>
      </c>
      <c r="M17" s="136">
        <v>73</v>
      </c>
      <c r="N17" s="136">
        <v>111</v>
      </c>
      <c r="O17" s="136"/>
      <c r="P17" s="136"/>
      <c r="Q17" s="103"/>
      <c r="R17" s="299"/>
    </row>
    <row r="18" spans="1:18" ht="12" customHeight="1">
      <c r="A18" s="405" t="s">
        <v>101</v>
      </c>
      <c r="B18" s="103">
        <v>316</v>
      </c>
      <c r="C18" s="104">
        <v>39</v>
      </c>
      <c r="D18" s="104"/>
      <c r="E18" s="103">
        <f t="shared" si="0"/>
        <v>39</v>
      </c>
      <c r="F18" s="103">
        <f t="shared" si="1"/>
        <v>277</v>
      </c>
      <c r="G18" s="136">
        <v>-887</v>
      </c>
      <c r="H18" s="136">
        <f>F18-G18</f>
        <v>1164</v>
      </c>
      <c r="I18" s="103">
        <f t="shared" si="3"/>
        <v>-1164</v>
      </c>
      <c r="J18" s="103">
        <f t="shared" si="4"/>
        <v>-1164</v>
      </c>
      <c r="K18" s="136"/>
      <c r="L18" s="406">
        <f t="shared" si="5"/>
        <v>-1164</v>
      </c>
      <c r="M18" s="136">
        <v>1125</v>
      </c>
      <c r="N18" s="136">
        <v>2289</v>
      </c>
      <c r="O18" s="136"/>
      <c r="P18" s="136"/>
      <c r="Q18" s="103"/>
      <c r="R18" s="299"/>
    </row>
    <row r="19" spans="1:21" s="408" customFormat="1" ht="12" customHeight="1">
      <c r="A19" s="266" t="s">
        <v>102</v>
      </c>
      <c r="B19" s="103">
        <f>SUM(B12:B18)</f>
        <v>2290</v>
      </c>
      <c r="C19" s="103">
        <f>SUM(C12:C18)</f>
        <v>490</v>
      </c>
      <c r="D19" s="103">
        <f>SUM(D12:D18)</f>
        <v>436</v>
      </c>
      <c r="E19" s="103">
        <f>SUM(E12:E18)</f>
        <v>926</v>
      </c>
      <c r="F19" s="103">
        <f t="shared" si="1"/>
        <v>1364</v>
      </c>
      <c r="G19" s="136">
        <f>SUM(G12:G18)</f>
        <v>-888</v>
      </c>
      <c r="H19" s="136">
        <f>SUM(H12:H18)</f>
        <v>2250</v>
      </c>
      <c r="I19" s="103">
        <f t="shared" si="3"/>
        <v>-2250</v>
      </c>
      <c r="J19" s="103">
        <f t="shared" si="4"/>
        <v>-2250</v>
      </c>
      <c r="K19" s="103"/>
      <c r="L19" s="406">
        <f t="shared" si="5"/>
        <v>-2250</v>
      </c>
      <c r="M19" s="103">
        <f>SUM(M12:M18)</f>
        <v>13025</v>
      </c>
      <c r="N19" s="103">
        <f>SUM(N12:N18)</f>
        <v>15275</v>
      </c>
      <c r="O19" s="103"/>
      <c r="P19" s="103"/>
      <c r="Q19" s="103"/>
      <c r="R19" s="407"/>
      <c r="S19" s="407"/>
      <c r="T19" s="407"/>
      <c r="U19" s="407"/>
    </row>
    <row r="20" spans="1:18" ht="12" customHeight="1">
      <c r="A20" s="405" t="s">
        <v>104</v>
      </c>
      <c r="B20" s="103">
        <v>44</v>
      </c>
      <c r="C20" s="104">
        <v>22</v>
      </c>
      <c r="D20" s="104"/>
      <c r="E20" s="103">
        <f aca="true" t="shared" si="6" ref="E20:E46">SUM(C20:D20)</f>
        <v>22</v>
      </c>
      <c r="F20" s="103">
        <f t="shared" si="1"/>
        <v>22</v>
      </c>
      <c r="G20" s="297"/>
      <c r="H20" s="136">
        <f>F20+G20</f>
        <v>22</v>
      </c>
      <c r="I20" s="103">
        <f t="shared" si="3"/>
        <v>-22</v>
      </c>
      <c r="J20" s="103">
        <f t="shared" si="4"/>
        <v>-22</v>
      </c>
      <c r="K20" s="136">
        <v>-1</v>
      </c>
      <c r="L20" s="406">
        <f t="shared" si="5"/>
        <v>-21</v>
      </c>
      <c r="M20" s="136">
        <v>134</v>
      </c>
      <c r="N20" s="136">
        <v>155</v>
      </c>
      <c r="O20" s="136"/>
      <c r="P20" s="136"/>
      <c r="Q20" s="103"/>
      <c r="R20" s="299"/>
    </row>
    <row r="21" spans="1:18" ht="12" customHeight="1">
      <c r="A21" s="405" t="s">
        <v>105</v>
      </c>
      <c r="B21" s="103">
        <v>32</v>
      </c>
      <c r="C21" s="104">
        <v>27</v>
      </c>
      <c r="D21" s="104"/>
      <c r="E21" s="103">
        <f t="shared" si="6"/>
        <v>27</v>
      </c>
      <c r="F21" s="103">
        <f t="shared" si="1"/>
        <v>5</v>
      </c>
      <c r="G21" s="136">
        <v>1</v>
      </c>
      <c r="H21" s="136">
        <f>F21+G21</f>
        <v>6</v>
      </c>
      <c r="I21" s="103">
        <f t="shared" si="3"/>
        <v>-6</v>
      </c>
      <c r="J21" s="103">
        <f t="shared" si="4"/>
        <v>-6</v>
      </c>
      <c r="K21" s="136">
        <v>-1</v>
      </c>
      <c r="L21" s="406">
        <f t="shared" si="5"/>
        <v>-5</v>
      </c>
      <c r="M21" s="136">
        <v>127</v>
      </c>
      <c r="N21" s="136">
        <v>132</v>
      </c>
      <c r="O21" s="136"/>
      <c r="P21" s="136"/>
      <c r="Q21" s="103"/>
      <c r="R21" s="299"/>
    </row>
    <row r="22" spans="1:18" ht="12" customHeight="1">
      <c r="A22" s="405" t="s">
        <v>106</v>
      </c>
      <c r="B22" s="103">
        <v>37</v>
      </c>
      <c r="C22" s="104">
        <v>27</v>
      </c>
      <c r="D22" s="104"/>
      <c r="E22" s="103">
        <f t="shared" si="6"/>
        <v>27</v>
      </c>
      <c r="F22" s="103">
        <f t="shared" si="1"/>
        <v>10</v>
      </c>
      <c r="G22" s="136"/>
      <c r="H22" s="136">
        <f>F22+G22</f>
        <v>10</v>
      </c>
      <c r="I22" s="103">
        <f t="shared" si="3"/>
        <v>-10</v>
      </c>
      <c r="J22" s="103">
        <f t="shared" si="4"/>
        <v>-10</v>
      </c>
      <c r="K22" s="136">
        <v>-7</v>
      </c>
      <c r="L22" s="406">
        <f t="shared" si="5"/>
        <v>-3</v>
      </c>
      <c r="M22" s="136">
        <v>85</v>
      </c>
      <c r="N22" s="136">
        <v>88</v>
      </c>
      <c r="O22" s="136"/>
      <c r="P22" s="136"/>
      <c r="Q22" s="103"/>
      <c r="R22" s="299"/>
    </row>
    <row r="23" spans="1:18" ht="12" customHeight="1">
      <c r="A23" s="405" t="s">
        <v>107</v>
      </c>
      <c r="B23" s="103">
        <v>32</v>
      </c>
      <c r="C23" s="104">
        <v>15</v>
      </c>
      <c r="D23" s="104"/>
      <c r="E23" s="103">
        <f t="shared" si="6"/>
        <v>15</v>
      </c>
      <c r="F23" s="103">
        <f t="shared" si="1"/>
        <v>17</v>
      </c>
      <c r="G23" s="136">
        <v>1</v>
      </c>
      <c r="H23" s="136">
        <f>F23+G23</f>
        <v>18</v>
      </c>
      <c r="I23" s="103">
        <f t="shared" si="3"/>
        <v>-18</v>
      </c>
      <c r="J23" s="103">
        <f t="shared" si="4"/>
        <v>-18</v>
      </c>
      <c r="K23" s="136"/>
      <c r="L23" s="406">
        <f t="shared" si="5"/>
        <v>-18</v>
      </c>
      <c r="M23" s="136">
        <v>174</v>
      </c>
      <c r="N23" s="136">
        <v>192</v>
      </c>
      <c r="O23" s="136"/>
      <c r="P23" s="136"/>
      <c r="Q23" s="103"/>
      <c r="R23" s="299"/>
    </row>
    <row r="24" spans="1:18" ht="12" customHeight="1">
      <c r="A24" s="405" t="s">
        <v>108</v>
      </c>
      <c r="B24" s="103">
        <v>99</v>
      </c>
      <c r="C24" s="104">
        <v>62</v>
      </c>
      <c r="D24" s="104">
        <v>19</v>
      </c>
      <c r="E24" s="103">
        <f t="shared" si="6"/>
        <v>81</v>
      </c>
      <c r="F24" s="103">
        <f t="shared" si="1"/>
        <v>18</v>
      </c>
      <c r="G24" s="136">
        <v>-7</v>
      </c>
      <c r="H24" s="136">
        <f>F24-G24</f>
        <v>25</v>
      </c>
      <c r="I24" s="103">
        <f t="shared" si="3"/>
        <v>-25</v>
      </c>
      <c r="J24" s="103">
        <f t="shared" si="4"/>
        <v>-25</v>
      </c>
      <c r="K24" s="136">
        <v>-1</v>
      </c>
      <c r="L24" s="406">
        <f t="shared" si="5"/>
        <v>-24</v>
      </c>
      <c r="M24" s="136">
        <v>153</v>
      </c>
      <c r="N24" s="136">
        <v>177</v>
      </c>
      <c r="O24" s="136"/>
      <c r="P24" s="136"/>
      <c r="Q24" s="103"/>
      <c r="R24" s="299"/>
    </row>
    <row r="25" spans="1:18" ht="12" customHeight="1">
      <c r="A25" s="405" t="s">
        <v>109</v>
      </c>
      <c r="B25" s="103">
        <v>65</v>
      </c>
      <c r="C25" s="104">
        <v>42</v>
      </c>
      <c r="D25" s="104">
        <v>15</v>
      </c>
      <c r="E25" s="103">
        <f t="shared" si="6"/>
        <v>57</v>
      </c>
      <c r="F25" s="103">
        <f t="shared" si="1"/>
        <v>8</v>
      </c>
      <c r="G25" s="136"/>
      <c r="H25" s="136">
        <f>F25+G25</f>
        <v>8</v>
      </c>
      <c r="I25" s="103">
        <f t="shared" si="3"/>
        <v>-8</v>
      </c>
      <c r="J25" s="103">
        <f t="shared" si="4"/>
        <v>-8</v>
      </c>
      <c r="K25" s="136"/>
      <c r="L25" s="406">
        <f t="shared" si="5"/>
        <v>-8</v>
      </c>
      <c r="M25" s="136">
        <v>99</v>
      </c>
      <c r="N25" s="136">
        <v>107</v>
      </c>
      <c r="O25" s="136"/>
      <c r="P25" s="136"/>
      <c r="Q25" s="103"/>
      <c r="R25" s="299"/>
    </row>
    <row r="26" spans="1:18" ht="12" customHeight="1">
      <c r="A26" s="405" t="s">
        <v>110</v>
      </c>
      <c r="B26" s="103">
        <v>31</v>
      </c>
      <c r="C26" s="104">
        <v>12</v>
      </c>
      <c r="D26" s="104">
        <v>4</v>
      </c>
      <c r="E26" s="103">
        <f t="shared" si="6"/>
        <v>16</v>
      </c>
      <c r="F26" s="103">
        <f t="shared" si="1"/>
        <v>15</v>
      </c>
      <c r="G26" s="136"/>
      <c r="H26" s="136">
        <f>F26+G26</f>
        <v>15</v>
      </c>
      <c r="I26" s="103">
        <f t="shared" si="3"/>
        <v>-15</v>
      </c>
      <c r="J26" s="103">
        <f t="shared" si="4"/>
        <v>-15</v>
      </c>
      <c r="K26" s="136"/>
      <c r="L26" s="406">
        <f t="shared" si="5"/>
        <v>-15</v>
      </c>
      <c r="M26" s="136">
        <v>228</v>
      </c>
      <c r="N26" s="136">
        <v>243</v>
      </c>
      <c r="O26" s="136"/>
      <c r="P26" s="136"/>
      <c r="Q26" s="103"/>
      <c r="R26" s="299"/>
    </row>
    <row r="27" spans="1:18" ht="12" customHeight="1">
      <c r="A27" s="405" t="s">
        <v>111</v>
      </c>
      <c r="B27" s="103">
        <v>36</v>
      </c>
      <c r="C27" s="104">
        <v>24</v>
      </c>
      <c r="D27" s="104"/>
      <c r="E27" s="103">
        <f t="shared" si="6"/>
        <v>24</v>
      </c>
      <c r="F27" s="103">
        <f t="shared" si="1"/>
        <v>12</v>
      </c>
      <c r="G27" s="136">
        <v>-2</v>
      </c>
      <c r="H27" s="136">
        <f>F27-G27</f>
        <v>14</v>
      </c>
      <c r="I27" s="103">
        <f t="shared" si="3"/>
        <v>-14</v>
      </c>
      <c r="J27" s="103">
        <f t="shared" si="4"/>
        <v>-14</v>
      </c>
      <c r="K27" s="136"/>
      <c r="L27" s="406">
        <f t="shared" si="5"/>
        <v>-14</v>
      </c>
      <c r="M27" s="136">
        <v>135</v>
      </c>
      <c r="N27" s="136">
        <v>149</v>
      </c>
      <c r="O27" s="136"/>
      <c r="P27" s="136"/>
      <c r="Q27" s="103"/>
      <c r="R27" s="299"/>
    </row>
    <row r="28" spans="1:18" ht="12" customHeight="1">
      <c r="A28" s="405" t="s">
        <v>112</v>
      </c>
      <c r="B28" s="103">
        <v>39</v>
      </c>
      <c r="C28" s="104">
        <v>27</v>
      </c>
      <c r="D28" s="104"/>
      <c r="E28" s="103">
        <f t="shared" si="6"/>
        <v>27</v>
      </c>
      <c r="F28" s="103">
        <f t="shared" si="1"/>
        <v>12</v>
      </c>
      <c r="G28" s="136">
        <v>-3</v>
      </c>
      <c r="H28" s="136">
        <f>F28-G28</f>
        <v>15</v>
      </c>
      <c r="I28" s="103">
        <f t="shared" si="3"/>
        <v>-15</v>
      </c>
      <c r="J28" s="103">
        <f t="shared" si="4"/>
        <v>-15</v>
      </c>
      <c r="K28" s="136"/>
      <c r="L28" s="406">
        <f t="shared" si="5"/>
        <v>-15</v>
      </c>
      <c r="M28" s="136">
        <v>114</v>
      </c>
      <c r="N28" s="136">
        <v>129</v>
      </c>
      <c r="O28" s="136"/>
      <c r="P28" s="136"/>
      <c r="Q28" s="103"/>
      <c r="R28" s="299"/>
    </row>
    <row r="29" spans="1:18" ht="12" customHeight="1">
      <c r="A29" s="405" t="s">
        <v>113</v>
      </c>
      <c r="B29" s="103">
        <v>52</v>
      </c>
      <c r="C29" s="104">
        <v>25</v>
      </c>
      <c r="D29" s="104">
        <v>12</v>
      </c>
      <c r="E29" s="103">
        <f t="shared" si="6"/>
        <v>37</v>
      </c>
      <c r="F29" s="103">
        <f t="shared" si="1"/>
        <v>15</v>
      </c>
      <c r="G29" s="136">
        <v>-1</v>
      </c>
      <c r="H29" s="136">
        <f>F29+G29</f>
        <v>14</v>
      </c>
      <c r="I29" s="103">
        <f t="shared" si="3"/>
        <v>-14</v>
      </c>
      <c r="J29" s="103">
        <f t="shared" si="4"/>
        <v>-14</v>
      </c>
      <c r="K29" s="136"/>
      <c r="L29" s="406">
        <f t="shared" si="5"/>
        <v>-14</v>
      </c>
      <c r="M29" s="136">
        <v>113</v>
      </c>
      <c r="N29" s="136">
        <v>127</v>
      </c>
      <c r="O29" s="136"/>
      <c r="P29" s="136"/>
      <c r="Q29" s="103"/>
      <c r="R29" s="299"/>
    </row>
    <row r="30" spans="1:18" ht="12" customHeight="1">
      <c r="A30" s="405" t="s">
        <v>114</v>
      </c>
      <c r="B30" s="103">
        <v>51</v>
      </c>
      <c r="C30" s="104">
        <v>32</v>
      </c>
      <c r="D30" s="104">
        <v>1</v>
      </c>
      <c r="E30" s="103">
        <f t="shared" si="6"/>
        <v>33</v>
      </c>
      <c r="F30" s="103">
        <f t="shared" si="1"/>
        <v>18</v>
      </c>
      <c r="G30" s="136"/>
      <c r="H30" s="136">
        <f>F30+G30</f>
        <v>18</v>
      </c>
      <c r="I30" s="103">
        <f t="shared" si="3"/>
        <v>-18</v>
      </c>
      <c r="J30" s="103">
        <f t="shared" si="4"/>
        <v>-18</v>
      </c>
      <c r="K30" s="136"/>
      <c r="L30" s="406">
        <f t="shared" si="5"/>
        <v>-18</v>
      </c>
      <c r="M30" s="136">
        <v>134</v>
      </c>
      <c r="N30" s="136">
        <v>152</v>
      </c>
      <c r="O30" s="136"/>
      <c r="P30" s="136"/>
      <c r="Q30" s="103"/>
      <c r="R30" s="299"/>
    </row>
    <row r="31" spans="1:18" ht="12" customHeight="1">
      <c r="A31" s="405" t="s">
        <v>115</v>
      </c>
      <c r="B31" s="103">
        <v>63</v>
      </c>
      <c r="C31" s="104">
        <v>47</v>
      </c>
      <c r="D31" s="104">
        <v>3</v>
      </c>
      <c r="E31" s="103">
        <f t="shared" si="6"/>
        <v>50</v>
      </c>
      <c r="F31" s="103">
        <f t="shared" si="1"/>
        <v>13</v>
      </c>
      <c r="G31" s="136">
        <v>2</v>
      </c>
      <c r="H31" s="136">
        <f>F31-G31</f>
        <v>11</v>
      </c>
      <c r="I31" s="103">
        <f t="shared" si="3"/>
        <v>-11</v>
      </c>
      <c r="J31" s="103">
        <f t="shared" si="4"/>
        <v>-11</v>
      </c>
      <c r="K31" s="136">
        <v>-14</v>
      </c>
      <c r="L31" s="406">
        <f t="shared" si="5"/>
        <v>3</v>
      </c>
      <c r="M31" s="136">
        <v>290</v>
      </c>
      <c r="N31" s="136">
        <v>287</v>
      </c>
      <c r="O31" s="136"/>
      <c r="P31" s="136"/>
      <c r="Q31" s="103"/>
      <c r="R31" s="299"/>
    </row>
    <row r="32" spans="1:18" ht="12" customHeight="1">
      <c r="A32" s="405" t="s">
        <v>116</v>
      </c>
      <c r="B32" s="103">
        <v>65</v>
      </c>
      <c r="C32" s="104">
        <v>55</v>
      </c>
      <c r="D32" s="104">
        <v>3</v>
      </c>
      <c r="E32" s="103">
        <f t="shared" si="6"/>
        <v>58</v>
      </c>
      <c r="F32" s="103">
        <f t="shared" si="1"/>
        <v>7</v>
      </c>
      <c r="G32" s="136">
        <v>8</v>
      </c>
      <c r="H32" s="136">
        <f>F32-G32</f>
        <v>-1</v>
      </c>
      <c r="I32" s="103">
        <f t="shared" si="3"/>
        <v>1</v>
      </c>
      <c r="J32" s="103">
        <f t="shared" si="4"/>
        <v>1</v>
      </c>
      <c r="K32" s="136"/>
      <c r="L32" s="406">
        <f t="shared" si="5"/>
        <v>0</v>
      </c>
      <c r="M32" s="136">
        <v>216</v>
      </c>
      <c r="N32" s="136">
        <v>216</v>
      </c>
      <c r="O32" s="136"/>
      <c r="P32" s="136">
        <v>1</v>
      </c>
      <c r="Q32" s="103"/>
      <c r="R32" s="299"/>
    </row>
    <row r="33" spans="1:18" ht="12" customHeight="1">
      <c r="A33" s="405" t="s">
        <v>117</v>
      </c>
      <c r="B33" s="103">
        <v>54</v>
      </c>
      <c r="C33" s="104">
        <v>30</v>
      </c>
      <c r="D33" s="104">
        <v>4</v>
      </c>
      <c r="E33" s="103">
        <f t="shared" si="6"/>
        <v>34</v>
      </c>
      <c r="F33" s="103">
        <f t="shared" si="1"/>
        <v>20</v>
      </c>
      <c r="G33" s="136">
        <v>-1</v>
      </c>
      <c r="H33" s="136">
        <f>F33-G33</f>
        <v>21</v>
      </c>
      <c r="I33" s="103">
        <f t="shared" si="3"/>
        <v>-21</v>
      </c>
      <c r="J33" s="103">
        <f t="shared" si="4"/>
        <v>-21</v>
      </c>
      <c r="K33" s="136"/>
      <c r="L33" s="406">
        <f t="shared" si="5"/>
        <v>-21</v>
      </c>
      <c r="M33" s="136">
        <v>146</v>
      </c>
      <c r="N33" s="136">
        <v>167</v>
      </c>
      <c r="O33" s="136"/>
      <c r="P33" s="136"/>
      <c r="Q33" s="103"/>
      <c r="R33" s="299"/>
    </row>
    <row r="34" spans="1:18" ht="12" customHeight="1">
      <c r="A34" s="405" t="s">
        <v>118</v>
      </c>
      <c r="B34" s="103">
        <v>42</v>
      </c>
      <c r="C34" s="104">
        <v>24</v>
      </c>
      <c r="D34" s="104">
        <v>1</v>
      </c>
      <c r="E34" s="103">
        <f t="shared" si="6"/>
        <v>25</v>
      </c>
      <c r="F34" s="103">
        <f t="shared" si="1"/>
        <v>17</v>
      </c>
      <c r="G34" s="136"/>
      <c r="H34" s="136">
        <f aca="true" t="shared" si="7" ref="H34:H39">F34+G34</f>
        <v>17</v>
      </c>
      <c r="I34" s="103">
        <f t="shared" si="3"/>
        <v>-17</v>
      </c>
      <c r="J34" s="103">
        <f t="shared" si="4"/>
        <v>-17</v>
      </c>
      <c r="K34" s="136"/>
      <c r="L34" s="406">
        <f t="shared" si="5"/>
        <v>-17</v>
      </c>
      <c r="M34" s="136">
        <v>128</v>
      </c>
      <c r="N34" s="136">
        <v>145</v>
      </c>
      <c r="O34" s="136"/>
      <c r="P34" s="136"/>
      <c r="Q34" s="103"/>
      <c r="R34" s="299"/>
    </row>
    <row r="35" spans="1:18" ht="12" customHeight="1">
      <c r="A35" s="405" t="s">
        <v>119</v>
      </c>
      <c r="B35" s="103">
        <v>64</v>
      </c>
      <c r="C35" s="104">
        <v>42</v>
      </c>
      <c r="D35" s="104"/>
      <c r="E35" s="103">
        <f t="shared" si="6"/>
        <v>42</v>
      </c>
      <c r="F35" s="103">
        <f t="shared" si="1"/>
        <v>22</v>
      </c>
      <c r="G35" s="136"/>
      <c r="H35" s="136">
        <f t="shared" si="7"/>
        <v>22</v>
      </c>
      <c r="I35" s="103">
        <f t="shared" si="3"/>
        <v>-22</v>
      </c>
      <c r="J35" s="103">
        <f t="shared" si="4"/>
        <v>-22</v>
      </c>
      <c r="K35" s="136"/>
      <c r="L35" s="406">
        <f t="shared" si="5"/>
        <v>-22</v>
      </c>
      <c r="M35" s="136">
        <v>130</v>
      </c>
      <c r="N35" s="136">
        <v>152</v>
      </c>
      <c r="O35" s="136"/>
      <c r="P35" s="136"/>
      <c r="Q35" s="103"/>
      <c r="R35" s="299"/>
    </row>
    <row r="36" spans="1:18" ht="12" customHeight="1">
      <c r="A36" s="405" t="s">
        <v>120</v>
      </c>
      <c r="B36" s="103">
        <v>56</v>
      </c>
      <c r="C36" s="104">
        <v>40</v>
      </c>
      <c r="D36" s="104">
        <v>9</v>
      </c>
      <c r="E36" s="103">
        <f t="shared" si="6"/>
        <v>49</v>
      </c>
      <c r="F36" s="103">
        <f t="shared" si="1"/>
        <v>7</v>
      </c>
      <c r="G36" s="136"/>
      <c r="H36" s="136">
        <f t="shared" si="7"/>
        <v>7</v>
      </c>
      <c r="I36" s="103">
        <f t="shared" si="3"/>
        <v>-7</v>
      </c>
      <c r="J36" s="103">
        <f t="shared" si="4"/>
        <v>-7</v>
      </c>
      <c r="K36" s="136"/>
      <c r="L36" s="406">
        <f t="shared" si="5"/>
        <v>-7</v>
      </c>
      <c r="M36" s="136">
        <v>219</v>
      </c>
      <c r="N36" s="136">
        <v>226</v>
      </c>
      <c r="O36" s="136"/>
      <c r="P36" s="136"/>
      <c r="Q36" s="103"/>
      <c r="R36" s="299"/>
    </row>
    <row r="37" spans="1:18" ht="12" customHeight="1">
      <c r="A37" s="405" t="s">
        <v>121</v>
      </c>
      <c r="B37" s="103">
        <v>110</v>
      </c>
      <c r="C37" s="104">
        <v>95</v>
      </c>
      <c r="D37" s="104">
        <v>24</v>
      </c>
      <c r="E37" s="103">
        <f t="shared" si="6"/>
        <v>119</v>
      </c>
      <c r="F37" s="103">
        <f t="shared" si="1"/>
        <v>-9</v>
      </c>
      <c r="G37" s="136"/>
      <c r="H37" s="136">
        <f t="shared" si="7"/>
        <v>-9</v>
      </c>
      <c r="I37" s="103">
        <f t="shared" si="3"/>
        <v>9</v>
      </c>
      <c r="J37" s="103">
        <f t="shared" si="4"/>
        <v>9</v>
      </c>
      <c r="K37" s="136">
        <v>-2</v>
      </c>
      <c r="L37" s="406">
        <f t="shared" si="5"/>
        <v>11</v>
      </c>
      <c r="M37" s="136">
        <v>192</v>
      </c>
      <c r="N37" s="136">
        <v>181</v>
      </c>
      <c r="O37" s="136"/>
      <c r="P37" s="136"/>
      <c r="Q37" s="103"/>
      <c r="R37" s="299"/>
    </row>
    <row r="38" spans="1:18" ht="12" customHeight="1">
      <c r="A38" s="405" t="s">
        <v>122</v>
      </c>
      <c r="B38" s="103">
        <v>30</v>
      </c>
      <c r="C38" s="104">
        <v>14</v>
      </c>
      <c r="D38" s="104">
        <v>4</v>
      </c>
      <c r="E38" s="103">
        <f t="shared" si="6"/>
        <v>18</v>
      </c>
      <c r="F38" s="103">
        <f t="shared" si="1"/>
        <v>12</v>
      </c>
      <c r="G38" s="136"/>
      <c r="H38" s="136">
        <f t="shared" si="7"/>
        <v>12</v>
      </c>
      <c r="I38" s="103">
        <f t="shared" si="3"/>
        <v>-12</v>
      </c>
      <c r="J38" s="103">
        <f t="shared" si="4"/>
        <v>-12</v>
      </c>
      <c r="K38" s="136"/>
      <c r="L38" s="406">
        <f t="shared" si="5"/>
        <v>-12</v>
      </c>
      <c r="M38" s="136">
        <v>128</v>
      </c>
      <c r="N38" s="136">
        <v>140</v>
      </c>
      <c r="O38" s="136"/>
      <c r="P38" s="136"/>
      <c r="Q38" s="103"/>
      <c r="R38" s="299"/>
    </row>
    <row r="39" spans="1:18" ht="12" customHeight="1">
      <c r="A39" s="405" t="s">
        <v>123</v>
      </c>
      <c r="B39" s="103">
        <v>139</v>
      </c>
      <c r="C39" s="104">
        <v>111</v>
      </c>
      <c r="D39" s="104">
        <v>10</v>
      </c>
      <c r="E39" s="103">
        <f t="shared" si="6"/>
        <v>121</v>
      </c>
      <c r="F39" s="103">
        <f t="shared" si="1"/>
        <v>18</v>
      </c>
      <c r="G39" s="136"/>
      <c r="H39" s="136">
        <f t="shared" si="7"/>
        <v>18</v>
      </c>
      <c r="I39" s="103">
        <f t="shared" si="3"/>
        <v>-18</v>
      </c>
      <c r="J39" s="103">
        <f t="shared" si="4"/>
        <v>-18</v>
      </c>
      <c r="K39" s="136"/>
      <c r="L39" s="406">
        <f t="shared" si="5"/>
        <v>-18</v>
      </c>
      <c r="M39" s="136">
        <v>370</v>
      </c>
      <c r="N39" s="136">
        <v>388</v>
      </c>
      <c r="O39" s="136"/>
      <c r="P39" s="136"/>
      <c r="Q39" s="103"/>
      <c r="R39" s="299"/>
    </row>
    <row r="40" spans="1:18" ht="12" customHeight="1">
      <c r="A40" s="405" t="s">
        <v>124</v>
      </c>
      <c r="B40" s="103">
        <v>33</v>
      </c>
      <c r="C40" s="104">
        <v>29</v>
      </c>
      <c r="D40" s="104">
        <v>1</v>
      </c>
      <c r="E40" s="103">
        <f t="shared" si="6"/>
        <v>30</v>
      </c>
      <c r="F40" s="103">
        <f t="shared" si="1"/>
        <v>3</v>
      </c>
      <c r="G40" s="136">
        <v>3</v>
      </c>
      <c r="H40" s="136"/>
      <c r="I40" s="103"/>
      <c r="J40" s="103"/>
      <c r="K40" s="136"/>
      <c r="L40" s="406"/>
      <c r="M40" s="136">
        <v>154</v>
      </c>
      <c r="N40" s="136">
        <v>154</v>
      </c>
      <c r="O40" s="136"/>
      <c r="P40" s="136"/>
      <c r="Q40" s="103"/>
      <c r="R40" s="299"/>
    </row>
    <row r="41" spans="1:18" ht="12" customHeight="1">
      <c r="A41" s="405" t="s">
        <v>125</v>
      </c>
      <c r="B41" s="103">
        <v>51</v>
      </c>
      <c r="C41" s="104">
        <v>30</v>
      </c>
      <c r="D41" s="104">
        <v>3</v>
      </c>
      <c r="E41" s="103">
        <f t="shared" si="6"/>
        <v>33</v>
      </c>
      <c r="F41" s="103">
        <f t="shared" si="1"/>
        <v>18</v>
      </c>
      <c r="G41" s="136">
        <v>11</v>
      </c>
      <c r="H41" s="136">
        <f>F41-G41</f>
        <v>7</v>
      </c>
      <c r="I41" s="103">
        <f aca="true" t="shared" si="8" ref="I41:I47">-H41</f>
        <v>-7</v>
      </c>
      <c r="J41" s="103">
        <f>K41+L41+O41+P41+Q41</f>
        <v>-7</v>
      </c>
      <c r="K41" s="136"/>
      <c r="L41" s="406">
        <f>M41-N41</f>
        <v>-7</v>
      </c>
      <c r="M41" s="136">
        <v>350</v>
      </c>
      <c r="N41" s="136">
        <v>357</v>
      </c>
      <c r="O41" s="136"/>
      <c r="P41" s="136"/>
      <c r="Q41" s="103"/>
      <c r="R41" s="299"/>
    </row>
    <row r="42" spans="1:18" ht="12" customHeight="1">
      <c r="A42" s="405" t="s">
        <v>126</v>
      </c>
      <c r="B42" s="103">
        <v>35</v>
      </c>
      <c r="C42" s="104">
        <v>40</v>
      </c>
      <c r="D42" s="104">
        <v>5</v>
      </c>
      <c r="E42" s="103">
        <f t="shared" si="6"/>
        <v>45</v>
      </c>
      <c r="F42" s="103">
        <f t="shared" si="1"/>
        <v>-10</v>
      </c>
      <c r="G42" s="136">
        <v>3</v>
      </c>
      <c r="H42" s="136">
        <f>F42-G42</f>
        <v>-13</v>
      </c>
      <c r="I42" s="103">
        <f t="shared" si="8"/>
        <v>13</v>
      </c>
      <c r="J42" s="103">
        <f>K42+L42+O42+P42+Q42</f>
        <v>12</v>
      </c>
      <c r="K42" s="136">
        <v>8</v>
      </c>
      <c r="L42" s="406">
        <f>M42-N42</f>
        <v>9</v>
      </c>
      <c r="M42" s="136">
        <v>449</v>
      </c>
      <c r="N42" s="136">
        <v>440</v>
      </c>
      <c r="O42" s="136"/>
      <c r="P42" s="136">
        <v>-5</v>
      </c>
      <c r="Q42" s="103"/>
      <c r="R42" s="299"/>
    </row>
    <row r="43" spans="1:18" ht="12" customHeight="1">
      <c r="A43" s="405" t="s">
        <v>127</v>
      </c>
      <c r="B43" s="103">
        <v>26</v>
      </c>
      <c r="C43" s="104">
        <v>5</v>
      </c>
      <c r="D43" s="104"/>
      <c r="E43" s="103">
        <f t="shared" si="6"/>
        <v>5</v>
      </c>
      <c r="F43" s="103">
        <f t="shared" si="1"/>
        <v>21</v>
      </c>
      <c r="G43" s="136">
        <v>-1</v>
      </c>
      <c r="H43" s="136">
        <f>F43+G43</f>
        <v>20</v>
      </c>
      <c r="I43" s="103">
        <f t="shared" si="8"/>
        <v>-20</v>
      </c>
      <c r="J43" s="103">
        <f>K43+L43+O43+P43+Q43</f>
        <v>-20</v>
      </c>
      <c r="K43" s="136"/>
      <c r="L43" s="406">
        <f>M43-N43</f>
        <v>-20</v>
      </c>
      <c r="M43" s="136">
        <v>82</v>
      </c>
      <c r="N43" s="136">
        <v>102</v>
      </c>
      <c r="O43" s="136"/>
      <c r="P43" s="136"/>
      <c r="Q43" s="103"/>
      <c r="R43" s="299"/>
    </row>
    <row r="44" spans="1:18" ht="12" customHeight="1">
      <c r="A44" s="405" t="s">
        <v>128</v>
      </c>
      <c r="B44" s="103">
        <v>55</v>
      </c>
      <c r="C44" s="104">
        <v>14</v>
      </c>
      <c r="D44" s="104"/>
      <c r="E44" s="103">
        <f t="shared" si="6"/>
        <v>14</v>
      </c>
      <c r="F44" s="103">
        <f t="shared" si="1"/>
        <v>41</v>
      </c>
      <c r="G44" s="136">
        <v>-2</v>
      </c>
      <c r="H44" s="136">
        <f>F44-G44</f>
        <v>43</v>
      </c>
      <c r="I44" s="103">
        <f t="shared" si="8"/>
        <v>-43</v>
      </c>
      <c r="J44" s="103">
        <f>K44+L44+O44+P44+Q44</f>
        <v>-43</v>
      </c>
      <c r="K44" s="136"/>
      <c r="L44" s="406">
        <f>M44-N44</f>
        <v>-43</v>
      </c>
      <c r="M44" s="136">
        <v>242</v>
      </c>
      <c r="N44" s="136">
        <v>285</v>
      </c>
      <c r="O44" s="136"/>
      <c r="P44" s="136"/>
      <c r="Q44" s="103"/>
      <c r="R44" s="299"/>
    </row>
    <row r="45" spans="1:18" ht="12" customHeight="1">
      <c r="A45" s="405" t="s">
        <v>129</v>
      </c>
      <c r="B45" s="103">
        <v>28</v>
      </c>
      <c r="C45" s="104">
        <v>18</v>
      </c>
      <c r="D45" s="104"/>
      <c r="E45" s="103">
        <f t="shared" si="6"/>
        <v>18</v>
      </c>
      <c r="F45" s="103">
        <f t="shared" si="1"/>
        <v>10</v>
      </c>
      <c r="G45" s="136"/>
      <c r="H45" s="136">
        <f>F45+G45</f>
        <v>10</v>
      </c>
      <c r="I45" s="103">
        <f t="shared" si="8"/>
        <v>-10</v>
      </c>
      <c r="J45" s="103">
        <f>K45+L45+O45+P45+Q45</f>
        <v>-10</v>
      </c>
      <c r="K45" s="136"/>
      <c r="L45" s="406">
        <f>M45-N45</f>
        <v>-10</v>
      </c>
      <c r="M45" s="136">
        <v>150</v>
      </c>
      <c r="N45" s="136">
        <v>160</v>
      </c>
      <c r="O45" s="136"/>
      <c r="P45" s="136"/>
      <c r="Q45" s="103"/>
      <c r="R45" s="299"/>
    </row>
    <row r="46" spans="1:17" ht="12" customHeight="1">
      <c r="A46" s="266" t="s">
        <v>130</v>
      </c>
      <c r="B46" s="103">
        <f>SUM(B20:B45)</f>
        <v>1369</v>
      </c>
      <c r="C46" s="103">
        <f>SUM(C20:C45)</f>
        <v>909</v>
      </c>
      <c r="D46" s="103">
        <f>SUM(D20:D45)</f>
        <v>118</v>
      </c>
      <c r="E46" s="103">
        <f t="shared" si="6"/>
        <v>1027</v>
      </c>
      <c r="F46" s="103">
        <f t="shared" si="1"/>
        <v>342</v>
      </c>
      <c r="G46" s="103">
        <f>SUM(G20:G45)</f>
        <v>12</v>
      </c>
      <c r="H46" s="136">
        <f>F46+G46</f>
        <v>354</v>
      </c>
      <c r="I46" s="103">
        <f t="shared" si="8"/>
        <v>-354</v>
      </c>
      <c r="J46" s="103">
        <f>SUM(J20:J45)</f>
        <v>-331</v>
      </c>
      <c r="K46" s="103">
        <f>SUM(K20:K45)</f>
        <v>-18</v>
      </c>
      <c r="L46" s="103">
        <f>SUM(L20:L45)</f>
        <v>-309</v>
      </c>
      <c r="M46" s="103">
        <f>SUM(M20:M45)</f>
        <v>4742</v>
      </c>
      <c r="N46" s="103">
        <f>SUM(N20:N45)</f>
        <v>5051</v>
      </c>
      <c r="O46" s="103"/>
      <c r="P46" s="103">
        <f>SUM(P20:P45)</f>
        <v>-4</v>
      </c>
      <c r="Q46" s="103"/>
    </row>
    <row r="47" spans="1:17" ht="12" customHeight="1">
      <c r="A47" s="266" t="s">
        <v>131</v>
      </c>
      <c r="B47" s="103">
        <f aca="true" t="shared" si="9" ref="B47:G47">SUM(B19,B46)</f>
        <v>3659</v>
      </c>
      <c r="C47" s="103">
        <f t="shared" si="9"/>
        <v>1399</v>
      </c>
      <c r="D47" s="103">
        <f t="shared" si="9"/>
        <v>554</v>
      </c>
      <c r="E47" s="103">
        <f t="shared" si="9"/>
        <v>1953</v>
      </c>
      <c r="F47" s="103">
        <f t="shared" si="9"/>
        <v>1706</v>
      </c>
      <c r="G47" s="103">
        <f t="shared" si="9"/>
        <v>-876</v>
      </c>
      <c r="H47" s="103">
        <f>F47-G47</f>
        <v>2582</v>
      </c>
      <c r="I47" s="103">
        <f t="shared" si="8"/>
        <v>-2582</v>
      </c>
      <c r="J47" s="103">
        <f>SUM(J19,J46)</f>
        <v>-2581</v>
      </c>
      <c r="K47" s="103">
        <f>SUM(K19,K46)</f>
        <v>-18</v>
      </c>
      <c r="L47" s="103">
        <f>M47-N47</f>
        <v>-2560</v>
      </c>
      <c r="M47" s="103">
        <f>SUM(M19,M46)</f>
        <v>17767</v>
      </c>
      <c r="N47" s="103">
        <f>SUM(N19,N46)+1</f>
        <v>20327</v>
      </c>
      <c r="O47" s="103"/>
      <c r="P47" s="103">
        <f>SUM(P19,P46)</f>
        <v>-4</v>
      </c>
      <c r="Q47" s="103"/>
    </row>
    <row r="48" spans="1:17" ht="17.25" customHeight="1">
      <c r="A48" s="409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</row>
    <row r="49" s="99" customFormat="1" ht="17.25" customHeight="1">
      <c r="A49" s="392"/>
    </row>
    <row r="54" spans="1:16" s="99" customFormat="1" ht="17.25" customHeight="1">
      <c r="A54" s="110"/>
      <c r="P54" s="43"/>
    </row>
    <row r="55" spans="1:21" s="99" customFormat="1" ht="17.25" customHeight="1">
      <c r="A55" s="51"/>
      <c r="B55" s="93"/>
      <c r="C55" s="33"/>
      <c r="D55" s="33"/>
      <c r="E55" s="33"/>
      <c r="F55" s="33"/>
      <c r="G55" s="93"/>
      <c r="H55" s="93"/>
      <c r="I55" s="93"/>
      <c r="J55" s="93"/>
      <c r="K55" s="93"/>
      <c r="L55" s="33"/>
      <c r="M55" s="106"/>
      <c r="N55" s="93"/>
      <c r="O55" s="93"/>
      <c r="P55" s="93"/>
      <c r="Q55" s="93"/>
      <c r="R55" s="93"/>
      <c r="S55" s="93"/>
      <c r="T55" s="93"/>
      <c r="U55" s="93"/>
    </row>
    <row r="56" spans="1:13" s="286" customFormat="1" ht="17.25" customHeight="1">
      <c r="A56" s="317"/>
      <c r="B56" s="394"/>
      <c r="C56" s="282"/>
      <c r="D56" s="282"/>
      <c r="E56" s="282"/>
      <c r="F56" s="282"/>
      <c r="G56" s="98"/>
      <c r="H56" s="98"/>
      <c r="I56" s="282"/>
      <c r="J56" s="282"/>
      <c r="K56" s="98"/>
      <c r="L56" s="98"/>
      <c r="M56" s="282"/>
    </row>
    <row r="57" spans="1:14" s="299" customFormat="1" ht="17.25" customHeight="1">
      <c r="A57" s="275"/>
      <c r="B57" s="410"/>
      <c r="C57" s="282"/>
      <c r="D57" s="282"/>
      <c r="E57" s="282"/>
      <c r="F57" s="282"/>
      <c r="G57" s="43"/>
      <c r="H57" s="43"/>
      <c r="I57" s="43"/>
      <c r="J57" s="43"/>
      <c r="L57" s="411"/>
      <c r="N57" s="99"/>
    </row>
    <row r="58" spans="1:21" s="99" customFormat="1" ht="17.25" customHeight="1">
      <c r="A58" s="51"/>
      <c r="B58" s="93"/>
      <c r="C58" s="33"/>
      <c r="D58" s="33"/>
      <c r="E58" s="33"/>
      <c r="F58" s="33"/>
      <c r="G58" s="93"/>
      <c r="H58" s="93"/>
      <c r="I58" s="93"/>
      <c r="J58" s="93"/>
      <c r="K58" s="93"/>
      <c r="L58" s="33"/>
      <c r="M58" s="106"/>
      <c r="N58" s="93"/>
      <c r="O58" s="93"/>
      <c r="P58" s="93"/>
      <c r="Q58" s="93"/>
      <c r="R58" s="93"/>
      <c r="S58" s="93"/>
      <c r="T58" s="93"/>
      <c r="U58" s="93"/>
    </row>
    <row r="59" spans="1:11" s="299" customFormat="1" ht="17.25" customHeight="1">
      <c r="A59" s="66" t="s">
        <v>51</v>
      </c>
      <c r="B59" s="67"/>
      <c r="C59" s="67"/>
      <c r="D59" s="50"/>
      <c r="E59" s="397"/>
      <c r="F59" s="50"/>
      <c r="H59" s="50"/>
      <c r="K59" s="67" t="s">
        <v>296</v>
      </c>
    </row>
    <row r="60" spans="1:11" s="299" customFormat="1" ht="17.25" customHeight="1">
      <c r="A60" s="412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6" spans="1:4" ht="17.25" customHeight="1">
      <c r="A66" s="609" t="s">
        <v>684</v>
      </c>
      <c r="B66" s="609"/>
      <c r="C66" s="609"/>
      <c r="D66" s="609"/>
    </row>
    <row r="67" spans="1:4" ht="17.25" customHeight="1">
      <c r="A67" s="168" t="s">
        <v>562</v>
      </c>
      <c r="B67" s="3"/>
      <c r="C67" s="3"/>
      <c r="D67" s="3"/>
    </row>
    <row r="68" s="44" customFormat="1" ht="17.25" customHeight="1">
      <c r="A68" s="307"/>
    </row>
    <row r="69" ht="17.25" customHeight="1">
      <c r="A69" s="307"/>
    </row>
  </sheetData>
  <mergeCells count="10">
    <mergeCell ref="A66:D66"/>
    <mergeCell ref="I8:I10"/>
    <mergeCell ref="Q8:Q10"/>
    <mergeCell ref="A8:A10"/>
    <mergeCell ref="B8:B10"/>
    <mergeCell ref="H8:H10"/>
    <mergeCell ref="C8:E9"/>
    <mergeCell ref="G8:G10"/>
    <mergeCell ref="F8:F10"/>
    <mergeCell ref="K9:P9"/>
  </mergeCells>
  <printOptions horizontalCentered="1"/>
  <pageMargins left="0.37" right="0.28" top="0.89" bottom="0.64" header="0.5118110236220472" footer="0.26"/>
  <pageSetup firstPageNumber="44" useFirstPageNumber="1" horizontalDpi="600" verticalDpi="600" orientation="landscape" paperSize="9" scale="86" r:id="rId1"/>
  <headerFooter alignWithMargins="0">
    <oddFooter>&amp;R&amp;P</oddFooter>
  </headerFooter>
  <rowBreaks count="1" manualBreakCount="1">
    <brk id="37" max="16" man="1"/>
  </rowBreaks>
  <colBreaks count="1" manualBreakCount="1"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2" sqref="A2:P2"/>
    </sheetView>
  </sheetViews>
  <sheetFormatPr defaultColWidth="9.140625" defaultRowHeight="17.25" customHeight="1"/>
  <cols>
    <col min="1" max="1" width="22.57421875" style="310" customWidth="1"/>
    <col min="2" max="2" width="9.140625" style="282" customWidth="1"/>
    <col min="3" max="3" width="10.140625" style="282" bestFit="1" customWidth="1"/>
    <col min="4" max="4" width="6.7109375" style="282" bestFit="1" customWidth="1"/>
    <col min="5" max="5" width="7.8515625" style="282" customWidth="1"/>
    <col min="6" max="6" width="11.7109375" style="282" customWidth="1"/>
    <col min="7" max="7" width="7.8515625" style="282" customWidth="1"/>
    <col min="8" max="8" width="10.421875" style="282" customWidth="1"/>
    <col min="9" max="9" width="6.28125" style="282" customWidth="1"/>
    <col min="10" max="10" width="11.00390625" style="282" customWidth="1"/>
    <col min="11" max="11" width="9.00390625" style="282" customWidth="1"/>
    <col min="12" max="13" width="8.7109375" style="282" customWidth="1"/>
    <col min="14" max="14" width="9.28125" style="282" bestFit="1" customWidth="1"/>
    <col min="15" max="15" width="10.7109375" style="282" bestFit="1" customWidth="1"/>
    <col min="16" max="16" width="8.8515625" style="282" customWidth="1"/>
    <col min="17" max="16384" width="9.140625" style="282" customWidth="1"/>
  </cols>
  <sheetData>
    <row r="1" spans="2:15" s="8" customFormat="1" ht="17.25" customHeight="1">
      <c r="B1" s="5"/>
      <c r="C1" s="5"/>
      <c r="D1" s="5"/>
      <c r="E1" s="5"/>
      <c r="F1" s="5"/>
      <c r="G1" s="5"/>
      <c r="H1" s="5"/>
      <c r="I1" s="5"/>
      <c r="J1" s="5"/>
      <c r="K1" s="48"/>
      <c r="O1" s="168" t="s">
        <v>150</v>
      </c>
    </row>
    <row r="2" spans="1:16" s="8" customFormat="1" ht="17.25" customHeight="1">
      <c r="A2" s="625" t="s">
        <v>136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2" s="3" customFormat="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8"/>
    </row>
    <row r="4" spans="1:16" s="370" customFormat="1" ht="17.25" customHeight="1">
      <c r="A4" s="616" t="s">
        <v>151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</row>
    <row r="5" spans="1:16" s="370" customFormat="1" ht="17.25" customHeight="1">
      <c r="A5" s="640" t="s">
        <v>301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</row>
    <row r="6" spans="1:16" ht="17.25" customHeight="1">
      <c r="A6" s="399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 t="s">
        <v>682</v>
      </c>
    </row>
    <row r="7" spans="1:16" s="8" customFormat="1" ht="17.25" customHeight="1">
      <c r="A7" s="596" t="s">
        <v>138</v>
      </c>
      <c r="B7" s="596" t="s">
        <v>306</v>
      </c>
      <c r="C7" s="606" t="s">
        <v>84</v>
      </c>
      <c r="D7" s="607"/>
      <c r="E7" s="607"/>
      <c r="F7" s="596" t="s">
        <v>139</v>
      </c>
      <c r="G7" s="596" t="s">
        <v>152</v>
      </c>
      <c r="H7" s="596" t="s">
        <v>141</v>
      </c>
      <c r="I7" s="596" t="s">
        <v>153</v>
      </c>
      <c r="J7" s="401" t="s">
        <v>143</v>
      </c>
      <c r="K7" s="377"/>
      <c r="L7" s="377"/>
      <c r="M7" s="402"/>
      <c r="N7" s="377"/>
      <c r="O7" s="377"/>
      <c r="P7" s="596" t="s">
        <v>185</v>
      </c>
    </row>
    <row r="8" spans="1:16" s="3" customFormat="1" ht="17.25" customHeight="1">
      <c r="A8" s="597"/>
      <c r="B8" s="597"/>
      <c r="C8" s="607"/>
      <c r="D8" s="607"/>
      <c r="E8" s="607"/>
      <c r="F8" s="597"/>
      <c r="G8" s="597"/>
      <c r="H8" s="597"/>
      <c r="I8" s="597"/>
      <c r="J8" s="603" t="s">
        <v>88</v>
      </c>
      <c r="K8" s="604"/>
      <c r="L8" s="604"/>
      <c r="M8" s="604"/>
      <c r="N8" s="604"/>
      <c r="O8" s="605"/>
      <c r="P8" s="598"/>
    </row>
    <row r="9" spans="1:16" s="336" customFormat="1" ht="45">
      <c r="A9" s="595"/>
      <c r="B9" s="595"/>
      <c r="C9" s="10" t="s">
        <v>154</v>
      </c>
      <c r="D9" s="10" t="s">
        <v>146</v>
      </c>
      <c r="E9" s="10" t="s">
        <v>147</v>
      </c>
      <c r="F9" s="595"/>
      <c r="G9" s="595"/>
      <c r="H9" s="595"/>
      <c r="I9" s="595"/>
      <c r="J9" s="404" t="s">
        <v>589</v>
      </c>
      <c r="K9" s="404" t="s">
        <v>148</v>
      </c>
      <c r="L9" s="404" t="s">
        <v>91</v>
      </c>
      <c r="M9" s="404" t="s">
        <v>92</v>
      </c>
      <c r="N9" s="10" t="s">
        <v>155</v>
      </c>
      <c r="O9" s="10" t="s">
        <v>601</v>
      </c>
      <c r="P9" s="608"/>
    </row>
    <row r="10" spans="1:16" ht="12" customHeight="1">
      <c r="A10" s="10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</row>
    <row r="11" spans="1:16" s="8" customFormat="1" ht="12" customHeight="1">
      <c r="A11" s="405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2" customHeight="1">
      <c r="A12" s="405" t="s">
        <v>96</v>
      </c>
      <c r="B12" s="103">
        <v>5</v>
      </c>
      <c r="C12" s="103">
        <v>12</v>
      </c>
      <c r="D12" s="103">
        <v>5</v>
      </c>
      <c r="E12" s="103">
        <f aca="true" t="shared" si="0" ref="E12:E17">C12+D12</f>
        <v>17</v>
      </c>
      <c r="F12" s="103">
        <f aca="true" t="shared" si="1" ref="F12:F44">B12-E12</f>
        <v>-12</v>
      </c>
      <c r="G12" s="103"/>
      <c r="H12" s="103">
        <f aca="true" t="shared" si="2" ref="H12:H45">F12-G12</f>
        <v>-12</v>
      </c>
      <c r="I12" s="103">
        <f aca="true" t="shared" si="3" ref="I12:I45">-(F12-G12)</f>
        <v>12</v>
      </c>
      <c r="J12" s="103"/>
      <c r="K12" s="103">
        <f aca="true" t="shared" si="4" ref="K12:K17">L12-M12</f>
        <v>12</v>
      </c>
      <c r="L12" s="103">
        <v>16</v>
      </c>
      <c r="M12" s="103">
        <v>4</v>
      </c>
      <c r="N12" s="103"/>
      <c r="O12" s="103"/>
      <c r="P12" s="103"/>
    </row>
    <row r="13" spans="1:16" ht="12" customHeight="1">
      <c r="A13" s="405" t="s">
        <v>97</v>
      </c>
      <c r="B13" s="103"/>
      <c r="C13" s="103"/>
      <c r="D13" s="103"/>
      <c r="E13" s="103">
        <f t="shared" si="0"/>
        <v>0</v>
      </c>
      <c r="F13" s="103">
        <f t="shared" si="1"/>
        <v>0</v>
      </c>
      <c r="G13" s="103"/>
      <c r="H13" s="103">
        <f t="shared" si="2"/>
        <v>0</v>
      </c>
      <c r="I13" s="103">
        <f t="shared" si="3"/>
        <v>0</v>
      </c>
      <c r="J13" s="103"/>
      <c r="K13" s="103">
        <f t="shared" si="4"/>
        <v>0</v>
      </c>
      <c r="L13" s="103"/>
      <c r="M13" s="103"/>
      <c r="N13" s="103"/>
      <c r="O13" s="103"/>
      <c r="P13" s="103"/>
    </row>
    <row r="14" spans="1:16" ht="12" customHeight="1">
      <c r="A14" s="405" t="s">
        <v>98</v>
      </c>
      <c r="B14" s="103">
        <v>3</v>
      </c>
      <c r="C14" s="103">
        <v>2</v>
      </c>
      <c r="D14" s="103">
        <v>1</v>
      </c>
      <c r="E14" s="103">
        <f t="shared" si="0"/>
        <v>3</v>
      </c>
      <c r="F14" s="103">
        <f t="shared" si="1"/>
        <v>0</v>
      </c>
      <c r="G14" s="103"/>
      <c r="H14" s="103">
        <f t="shared" si="2"/>
        <v>0</v>
      </c>
      <c r="I14" s="103">
        <f t="shared" si="3"/>
        <v>0</v>
      </c>
      <c r="J14" s="103"/>
      <c r="K14" s="103">
        <f t="shared" si="4"/>
        <v>-1</v>
      </c>
      <c r="L14" s="103">
        <v>65</v>
      </c>
      <c r="M14" s="103">
        <v>66</v>
      </c>
      <c r="N14" s="103"/>
      <c r="O14" s="103"/>
      <c r="P14" s="103"/>
    </row>
    <row r="15" spans="1:16" ht="12" customHeight="1">
      <c r="A15" s="405" t="s">
        <v>99</v>
      </c>
      <c r="B15" s="103">
        <v>2</v>
      </c>
      <c r="C15" s="103">
        <v>4</v>
      </c>
      <c r="D15" s="103"/>
      <c r="E15" s="103">
        <f t="shared" si="0"/>
        <v>4</v>
      </c>
      <c r="F15" s="103">
        <f t="shared" si="1"/>
        <v>-2</v>
      </c>
      <c r="G15" s="103"/>
      <c r="H15" s="103">
        <f t="shared" si="2"/>
        <v>-2</v>
      </c>
      <c r="I15" s="103">
        <f t="shared" si="3"/>
        <v>2</v>
      </c>
      <c r="J15" s="103"/>
      <c r="K15" s="103">
        <f t="shared" si="4"/>
        <v>2</v>
      </c>
      <c r="L15" s="103">
        <v>30</v>
      </c>
      <c r="M15" s="103">
        <v>28</v>
      </c>
      <c r="N15" s="103"/>
      <c r="O15" s="103"/>
      <c r="P15" s="103"/>
    </row>
    <row r="16" spans="1:16" ht="12" customHeight="1">
      <c r="A16" s="405" t="s">
        <v>100</v>
      </c>
      <c r="B16" s="103">
        <v>0</v>
      </c>
      <c r="C16" s="103">
        <v>1</v>
      </c>
      <c r="D16" s="103"/>
      <c r="E16" s="103">
        <f t="shared" si="0"/>
        <v>1</v>
      </c>
      <c r="F16" s="103">
        <f t="shared" si="1"/>
        <v>-1</v>
      </c>
      <c r="G16" s="103"/>
      <c r="H16" s="103">
        <f t="shared" si="2"/>
        <v>-1</v>
      </c>
      <c r="I16" s="103">
        <f t="shared" si="3"/>
        <v>1</v>
      </c>
      <c r="J16" s="103"/>
      <c r="K16" s="103">
        <f t="shared" si="4"/>
        <v>1</v>
      </c>
      <c r="L16" s="103">
        <v>4</v>
      </c>
      <c r="M16" s="103">
        <v>3</v>
      </c>
      <c r="N16" s="103"/>
      <c r="O16" s="103"/>
      <c r="P16" s="103"/>
    </row>
    <row r="17" spans="1:16" ht="12" customHeight="1">
      <c r="A17" s="405" t="s">
        <v>101</v>
      </c>
      <c r="B17" s="103">
        <v>255</v>
      </c>
      <c r="C17" s="103">
        <v>93</v>
      </c>
      <c r="D17" s="103">
        <v>35</v>
      </c>
      <c r="E17" s="103">
        <f t="shared" si="0"/>
        <v>128</v>
      </c>
      <c r="F17" s="103">
        <f t="shared" si="1"/>
        <v>127</v>
      </c>
      <c r="G17" s="103">
        <v>-776</v>
      </c>
      <c r="H17" s="103">
        <f t="shared" si="2"/>
        <v>903</v>
      </c>
      <c r="I17" s="103">
        <f t="shared" si="3"/>
        <v>-903</v>
      </c>
      <c r="J17" s="103"/>
      <c r="K17" s="103">
        <f t="shared" si="4"/>
        <v>-900</v>
      </c>
      <c r="L17" s="103">
        <v>1172</v>
      </c>
      <c r="M17" s="103">
        <v>2072</v>
      </c>
      <c r="N17" s="103"/>
      <c r="O17" s="103"/>
      <c r="P17" s="103"/>
    </row>
    <row r="18" spans="1:16" ht="12" customHeight="1">
      <c r="A18" s="266" t="s">
        <v>102</v>
      </c>
      <c r="B18" s="103">
        <f>SUM(B11:B17)</f>
        <v>265</v>
      </c>
      <c r="C18" s="103">
        <f>SUM(C11:C17)</f>
        <v>112</v>
      </c>
      <c r="D18" s="103">
        <f>SUM(D11:D17)</f>
        <v>41</v>
      </c>
      <c r="E18" s="103">
        <f>SUM(E11:E17)</f>
        <v>153</v>
      </c>
      <c r="F18" s="103">
        <f t="shared" si="1"/>
        <v>112</v>
      </c>
      <c r="G18" s="103">
        <f>SUM(G11:G17)</f>
        <v>-776</v>
      </c>
      <c r="H18" s="103">
        <f t="shared" si="2"/>
        <v>888</v>
      </c>
      <c r="I18" s="103">
        <f t="shared" si="3"/>
        <v>-888</v>
      </c>
      <c r="J18" s="103"/>
      <c r="K18" s="103">
        <f>SUM(K11:K17)</f>
        <v>-886</v>
      </c>
      <c r="L18" s="103">
        <f>SUM(L11:L17)</f>
        <v>1287</v>
      </c>
      <c r="M18" s="103">
        <f>SUM(M11:M17)</f>
        <v>2173</v>
      </c>
      <c r="N18" s="103"/>
      <c r="O18" s="103"/>
      <c r="P18" s="103"/>
    </row>
    <row r="19" spans="1:16" s="408" customFormat="1" ht="12" customHeight="1">
      <c r="A19" s="405" t="s">
        <v>104</v>
      </c>
      <c r="B19" s="103">
        <v>3</v>
      </c>
      <c r="C19" s="103">
        <v>1</v>
      </c>
      <c r="D19" s="103">
        <v>4</v>
      </c>
      <c r="E19" s="103">
        <f aca="true" t="shared" si="5" ref="E19:E44">C19+D19</f>
        <v>5</v>
      </c>
      <c r="F19" s="103">
        <f t="shared" si="1"/>
        <v>-2</v>
      </c>
      <c r="G19" s="103"/>
      <c r="H19" s="103">
        <f t="shared" si="2"/>
        <v>-2</v>
      </c>
      <c r="I19" s="103">
        <f t="shared" si="3"/>
        <v>2</v>
      </c>
      <c r="J19" s="103"/>
      <c r="K19" s="103">
        <f aca="true" t="shared" si="6" ref="K19:K44">L19-M19</f>
        <v>1</v>
      </c>
      <c r="L19" s="103">
        <v>5</v>
      </c>
      <c r="M19" s="103">
        <v>4</v>
      </c>
      <c r="N19" s="103"/>
      <c r="O19" s="103"/>
      <c r="P19" s="103"/>
    </row>
    <row r="20" spans="1:16" ht="12" customHeight="1">
      <c r="A20" s="405" t="s">
        <v>105</v>
      </c>
      <c r="B20" s="103">
        <v>3</v>
      </c>
      <c r="C20" s="103">
        <v>1</v>
      </c>
      <c r="D20" s="103">
        <v>3</v>
      </c>
      <c r="E20" s="103">
        <f t="shared" si="5"/>
        <v>4</v>
      </c>
      <c r="F20" s="103">
        <f t="shared" si="1"/>
        <v>-1</v>
      </c>
      <c r="G20" s="103"/>
      <c r="H20" s="103">
        <f t="shared" si="2"/>
        <v>-1</v>
      </c>
      <c r="I20" s="103">
        <f t="shared" si="3"/>
        <v>1</v>
      </c>
      <c r="J20" s="103"/>
      <c r="K20" s="103">
        <f t="shared" si="6"/>
        <v>1</v>
      </c>
      <c r="L20" s="103">
        <v>19</v>
      </c>
      <c r="M20" s="103">
        <v>18</v>
      </c>
      <c r="N20" s="103"/>
      <c r="O20" s="103"/>
      <c r="P20" s="103"/>
    </row>
    <row r="21" spans="1:16" ht="12" customHeight="1">
      <c r="A21" s="405" t="s">
        <v>106</v>
      </c>
      <c r="B21" s="103">
        <v>0</v>
      </c>
      <c r="C21" s="103"/>
      <c r="D21" s="103"/>
      <c r="E21" s="103">
        <f t="shared" si="5"/>
        <v>0</v>
      </c>
      <c r="F21" s="103">
        <f t="shared" si="1"/>
        <v>0</v>
      </c>
      <c r="G21" s="103"/>
      <c r="H21" s="103">
        <f t="shared" si="2"/>
        <v>0</v>
      </c>
      <c r="I21" s="103">
        <f t="shared" si="3"/>
        <v>0</v>
      </c>
      <c r="J21" s="103"/>
      <c r="K21" s="103">
        <f t="shared" si="6"/>
        <v>0</v>
      </c>
      <c r="L21" s="103"/>
      <c r="M21" s="103"/>
      <c r="N21" s="103"/>
      <c r="O21" s="103"/>
      <c r="P21" s="103"/>
    </row>
    <row r="22" spans="1:16" ht="12" customHeight="1">
      <c r="A22" s="405" t="s">
        <v>107</v>
      </c>
      <c r="B22" s="103">
        <v>0</v>
      </c>
      <c r="C22" s="103">
        <v>1</v>
      </c>
      <c r="D22" s="103"/>
      <c r="E22" s="103">
        <f t="shared" si="5"/>
        <v>1</v>
      </c>
      <c r="F22" s="103">
        <f t="shared" si="1"/>
        <v>-1</v>
      </c>
      <c r="G22" s="103"/>
      <c r="H22" s="103">
        <f t="shared" si="2"/>
        <v>-1</v>
      </c>
      <c r="I22" s="103">
        <f t="shared" si="3"/>
        <v>1</v>
      </c>
      <c r="J22" s="103"/>
      <c r="K22" s="103">
        <f t="shared" si="6"/>
        <v>0</v>
      </c>
      <c r="L22" s="103">
        <v>21</v>
      </c>
      <c r="M22" s="103">
        <v>21</v>
      </c>
      <c r="N22" s="103"/>
      <c r="O22" s="103"/>
      <c r="P22" s="103"/>
    </row>
    <row r="23" spans="1:16" ht="12" customHeight="1">
      <c r="A23" s="405" t="s">
        <v>108</v>
      </c>
      <c r="B23" s="103">
        <v>2</v>
      </c>
      <c r="C23" s="103">
        <v>10</v>
      </c>
      <c r="D23" s="103"/>
      <c r="E23" s="103">
        <f t="shared" si="5"/>
        <v>10</v>
      </c>
      <c r="F23" s="103">
        <f t="shared" si="1"/>
        <v>-8</v>
      </c>
      <c r="G23" s="103"/>
      <c r="H23" s="103">
        <f t="shared" si="2"/>
        <v>-8</v>
      </c>
      <c r="I23" s="103">
        <f t="shared" si="3"/>
        <v>8</v>
      </c>
      <c r="J23" s="103"/>
      <c r="K23" s="103">
        <f t="shared" si="6"/>
        <v>8</v>
      </c>
      <c r="L23" s="103">
        <v>22</v>
      </c>
      <c r="M23" s="103">
        <v>14</v>
      </c>
      <c r="N23" s="103"/>
      <c r="O23" s="103"/>
      <c r="P23" s="103"/>
    </row>
    <row r="24" spans="1:16" ht="12" customHeight="1">
      <c r="A24" s="405" t="s">
        <v>109</v>
      </c>
      <c r="B24" s="103">
        <v>3</v>
      </c>
      <c r="C24" s="103">
        <v>3</v>
      </c>
      <c r="D24" s="103"/>
      <c r="E24" s="103">
        <f t="shared" si="5"/>
        <v>3</v>
      </c>
      <c r="F24" s="103">
        <f t="shared" si="1"/>
        <v>0</v>
      </c>
      <c r="G24" s="103"/>
      <c r="H24" s="103">
        <f t="shared" si="2"/>
        <v>0</v>
      </c>
      <c r="I24" s="103">
        <f t="shared" si="3"/>
        <v>0</v>
      </c>
      <c r="J24" s="103"/>
      <c r="K24" s="103">
        <f t="shared" si="6"/>
        <v>-1</v>
      </c>
      <c r="L24" s="103">
        <v>4</v>
      </c>
      <c r="M24" s="103">
        <v>5</v>
      </c>
      <c r="N24" s="103"/>
      <c r="O24" s="103"/>
      <c r="P24" s="103"/>
    </row>
    <row r="25" spans="1:16" ht="12" customHeight="1">
      <c r="A25" s="405" t="s">
        <v>110</v>
      </c>
      <c r="B25" s="103">
        <v>6</v>
      </c>
      <c r="C25" s="103">
        <v>5</v>
      </c>
      <c r="D25" s="103"/>
      <c r="E25" s="103">
        <f t="shared" si="5"/>
        <v>5</v>
      </c>
      <c r="F25" s="103">
        <f t="shared" si="1"/>
        <v>1</v>
      </c>
      <c r="G25" s="103"/>
      <c r="H25" s="103">
        <f t="shared" si="2"/>
        <v>1</v>
      </c>
      <c r="I25" s="103">
        <f t="shared" si="3"/>
        <v>-1</v>
      </c>
      <c r="J25" s="103"/>
      <c r="K25" s="103">
        <f t="shared" si="6"/>
        <v>0</v>
      </c>
      <c r="L25" s="103">
        <v>7</v>
      </c>
      <c r="M25" s="103">
        <v>7</v>
      </c>
      <c r="N25" s="103"/>
      <c r="O25" s="103"/>
      <c r="P25" s="103"/>
    </row>
    <row r="26" spans="1:16" ht="12" customHeight="1">
      <c r="A26" s="405" t="s">
        <v>111</v>
      </c>
      <c r="B26" s="103">
        <v>1</v>
      </c>
      <c r="C26" s="103">
        <v>1</v>
      </c>
      <c r="D26" s="103">
        <v>1</v>
      </c>
      <c r="E26" s="103">
        <f t="shared" si="5"/>
        <v>2</v>
      </c>
      <c r="F26" s="103">
        <f t="shared" si="1"/>
        <v>-1</v>
      </c>
      <c r="G26" s="103"/>
      <c r="H26" s="103">
        <f t="shared" si="2"/>
        <v>-1</v>
      </c>
      <c r="I26" s="103">
        <f t="shared" si="3"/>
        <v>1</v>
      </c>
      <c r="J26" s="103"/>
      <c r="K26" s="103">
        <f t="shared" si="6"/>
        <v>0</v>
      </c>
      <c r="L26" s="103">
        <v>0</v>
      </c>
      <c r="M26" s="103">
        <v>0</v>
      </c>
      <c r="N26" s="103"/>
      <c r="O26" s="103"/>
      <c r="P26" s="103"/>
    </row>
    <row r="27" spans="1:16" ht="12" customHeight="1">
      <c r="A27" s="405" t="s">
        <v>112</v>
      </c>
      <c r="B27" s="103">
        <v>0</v>
      </c>
      <c r="C27" s="103"/>
      <c r="D27" s="103"/>
      <c r="E27" s="103">
        <f t="shared" si="5"/>
        <v>0</v>
      </c>
      <c r="F27" s="103">
        <f t="shared" si="1"/>
        <v>0</v>
      </c>
      <c r="G27" s="103"/>
      <c r="H27" s="103">
        <f t="shared" si="2"/>
        <v>0</v>
      </c>
      <c r="I27" s="103">
        <f t="shared" si="3"/>
        <v>0</v>
      </c>
      <c r="J27" s="103"/>
      <c r="K27" s="103">
        <f t="shared" si="6"/>
        <v>0</v>
      </c>
      <c r="L27" s="103"/>
      <c r="M27" s="103"/>
      <c r="N27" s="103"/>
      <c r="O27" s="103"/>
      <c r="P27" s="103"/>
    </row>
    <row r="28" spans="1:16" ht="12" customHeight="1">
      <c r="A28" s="405" t="s">
        <v>113</v>
      </c>
      <c r="B28" s="103">
        <v>1</v>
      </c>
      <c r="C28" s="103">
        <v>1</v>
      </c>
      <c r="D28" s="103">
        <v>1</v>
      </c>
      <c r="E28" s="103">
        <f t="shared" si="5"/>
        <v>2</v>
      </c>
      <c r="F28" s="103">
        <f t="shared" si="1"/>
        <v>-1</v>
      </c>
      <c r="G28" s="103"/>
      <c r="H28" s="103">
        <f t="shared" si="2"/>
        <v>-1</v>
      </c>
      <c r="I28" s="103">
        <f t="shared" si="3"/>
        <v>1</v>
      </c>
      <c r="J28" s="103"/>
      <c r="K28" s="103">
        <f t="shared" si="6"/>
        <v>1</v>
      </c>
      <c r="L28" s="103">
        <v>16</v>
      </c>
      <c r="M28" s="103">
        <v>15</v>
      </c>
      <c r="N28" s="103"/>
      <c r="O28" s="103"/>
      <c r="P28" s="103"/>
    </row>
    <row r="29" spans="1:16" ht="12" customHeight="1">
      <c r="A29" s="405" t="s">
        <v>114</v>
      </c>
      <c r="B29" s="103">
        <v>0</v>
      </c>
      <c r="C29" s="103"/>
      <c r="D29" s="103"/>
      <c r="E29" s="103">
        <f t="shared" si="5"/>
        <v>0</v>
      </c>
      <c r="F29" s="103">
        <f t="shared" si="1"/>
        <v>0</v>
      </c>
      <c r="G29" s="103"/>
      <c r="H29" s="103">
        <f t="shared" si="2"/>
        <v>0</v>
      </c>
      <c r="I29" s="103">
        <f t="shared" si="3"/>
        <v>0</v>
      </c>
      <c r="J29" s="103"/>
      <c r="K29" s="103">
        <f t="shared" si="6"/>
        <v>0</v>
      </c>
      <c r="L29" s="103">
        <v>1</v>
      </c>
      <c r="M29" s="103">
        <v>1</v>
      </c>
      <c r="N29" s="103"/>
      <c r="O29" s="103"/>
      <c r="P29" s="103"/>
    </row>
    <row r="30" spans="1:16" ht="12" customHeight="1">
      <c r="A30" s="405" t="s">
        <v>115</v>
      </c>
      <c r="B30" s="103">
        <v>0</v>
      </c>
      <c r="C30" s="103">
        <v>1</v>
      </c>
      <c r="D30" s="103">
        <v>1</v>
      </c>
      <c r="E30" s="103">
        <f t="shared" si="5"/>
        <v>2</v>
      </c>
      <c r="F30" s="103">
        <f t="shared" si="1"/>
        <v>-2</v>
      </c>
      <c r="G30" s="103"/>
      <c r="H30" s="103">
        <f t="shared" si="2"/>
        <v>-2</v>
      </c>
      <c r="I30" s="103">
        <f t="shared" si="3"/>
        <v>2</v>
      </c>
      <c r="J30" s="103"/>
      <c r="K30" s="103">
        <f t="shared" si="6"/>
        <v>1</v>
      </c>
      <c r="L30" s="103">
        <v>6</v>
      </c>
      <c r="M30" s="103">
        <v>5</v>
      </c>
      <c r="N30" s="103"/>
      <c r="O30" s="103"/>
      <c r="P30" s="103"/>
    </row>
    <row r="31" spans="1:16" ht="12" customHeight="1">
      <c r="A31" s="405" t="s">
        <v>116</v>
      </c>
      <c r="B31" s="103">
        <v>0</v>
      </c>
      <c r="C31" s="103"/>
      <c r="D31" s="103"/>
      <c r="E31" s="103">
        <f t="shared" si="5"/>
        <v>0</v>
      </c>
      <c r="F31" s="103">
        <f t="shared" si="1"/>
        <v>0</v>
      </c>
      <c r="G31" s="103"/>
      <c r="H31" s="103">
        <f t="shared" si="2"/>
        <v>0</v>
      </c>
      <c r="I31" s="103">
        <f t="shared" si="3"/>
        <v>0</v>
      </c>
      <c r="J31" s="103"/>
      <c r="K31" s="103">
        <f t="shared" si="6"/>
        <v>0</v>
      </c>
      <c r="L31" s="103">
        <v>2</v>
      </c>
      <c r="M31" s="103">
        <v>2</v>
      </c>
      <c r="N31" s="103"/>
      <c r="O31" s="103"/>
      <c r="P31" s="103"/>
    </row>
    <row r="32" spans="1:16" ht="12" customHeight="1">
      <c r="A32" s="405" t="s">
        <v>117</v>
      </c>
      <c r="B32" s="103">
        <v>0</v>
      </c>
      <c r="C32" s="103"/>
      <c r="D32" s="103"/>
      <c r="E32" s="103">
        <f t="shared" si="5"/>
        <v>0</v>
      </c>
      <c r="F32" s="103">
        <f t="shared" si="1"/>
        <v>0</v>
      </c>
      <c r="G32" s="103"/>
      <c r="H32" s="103">
        <f t="shared" si="2"/>
        <v>0</v>
      </c>
      <c r="I32" s="103">
        <f t="shared" si="3"/>
        <v>0</v>
      </c>
      <c r="J32" s="103"/>
      <c r="K32" s="103">
        <f t="shared" si="6"/>
        <v>0</v>
      </c>
      <c r="L32" s="103">
        <v>4</v>
      </c>
      <c r="M32" s="103">
        <v>4</v>
      </c>
      <c r="N32" s="103"/>
      <c r="O32" s="103"/>
      <c r="P32" s="103"/>
    </row>
    <row r="33" spans="1:16" ht="12" customHeight="1">
      <c r="A33" s="405" t="s">
        <v>118</v>
      </c>
      <c r="B33" s="103">
        <v>0</v>
      </c>
      <c r="C33" s="103"/>
      <c r="D33" s="103"/>
      <c r="E33" s="103">
        <f t="shared" si="5"/>
        <v>0</v>
      </c>
      <c r="F33" s="103">
        <f t="shared" si="1"/>
        <v>0</v>
      </c>
      <c r="G33" s="103"/>
      <c r="H33" s="103">
        <f t="shared" si="2"/>
        <v>0</v>
      </c>
      <c r="I33" s="103">
        <f t="shared" si="3"/>
        <v>0</v>
      </c>
      <c r="J33" s="103"/>
      <c r="K33" s="103">
        <f t="shared" si="6"/>
        <v>0</v>
      </c>
      <c r="L33" s="103">
        <v>2</v>
      </c>
      <c r="M33" s="103">
        <v>2</v>
      </c>
      <c r="N33" s="103"/>
      <c r="O33" s="103"/>
      <c r="P33" s="103"/>
    </row>
    <row r="34" spans="1:16" ht="12" customHeight="1">
      <c r="A34" s="405" t="s">
        <v>119</v>
      </c>
      <c r="B34" s="103">
        <v>2</v>
      </c>
      <c r="C34" s="103">
        <v>2</v>
      </c>
      <c r="D34" s="103"/>
      <c r="E34" s="103">
        <f t="shared" si="5"/>
        <v>2</v>
      </c>
      <c r="F34" s="103">
        <f t="shared" si="1"/>
        <v>0</v>
      </c>
      <c r="G34" s="103"/>
      <c r="H34" s="103">
        <f t="shared" si="2"/>
        <v>0</v>
      </c>
      <c r="I34" s="103">
        <f t="shared" si="3"/>
        <v>0</v>
      </c>
      <c r="J34" s="103"/>
      <c r="K34" s="103">
        <f t="shared" si="6"/>
        <v>-1</v>
      </c>
      <c r="L34" s="103">
        <v>3</v>
      </c>
      <c r="M34" s="103">
        <v>4</v>
      </c>
      <c r="N34" s="103"/>
      <c r="O34" s="103"/>
      <c r="P34" s="103"/>
    </row>
    <row r="35" spans="1:16" ht="12" customHeight="1">
      <c r="A35" s="405" t="s">
        <v>120</v>
      </c>
      <c r="B35" s="103">
        <v>0</v>
      </c>
      <c r="C35" s="103"/>
      <c r="D35" s="103"/>
      <c r="E35" s="103">
        <f t="shared" si="5"/>
        <v>0</v>
      </c>
      <c r="F35" s="103">
        <f t="shared" si="1"/>
        <v>0</v>
      </c>
      <c r="G35" s="103"/>
      <c r="H35" s="103">
        <f t="shared" si="2"/>
        <v>0</v>
      </c>
      <c r="I35" s="103">
        <f t="shared" si="3"/>
        <v>0</v>
      </c>
      <c r="J35" s="103"/>
      <c r="K35" s="103">
        <f t="shared" si="6"/>
        <v>0</v>
      </c>
      <c r="L35" s="103">
        <v>3</v>
      </c>
      <c r="M35" s="103">
        <v>3</v>
      </c>
      <c r="N35" s="103"/>
      <c r="O35" s="103"/>
      <c r="P35" s="103"/>
    </row>
    <row r="36" spans="1:16" ht="12" customHeight="1">
      <c r="A36" s="405" t="s">
        <v>121</v>
      </c>
      <c r="B36" s="103">
        <v>0</v>
      </c>
      <c r="C36" s="103"/>
      <c r="D36" s="103"/>
      <c r="E36" s="103">
        <f t="shared" si="5"/>
        <v>0</v>
      </c>
      <c r="F36" s="103">
        <f t="shared" si="1"/>
        <v>0</v>
      </c>
      <c r="G36" s="103"/>
      <c r="H36" s="103">
        <f t="shared" si="2"/>
        <v>0</v>
      </c>
      <c r="I36" s="103">
        <f t="shared" si="3"/>
        <v>0</v>
      </c>
      <c r="J36" s="103"/>
      <c r="K36" s="103">
        <f t="shared" si="6"/>
        <v>0</v>
      </c>
      <c r="L36" s="103">
        <v>1</v>
      </c>
      <c r="M36" s="103">
        <v>1</v>
      </c>
      <c r="N36" s="103"/>
      <c r="O36" s="103"/>
      <c r="P36" s="103"/>
    </row>
    <row r="37" spans="1:16" ht="12" customHeight="1">
      <c r="A37" s="405" t="s">
        <v>122</v>
      </c>
      <c r="B37" s="103">
        <v>1</v>
      </c>
      <c r="C37" s="103"/>
      <c r="D37" s="103"/>
      <c r="E37" s="103">
        <f t="shared" si="5"/>
        <v>0</v>
      </c>
      <c r="F37" s="103">
        <f t="shared" si="1"/>
        <v>1</v>
      </c>
      <c r="G37" s="103"/>
      <c r="H37" s="103">
        <f t="shared" si="2"/>
        <v>1</v>
      </c>
      <c r="I37" s="103">
        <f t="shared" si="3"/>
        <v>-1</v>
      </c>
      <c r="J37" s="103"/>
      <c r="K37" s="103">
        <f t="shared" si="6"/>
        <v>0</v>
      </c>
      <c r="L37" s="103">
        <v>1</v>
      </c>
      <c r="M37" s="103">
        <v>1</v>
      </c>
      <c r="N37" s="103"/>
      <c r="O37" s="103"/>
      <c r="P37" s="103"/>
    </row>
    <row r="38" spans="1:16" ht="12" customHeight="1">
      <c r="A38" s="405" t="s">
        <v>123</v>
      </c>
      <c r="B38" s="103">
        <v>2</v>
      </c>
      <c r="C38" s="103">
        <v>3</v>
      </c>
      <c r="D38" s="103"/>
      <c r="E38" s="103">
        <f t="shared" si="5"/>
        <v>3</v>
      </c>
      <c r="F38" s="103">
        <f t="shared" si="1"/>
        <v>-1</v>
      </c>
      <c r="G38" s="103"/>
      <c r="H38" s="103">
        <f t="shared" si="2"/>
        <v>-1</v>
      </c>
      <c r="I38" s="103">
        <f t="shared" si="3"/>
        <v>1</v>
      </c>
      <c r="J38" s="103"/>
      <c r="K38" s="103">
        <f t="shared" si="6"/>
        <v>1</v>
      </c>
      <c r="L38" s="103">
        <v>14</v>
      </c>
      <c r="M38" s="103">
        <v>13</v>
      </c>
      <c r="N38" s="103"/>
      <c r="O38" s="103"/>
      <c r="P38" s="103"/>
    </row>
    <row r="39" spans="1:16" ht="12" customHeight="1">
      <c r="A39" s="405" t="s">
        <v>124</v>
      </c>
      <c r="B39" s="103">
        <v>8</v>
      </c>
      <c r="C39" s="103">
        <v>5</v>
      </c>
      <c r="D39" s="103"/>
      <c r="E39" s="103">
        <f t="shared" si="5"/>
        <v>5</v>
      </c>
      <c r="F39" s="103">
        <f t="shared" si="1"/>
        <v>3</v>
      </c>
      <c r="G39" s="103"/>
      <c r="H39" s="103">
        <f t="shared" si="2"/>
        <v>3</v>
      </c>
      <c r="I39" s="103">
        <f t="shared" si="3"/>
        <v>-3</v>
      </c>
      <c r="J39" s="103"/>
      <c r="K39" s="103">
        <f t="shared" si="6"/>
        <v>-3</v>
      </c>
      <c r="L39" s="103">
        <v>2</v>
      </c>
      <c r="M39" s="103">
        <v>5</v>
      </c>
      <c r="N39" s="103"/>
      <c r="O39" s="103"/>
      <c r="P39" s="103"/>
    </row>
    <row r="40" spans="1:16" ht="12" customHeight="1">
      <c r="A40" s="405" t="s">
        <v>125</v>
      </c>
      <c r="B40" s="103">
        <v>1</v>
      </c>
      <c r="C40" s="103">
        <v>2</v>
      </c>
      <c r="D40" s="103"/>
      <c r="E40" s="103">
        <f t="shared" si="5"/>
        <v>2</v>
      </c>
      <c r="F40" s="103">
        <f t="shared" si="1"/>
        <v>-1</v>
      </c>
      <c r="G40" s="103"/>
      <c r="H40" s="103">
        <f t="shared" si="2"/>
        <v>-1</v>
      </c>
      <c r="I40" s="103">
        <f t="shared" si="3"/>
        <v>1</v>
      </c>
      <c r="J40" s="103"/>
      <c r="K40" s="103">
        <f t="shared" si="6"/>
        <v>1</v>
      </c>
      <c r="L40" s="103">
        <v>17</v>
      </c>
      <c r="M40" s="103">
        <v>16</v>
      </c>
      <c r="N40" s="103"/>
      <c r="O40" s="103"/>
      <c r="P40" s="103"/>
    </row>
    <row r="41" spans="1:16" ht="12" customHeight="1">
      <c r="A41" s="405" t="s">
        <v>126</v>
      </c>
      <c r="B41" s="103">
        <v>4</v>
      </c>
      <c r="C41" s="103">
        <v>3</v>
      </c>
      <c r="D41" s="103"/>
      <c r="E41" s="103">
        <f t="shared" si="5"/>
        <v>3</v>
      </c>
      <c r="F41" s="103">
        <f t="shared" si="1"/>
        <v>1</v>
      </c>
      <c r="G41" s="103"/>
      <c r="H41" s="103">
        <f t="shared" si="2"/>
        <v>1</v>
      </c>
      <c r="I41" s="103">
        <f t="shared" si="3"/>
        <v>-1</v>
      </c>
      <c r="J41" s="103"/>
      <c r="K41" s="103">
        <f t="shared" si="6"/>
        <v>0</v>
      </c>
      <c r="L41" s="103">
        <v>12</v>
      </c>
      <c r="M41" s="103">
        <v>12</v>
      </c>
      <c r="N41" s="103"/>
      <c r="O41" s="103"/>
      <c r="P41" s="103"/>
    </row>
    <row r="42" spans="1:16" ht="12" customHeight="1">
      <c r="A42" s="405" t="s">
        <v>127</v>
      </c>
      <c r="B42" s="103">
        <v>1</v>
      </c>
      <c r="C42" s="103">
        <v>1</v>
      </c>
      <c r="D42" s="103"/>
      <c r="E42" s="103">
        <f t="shared" si="5"/>
        <v>1</v>
      </c>
      <c r="F42" s="103">
        <f t="shared" si="1"/>
        <v>0</v>
      </c>
      <c r="G42" s="103"/>
      <c r="H42" s="103">
        <f t="shared" si="2"/>
        <v>0</v>
      </c>
      <c r="I42" s="103">
        <f t="shared" si="3"/>
        <v>0</v>
      </c>
      <c r="J42" s="103"/>
      <c r="K42" s="103">
        <f t="shared" si="6"/>
        <v>0</v>
      </c>
      <c r="L42" s="103">
        <v>7</v>
      </c>
      <c r="M42" s="103">
        <v>7</v>
      </c>
      <c r="N42" s="103"/>
      <c r="O42" s="103"/>
      <c r="P42" s="103"/>
    </row>
    <row r="43" spans="1:16" ht="12" customHeight="1">
      <c r="A43" s="405" t="s">
        <v>128</v>
      </c>
      <c r="B43" s="103">
        <v>2</v>
      </c>
      <c r="C43" s="103">
        <v>1</v>
      </c>
      <c r="D43" s="103"/>
      <c r="E43" s="103">
        <f t="shared" si="5"/>
        <v>1</v>
      </c>
      <c r="F43" s="103">
        <f t="shared" si="1"/>
        <v>1</v>
      </c>
      <c r="G43" s="103"/>
      <c r="H43" s="103">
        <f t="shared" si="2"/>
        <v>1</v>
      </c>
      <c r="I43" s="103">
        <f t="shared" si="3"/>
        <v>-1</v>
      </c>
      <c r="J43" s="103"/>
      <c r="K43" s="103">
        <f t="shared" si="6"/>
        <v>0</v>
      </c>
      <c r="L43" s="103">
        <v>3</v>
      </c>
      <c r="M43" s="103">
        <v>3</v>
      </c>
      <c r="N43" s="103"/>
      <c r="O43" s="103"/>
      <c r="P43" s="103"/>
    </row>
    <row r="44" spans="1:16" ht="12" customHeight="1">
      <c r="A44" s="405" t="s">
        <v>129</v>
      </c>
      <c r="B44" s="103">
        <v>0</v>
      </c>
      <c r="C44" s="103"/>
      <c r="D44" s="103"/>
      <c r="E44" s="103">
        <f t="shared" si="5"/>
        <v>0</v>
      </c>
      <c r="F44" s="103">
        <f t="shared" si="1"/>
        <v>0</v>
      </c>
      <c r="G44" s="103"/>
      <c r="H44" s="103">
        <f t="shared" si="2"/>
        <v>0</v>
      </c>
      <c r="I44" s="103">
        <f t="shared" si="3"/>
        <v>0</v>
      </c>
      <c r="J44" s="103"/>
      <c r="K44" s="103">
        <f t="shared" si="6"/>
        <v>0</v>
      </c>
      <c r="L44" s="103">
        <v>1</v>
      </c>
      <c r="M44" s="103">
        <v>1</v>
      </c>
      <c r="N44" s="103"/>
      <c r="O44" s="103"/>
      <c r="P44" s="103"/>
    </row>
    <row r="45" spans="1:16" ht="12" customHeight="1">
      <c r="A45" s="266" t="s">
        <v>130</v>
      </c>
      <c r="B45" s="103">
        <f aca="true" t="shared" si="7" ref="B45:G45">SUM(B19:B44)</f>
        <v>40</v>
      </c>
      <c r="C45" s="103">
        <f t="shared" si="7"/>
        <v>41</v>
      </c>
      <c r="D45" s="103">
        <f t="shared" si="7"/>
        <v>10</v>
      </c>
      <c r="E45" s="103">
        <f t="shared" si="7"/>
        <v>51</v>
      </c>
      <c r="F45" s="103">
        <f t="shared" si="7"/>
        <v>-11</v>
      </c>
      <c r="G45" s="103">
        <f t="shared" si="7"/>
        <v>0</v>
      </c>
      <c r="H45" s="103">
        <f t="shared" si="2"/>
        <v>-11</v>
      </c>
      <c r="I45" s="103">
        <f t="shared" si="3"/>
        <v>11</v>
      </c>
      <c r="J45" s="103">
        <f aca="true" t="shared" si="8" ref="J45:P45">SUM(J19:J44)</f>
        <v>0</v>
      </c>
      <c r="K45" s="103">
        <f t="shared" si="8"/>
        <v>9</v>
      </c>
      <c r="L45" s="103">
        <f t="shared" si="8"/>
        <v>173</v>
      </c>
      <c r="M45" s="103">
        <f t="shared" si="8"/>
        <v>164</v>
      </c>
      <c r="N45" s="103">
        <f t="shared" si="8"/>
        <v>0</v>
      </c>
      <c r="O45" s="103">
        <f t="shared" si="8"/>
        <v>0</v>
      </c>
      <c r="P45" s="103">
        <f t="shared" si="8"/>
        <v>0</v>
      </c>
    </row>
    <row r="46" spans="1:16" ht="12" customHeight="1">
      <c r="A46" s="266" t="s">
        <v>131</v>
      </c>
      <c r="B46" s="103">
        <f aca="true" t="shared" si="9" ref="B46:P46">SUM(B18,B45)</f>
        <v>305</v>
      </c>
      <c r="C46" s="103">
        <f t="shared" si="9"/>
        <v>153</v>
      </c>
      <c r="D46" s="103">
        <f t="shared" si="9"/>
        <v>51</v>
      </c>
      <c r="E46" s="103">
        <f t="shared" si="9"/>
        <v>204</v>
      </c>
      <c r="F46" s="103">
        <f t="shared" si="9"/>
        <v>101</v>
      </c>
      <c r="G46" s="103">
        <f t="shared" si="9"/>
        <v>-776</v>
      </c>
      <c r="H46" s="103">
        <f t="shared" si="9"/>
        <v>877</v>
      </c>
      <c r="I46" s="103">
        <f t="shared" si="9"/>
        <v>-877</v>
      </c>
      <c r="J46" s="103">
        <f t="shared" si="9"/>
        <v>0</v>
      </c>
      <c r="K46" s="103">
        <f t="shared" si="9"/>
        <v>-877</v>
      </c>
      <c r="L46" s="103">
        <f t="shared" si="9"/>
        <v>1460</v>
      </c>
      <c r="M46" s="103">
        <f t="shared" si="9"/>
        <v>2337</v>
      </c>
      <c r="N46" s="103">
        <f t="shared" si="9"/>
        <v>0</v>
      </c>
      <c r="O46" s="103">
        <f t="shared" si="9"/>
        <v>0</v>
      </c>
      <c r="P46" s="103">
        <f t="shared" si="9"/>
        <v>0</v>
      </c>
    </row>
    <row r="47" spans="1:16" ht="17.25" customHeight="1">
      <c r="A47" s="266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2" ht="17.25" customHeight="1">
      <c r="A48" s="409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</row>
    <row r="49" s="99" customFormat="1" ht="17.25" customHeight="1">
      <c r="A49" s="392"/>
    </row>
    <row r="54" spans="1:11" s="99" customFormat="1" ht="17.25" customHeight="1">
      <c r="A54" s="110"/>
      <c r="K54" s="43"/>
    </row>
    <row r="55" spans="1:9" s="299" customFormat="1" ht="17.25" customHeight="1">
      <c r="A55" s="63" t="s">
        <v>823</v>
      </c>
      <c r="B55" s="62"/>
      <c r="C55" s="62"/>
      <c r="D55" s="282"/>
      <c r="E55" s="363"/>
      <c r="F55" s="282"/>
      <c r="G55" s="62" t="s">
        <v>296</v>
      </c>
      <c r="H55" s="282"/>
      <c r="I55" s="99"/>
    </row>
    <row r="56" spans="1:8" s="286" customFormat="1" ht="17.25" customHeight="1">
      <c r="A56" s="317"/>
      <c r="B56" s="394"/>
      <c r="C56" s="282"/>
      <c r="D56" s="98"/>
      <c r="E56" s="282"/>
      <c r="F56" s="98"/>
      <c r="G56" s="98"/>
      <c r="H56" s="282"/>
    </row>
    <row r="58" spans="1:16" s="99" customFormat="1" ht="17.25" customHeight="1">
      <c r="A58" s="51"/>
      <c r="B58" s="93"/>
      <c r="C58" s="33"/>
      <c r="D58" s="93"/>
      <c r="E58" s="93"/>
      <c r="F58" s="93"/>
      <c r="G58" s="33"/>
      <c r="H58" s="106"/>
      <c r="I58" s="93"/>
      <c r="J58" s="93"/>
      <c r="K58" s="93"/>
      <c r="L58" s="93"/>
      <c r="M58" s="93"/>
      <c r="N58" s="93"/>
      <c r="O58" s="93"/>
      <c r="P58" s="93"/>
    </row>
    <row r="59" s="299" customFormat="1" ht="17.25" customHeight="1">
      <c r="A59" s="412"/>
    </row>
    <row r="60" spans="1:6" s="299" customFormat="1" ht="17.25" customHeight="1">
      <c r="A60" s="412"/>
      <c r="B60" s="282"/>
      <c r="C60" s="282"/>
      <c r="D60" s="282"/>
      <c r="E60" s="282"/>
      <c r="F60" s="282"/>
    </row>
    <row r="61" ht="14.25" customHeight="1"/>
    <row r="62" ht="24" customHeight="1">
      <c r="A62" s="336" t="s">
        <v>684</v>
      </c>
    </row>
    <row r="63" ht="17.25" customHeight="1">
      <c r="A63" s="310" t="s">
        <v>562</v>
      </c>
    </row>
    <row r="67" ht="17.25" customHeight="1">
      <c r="A67" s="44"/>
    </row>
    <row r="68" s="44" customFormat="1" ht="17.25" customHeight="1">
      <c r="A68" s="307"/>
    </row>
    <row r="69" ht="17.25" customHeight="1">
      <c r="A69" s="307"/>
    </row>
  </sheetData>
  <mergeCells count="12">
    <mergeCell ref="A2:P2"/>
    <mergeCell ref="A4:P4"/>
    <mergeCell ref="A5:P5"/>
    <mergeCell ref="P7:P9"/>
    <mergeCell ref="J8:O8"/>
    <mergeCell ref="H7:H9"/>
    <mergeCell ref="I7:I9"/>
    <mergeCell ref="A7:A9"/>
    <mergeCell ref="B7:B9"/>
    <mergeCell ref="C7:E8"/>
    <mergeCell ref="G7:G9"/>
    <mergeCell ref="F7:F9"/>
  </mergeCells>
  <printOptions horizontalCentered="1"/>
  <pageMargins left="0.7480314960629921" right="0.7480314960629921" top="0.984251968503937" bottom="0.984251968503937" header="0.5118110236220472" footer="0.5118110236220472"/>
  <pageSetup firstPageNumber="46" useFirstPageNumber="1" horizontalDpi="600" verticalDpi="600" orientation="landscape" paperSize="9" scale="83" r:id="rId1"/>
  <headerFooter alignWithMargins="0">
    <oddFooter>&amp;R&amp;P</oddFooter>
  </headerFooter>
  <rowBreaks count="2" manualBreakCount="2">
    <brk id="36" max="255" man="1"/>
    <brk id="7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E1" sqref="E1"/>
    </sheetView>
  </sheetViews>
  <sheetFormatPr defaultColWidth="9.140625" defaultRowHeight="17.25" customHeight="1"/>
  <cols>
    <col min="1" max="1" width="36.28125" style="168" customWidth="1"/>
    <col min="2" max="2" width="14.421875" style="168" customWidth="1"/>
    <col min="3" max="3" width="11.00390625" style="64" customWidth="1"/>
    <col min="4" max="4" width="12.7109375" style="62" customWidth="1"/>
    <col min="5" max="5" width="9.8515625" style="64" bestFit="1" customWidth="1"/>
  </cols>
  <sheetData>
    <row r="1" spans="2:5" ht="17.25" customHeight="1">
      <c r="B1" s="5"/>
      <c r="C1" s="61"/>
      <c r="E1" s="264" t="s">
        <v>156</v>
      </c>
    </row>
    <row r="2" ht="17.25" customHeight="1">
      <c r="A2" s="168" t="s">
        <v>745</v>
      </c>
    </row>
    <row r="4" spans="1:5" ht="30" customHeight="1">
      <c r="A4" s="631" t="s">
        <v>157</v>
      </c>
      <c r="B4" s="631"/>
      <c r="C4" s="631"/>
      <c r="D4" s="631"/>
      <c r="E4" s="631"/>
    </row>
    <row r="5" spans="1:7" ht="17.25" customHeight="1">
      <c r="A5" s="625" t="s">
        <v>301</v>
      </c>
      <c r="B5" s="625"/>
      <c r="C5" s="625"/>
      <c r="D5" s="625"/>
      <c r="E5" s="625"/>
      <c r="F5" s="616"/>
      <c r="G5" s="616"/>
    </row>
    <row r="6" ht="17.25" customHeight="1">
      <c r="E6" s="263" t="s">
        <v>190</v>
      </c>
    </row>
    <row r="7" spans="1:5" ht="38.25">
      <c r="A7" s="114" t="s">
        <v>191</v>
      </c>
      <c r="B7" s="114" t="s">
        <v>303</v>
      </c>
      <c r="C7" s="192" t="s">
        <v>747</v>
      </c>
      <c r="D7" s="114" t="s">
        <v>748</v>
      </c>
      <c r="E7" s="10" t="s">
        <v>440</v>
      </c>
    </row>
    <row r="8" spans="1:5" ht="17.25" customHeight="1">
      <c r="A8" s="171">
        <v>1</v>
      </c>
      <c r="B8" s="171">
        <v>2</v>
      </c>
      <c r="C8" s="225">
        <v>3</v>
      </c>
      <c r="D8" s="171">
        <v>4</v>
      </c>
      <c r="E8" s="225">
        <v>5</v>
      </c>
    </row>
    <row r="9" spans="1:5" ht="25.5">
      <c r="A9" s="74" t="s">
        <v>749</v>
      </c>
      <c r="B9" s="171" t="s">
        <v>206</v>
      </c>
      <c r="C9" s="265">
        <f>SUM(C10:C11)</f>
        <v>305</v>
      </c>
      <c r="D9" s="414" t="str">
        <f>IF(ISERROR(C9/B9)," ",(C9/B9))</f>
        <v> </v>
      </c>
      <c r="E9" s="265">
        <f>C9</f>
        <v>305</v>
      </c>
    </row>
    <row r="10" spans="1:5" ht="25.5">
      <c r="A10" s="27" t="s">
        <v>750</v>
      </c>
      <c r="B10" s="171" t="s">
        <v>206</v>
      </c>
      <c r="C10" s="265">
        <v>290</v>
      </c>
      <c r="D10" s="414" t="str">
        <f>IF(ISERROR(C10/B10)," ",(C10/B10))</f>
        <v> </v>
      </c>
      <c r="E10" s="265">
        <f>C10</f>
        <v>290</v>
      </c>
    </row>
    <row r="11" spans="1:5" ht="25.5">
      <c r="A11" s="27" t="s">
        <v>751</v>
      </c>
      <c r="B11" s="171" t="s">
        <v>206</v>
      </c>
      <c r="C11" s="265">
        <v>15</v>
      </c>
      <c r="D11" s="414" t="str">
        <f>IF(ISERROR(C11/B11)," ",(C11/B11))</f>
        <v> </v>
      </c>
      <c r="E11" s="265">
        <f>C11</f>
        <v>15</v>
      </c>
    </row>
    <row r="12" spans="1:5" ht="25.5">
      <c r="A12" s="27" t="s">
        <v>752</v>
      </c>
      <c r="B12" s="171" t="s">
        <v>206</v>
      </c>
      <c r="C12" s="265"/>
      <c r="D12" s="414"/>
      <c r="E12" s="265"/>
    </row>
    <row r="13" spans="1:5" ht="17.25" customHeight="1">
      <c r="A13" s="74" t="s">
        <v>753</v>
      </c>
      <c r="B13" s="53"/>
      <c r="C13" s="120">
        <f>SUM(C14,C31,)</f>
        <v>204</v>
      </c>
      <c r="D13" s="149"/>
      <c r="E13" s="265">
        <f aca="true" t="shared" si="0" ref="E13:E20">C13</f>
        <v>204</v>
      </c>
    </row>
    <row r="14" spans="1:5" ht="17.25" customHeight="1">
      <c r="A14" s="77" t="s">
        <v>694</v>
      </c>
      <c r="B14" s="53"/>
      <c r="C14" s="120">
        <f>SUM(C15,C25)</f>
        <v>153</v>
      </c>
      <c r="D14" s="149"/>
      <c r="E14" s="265">
        <f t="shared" si="0"/>
        <v>153</v>
      </c>
    </row>
    <row r="15" spans="1:5" ht="17.25" customHeight="1">
      <c r="A15" s="77" t="s">
        <v>365</v>
      </c>
      <c r="B15" s="266"/>
      <c r="C15" s="269">
        <f>SUM(C17,C16,C18)</f>
        <v>89</v>
      </c>
      <c r="D15" s="149"/>
      <c r="E15" s="265">
        <f t="shared" si="0"/>
        <v>89</v>
      </c>
    </row>
    <row r="16" spans="1:5" ht="17.25" customHeight="1">
      <c r="A16" s="131" t="s">
        <v>366</v>
      </c>
      <c r="B16" s="268"/>
      <c r="C16" s="265">
        <v>15</v>
      </c>
      <c r="D16" s="149"/>
      <c r="E16" s="265">
        <f t="shared" si="0"/>
        <v>15</v>
      </c>
    </row>
    <row r="17" spans="1:5" ht="25.5">
      <c r="A17" s="27" t="s">
        <v>754</v>
      </c>
      <c r="B17" s="210" t="s">
        <v>206</v>
      </c>
      <c r="C17" s="265">
        <v>4</v>
      </c>
      <c r="D17" s="210" t="s">
        <v>206</v>
      </c>
      <c r="E17" s="265">
        <f t="shared" si="0"/>
        <v>4</v>
      </c>
    </row>
    <row r="18" spans="1:5" ht="17.25" customHeight="1">
      <c r="A18" s="27" t="s">
        <v>368</v>
      </c>
      <c r="B18" s="210" t="s">
        <v>206</v>
      </c>
      <c r="C18" s="269">
        <f>SUM(C19:C20)</f>
        <v>70</v>
      </c>
      <c r="D18" s="210" t="s">
        <v>206</v>
      </c>
      <c r="E18" s="265">
        <f t="shared" si="0"/>
        <v>70</v>
      </c>
    </row>
    <row r="19" spans="1:5" ht="17.25" customHeight="1">
      <c r="A19" s="211" t="s">
        <v>755</v>
      </c>
      <c r="B19" s="270" t="s">
        <v>206</v>
      </c>
      <c r="C19" s="265">
        <f>54+13</f>
        <v>67</v>
      </c>
      <c r="D19" s="270" t="s">
        <v>206</v>
      </c>
      <c r="E19" s="265">
        <f t="shared" si="0"/>
        <v>67</v>
      </c>
    </row>
    <row r="20" spans="1:5" ht="17.25" customHeight="1">
      <c r="A20" s="211" t="s">
        <v>756</v>
      </c>
      <c r="B20" s="270" t="s">
        <v>206</v>
      </c>
      <c r="C20" s="265">
        <v>3</v>
      </c>
      <c r="D20" s="270" t="s">
        <v>206</v>
      </c>
      <c r="E20" s="265">
        <f t="shared" si="0"/>
        <v>3</v>
      </c>
    </row>
    <row r="21" spans="1:5" ht="17.25" customHeight="1">
      <c r="A21" s="27" t="s">
        <v>757</v>
      </c>
      <c r="B21" s="210" t="s">
        <v>206</v>
      </c>
      <c r="C21" s="265"/>
      <c r="D21" s="210" t="s">
        <v>206</v>
      </c>
      <c r="E21" s="265"/>
    </row>
    <row r="22" spans="1:5" ht="25.5">
      <c r="A22" s="35" t="s">
        <v>369</v>
      </c>
      <c r="B22" s="210" t="s">
        <v>206</v>
      </c>
      <c r="C22" s="269"/>
      <c r="D22" s="415" t="str">
        <f>IF(ISERROR(ROUND(C22,0)/ROUND(g,0))," ",(ROUND(C22,)/ROUND(B22,)))</f>
        <v> </v>
      </c>
      <c r="E22" s="265"/>
    </row>
    <row r="23" spans="1:5" ht="25.5">
      <c r="A23" s="27" t="s">
        <v>758</v>
      </c>
      <c r="B23" s="210" t="s">
        <v>206</v>
      </c>
      <c r="C23" s="265"/>
      <c r="D23" s="210" t="s">
        <v>206</v>
      </c>
      <c r="E23" s="265"/>
    </row>
    <row r="24" spans="1:5" ht="25.5">
      <c r="A24" s="27" t="s">
        <v>759</v>
      </c>
      <c r="B24" s="210" t="s">
        <v>206</v>
      </c>
      <c r="C24" s="265"/>
      <c r="D24" s="210" t="s">
        <v>206</v>
      </c>
      <c r="E24" s="265"/>
    </row>
    <row r="25" spans="1:5" ht="17.25" customHeight="1">
      <c r="A25" s="12" t="s">
        <v>373</v>
      </c>
      <c r="B25" s="268"/>
      <c r="C25" s="269">
        <f>SUM(C26:C30)</f>
        <v>64</v>
      </c>
      <c r="D25" s="149"/>
      <c r="E25" s="265">
        <f>C25</f>
        <v>64</v>
      </c>
    </row>
    <row r="26" spans="1:5" ht="17.25" customHeight="1">
      <c r="A26" s="131" t="s">
        <v>374</v>
      </c>
      <c r="B26" s="210" t="s">
        <v>206</v>
      </c>
      <c r="C26" s="265"/>
      <c r="D26" s="210" t="s">
        <v>206</v>
      </c>
      <c r="E26" s="265"/>
    </row>
    <row r="27" spans="1:5" ht="17.25" customHeight="1">
      <c r="A27" s="131" t="s">
        <v>375</v>
      </c>
      <c r="B27" s="210" t="s">
        <v>206</v>
      </c>
      <c r="C27" s="265"/>
      <c r="D27" s="210" t="s">
        <v>206</v>
      </c>
      <c r="E27" s="265"/>
    </row>
    <row r="28" spans="1:5" ht="17.25" customHeight="1">
      <c r="A28" s="27" t="s">
        <v>376</v>
      </c>
      <c r="B28" s="210" t="s">
        <v>206</v>
      </c>
      <c r="C28" s="265">
        <v>2</v>
      </c>
      <c r="D28" s="210" t="s">
        <v>206</v>
      </c>
      <c r="E28" s="265">
        <f>C28</f>
        <v>2</v>
      </c>
    </row>
    <row r="29" spans="1:5" ht="12.75">
      <c r="A29" s="27" t="s">
        <v>760</v>
      </c>
      <c r="B29" s="210" t="s">
        <v>206</v>
      </c>
      <c r="C29" s="265">
        <v>58</v>
      </c>
      <c r="D29" s="210" t="s">
        <v>206</v>
      </c>
      <c r="E29" s="265">
        <f>C29</f>
        <v>58</v>
      </c>
    </row>
    <row r="30" spans="1:5" ht="17.25" customHeight="1">
      <c r="A30" s="27" t="s">
        <v>379</v>
      </c>
      <c r="B30" s="210" t="s">
        <v>206</v>
      </c>
      <c r="C30" s="265">
        <v>4</v>
      </c>
      <c r="D30" s="210" t="s">
        <v>206</v>
      </c>
      <c r="E30" s="265">
        <f>C30</f>
        <v>4</v>
      </c>
    </row>
    <row r="31" spans="1:5" ht="17.25" customHeight="1">
      <c r="A31" s="90" t="s">
        <v>761</v>
      </c>
      <c r="B31" s="254"/>
      <c r="C31" s="269">
        <f>SUM(C32:C33)</f>
        <v>51</v>
      </c>
      <c r="D31" s="149"/>
      <c r="E31" s="265">
        <f>C31</f>
        <v>51</v>
      </c>
    </row>
    <row r="32" spans="1:5" ht="17.25" customHeight="1">
      <c r="A32" s="27" t="s">
        <v>762</v>
      </c>
      <c r="B32" s="268"/>
      <c r="C32" s="265">
        <f>47+4</f>
        <v>51</v>
      </c>
      <c r="D32" s="149"/>
      <c r="E32" s="265">
        <f>C32</f>
        <v>51</v>
      </c>
    </row>
    <row r="33" spans="1:5" ht="17.25" customHeight="1">
      <c r="A33" s="27" t="s">
        <v>763</v>
      </c>
      <c r="B33" s="268"/>
      <c r="C33" s="265"/>
      <c r="D33" s="149"/>
      <c r="E33" s="265"/>
    </row>
    <row r="34" spans="1:5" ht="17.25" customHeight="1">
      <c r="A34" s="341" t="s">
        <v>48</v>
      </c>
      <c r="B34" s="268"/>
      <c r="C34" s="265">
        <f>C35-C36</f>
        <v>-776</v>
      </c>
      <c r="D34" s="149"/>
      <c r="E34" s="265">
        <f>C34</f>
        <v>-776</v>
      </c>
    </row>
    <row r="35" spans="1:5" ht="17.25" customHeight="1">
      <c r="A35" s="342" t="s">
        <v>49</v>
      </c>
      <c r="B35" s="268"/>
      <c r="C35" s="265"/>
      <c r="D35" s="149"/>
      <c r="E35" s="265"/>
    </row>
    <row r="36" spans="1:5" ht="25.5">
      <c r="A36" s="342" t="s">
        <v>50</v>
      </c>
      <c r="B36" s="268"/>
      <c r="C36" s="265">
        <v>776</v>
      </c>
      <c r="D36" s="149"/>
      <c r="E36" s="265">
        <f>C36</f>
        <v>776</v>
      </c>
    </row>
    <row r="37" spans="1:5" ht="17.25" customHeight="1">
      <c r="A37" s="90" t="s">
        <v>158</v>
      </c>
      <c r="B37" s="210"/>
      <c r="C37" s="269">
        <f>C9-C13-C34</f>
        <v>877</v>
      </c>
      <c r="D37" s="210" t="s">
        <v>206</v>
      </c>
      <c r="E37" s="225" t="s">
        <v>206</v>
      </c>
    </row>
    <row r="38" spans="1:5" ht="17.25" customHeight="1">
      <c r="A38" s="90" t="s">
        <v>404</v>
      </c>
      <c r="B38" s="273"/>
      <c r="C38" s="269">
        <f>-C37</f>
        <v>-877</v>
      </c>
      <c r="D38" s="210" t="s">
        <v>206</v>
      </c>
      <c r="E38" s="225" t="s">
        <v>206</v>
      </c>
    </row>
    <row r="39" spans="1:5" ht="25.5">
      <c r="A39" s="218" t="s">
        <v>765</v>
      </c>
      <c r="B39" s="273"/>
      <c r="C39" s="265">
        <v>-877</v>
      </c>
      <c r="D39" s="210" t="s">
        <v>206</v>
      </c>
      <c r="E39" s="225" t="s">
        <v>206</v>
      </c>
    </row>
    <row r="40" spans="1:5" ht="17.25" customHeight="1">
      <c r="A40" s="634"/>
      <c r="B40" s="634"/>
      <c r="C40" s="634"/>
      <c r="D40" s="634"/>
      <c r="E40" s="634"/>
    </row>
    <row r="42" spans="1:5" ht="17.25" customHeight="1">
      <c r="A42" s="45"/>
      <c r="B42" s="274"/>
      <c r="C42" s="101"/>
      <c r="D42" s="220"/>
      <c r="E42" s="101"/>
    </row>
    <row r="43" spans="1:5" ht="17.25" customHeight="1">
      <c r="A43" s="45"/>
      <c r="B43" s="45"/>
      <c r="C43" s="108"/>
      <c r="D43" s="107"/>
      <c r="E43" s="101"/>
    </row>
    <row r="44" spans="1:8" ht="17.25" customHeight="1">
      <c r="A44" s="63" t="s">
        <v>159</v>
      </c>
      <c r="B44" s="62"/>
      <c r="C44" s="62"/>
      <c r="D44" s="62" t="s">
        <v>296</v>
      </c>
      <c r="F44" s="282"/>
      <c r="H44" s="282"/>
    </row>
    <row r="45" spans="1:4" ht="17.25" customHeight="1">
      <c r="A45" s="45"/>
      <c r="B45" s="274"/>
      <c r="C45" s="101"/>
      <c r="D45" s="220"/>
    </row>
    <row r="46" spans="2:5" ht="17.25" customHeight="1">
      <c r="B46" s="60"/>
      <c r="C46" s="61"/>
      <c r="D46" s="276"/>
      <c r="E46" s="61"/>
    </row>
    <row r="47" spans="2:4" ht="17.25" customHeight="1">
      <c r="B47" s="64"/>
      <c r="D47" s="276"/>
    </row>
    <row r="48" spans="2:4" ht="17.25" customHeight="1">
      <c r="B48" s="64"/>
      <c r="D48" s="276"/>
    </row>
    <row r="49" spans="2:4" ht="17.25" customHeight="1">
      <c r="B49" s="64"/>
      <c r="D49" s="276"/>
    </row>
    <row r="50" spans="1:4" ht="17.25" customHeight="1">
      <c r="A50" s="33"/>
      <c r="B50" s="64"/>
      <c r="D50" s="276"/>
    </row>
    <row r="51" ht="17.25" customHeight="1">
      <c r="A51" s="33"/>
    </row>
    <row r="52" ht="17.25" customHeight="1">
      <c r="A52" s="182"/>
    </row>
    <row r="53" spans="2:4" ht="17.25" customHeight="1">
      <c r="B53" s="64"/>
      <c r="D53" s="276"/>
    </row>
    <row r="57" ht="17.25" customHeight="1">
      <c r="A57" s="168" t="s">
        <v>684</v>
      </c>
    </row>
    <row r="58" ht="17.25" customHeight="1">
      <c r="A58" s="168" t="s">
        <v>562</v>
      </c>
    </row>
  </sheetData>
  <mergeCells count="4">
    <mergeCell ref="A4:E4"/>
    <mergeCell ref="A5:E5"/>
    <mergeCell ref="F5:G5"/>
    <mergeCell ref="A40:E40"/>
  </mergeCells>
  <printOptions/>
  <pageMargins left="0.75" right="0.75" top="1.36" bottom="0.41" header="0.5" footer="0.62"/>
  <pageSetup firstPageNumber="48" useFirstPageNumber="1" horizontalDpi="600" verticalDpi="600" orientation="portrait" paperSize="9" r:id="rId1"/>
  <headerFooter alignWithMargins="0">
    <oddFooter>&amp;R&amp;P</oddFooter>
  </headerFooter>
  <rowBreaks count="1" manualBreakCount="1">
    <brk id="33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5" sqref="A5:E5"/>
    </sheetView>
  </sheetViews>
  <sheetFormatPr defaultColWidth="9.140625" defaultRowHeight="17.25" customHeight="1"/>
  <cols>
    <col min="1" max="1" width="36.7109375" style="311" customWidth="1"/>
    <col min="2" max="2" width="11.140625" style="350" customWidth="1"/>
    <col min="3" max="3" width="11.421875" style="282" customWidth="1"/>
    <col min="4" max="4" width="11.7109375" style="282" customWidth="1"/>
    <col min="5" max="5" width="13.8515625" style="282" customWidth="1"/>
    <col min="6" max="6" width="8.28125" style="282" customWidth="1"/>
    <col min="7" max="8" width="9.140625" style="282" customWidth="1"/>
    <col min="9" max="9" width="8.421875" style="282" customWidth="1"/>
    <col min="10" max="16384" width="9.140625" style="282" customWidth="1"/>
  </cols>
  <sheetData>
    <row r="1" spans="2:6" ht="17.25" customHeight="1">
      <c r="B1" s="312"/>
      <c r="C1" s="5"/>
      <c r="D1" s="5"/>
      <c r="E1" s="5" t="s">
        <v>881</v>
      </c>
      <c r="F1" s="311" t="s">
        <v>133</v>
      </c>
    </row>
    <row r="2" spans="1:6" ht="12.75">
      <c r="A2" s="640" t="s">
        <v>606</v>
      </c>
      <c r="B2" s="640"/>
      <c r="C2" s="640"/>
      <c r="D2" s="640"/>
      <c r="E2" s="640"/>
      <c r="F2" s="311"/>
    </row>
    <row r="3" spans="1:5" s="8" customFormat="1" ht="17.25" customHeight="1">
      <c r="A3" s="312"/>
      <c r="B3" s="338"/>
      <c r="C3" s="48"/>
      <c r="D3" s="48"/>
      <c r="E3" s="48"/>
    </row>
    <row r="4" spans="1:6" ht="17.25" customHeight="1">
      <c r="A4" s="641" t="s">
        <v>882</v>
      </c>
      <c r="B4" s="641"/>
      <c r="C4" s="641"/>
      <c r="D4" s="641"/>
      <c r="E4" s="641"/>
      <c r="F4" s="314"/>
    </row>
    <row r="5" spans="1:6" s="315" customFormat="1" ht="17.25" customHeight="1">
      <c r="A5" s="640" t="s">
        <v>301</v>
      </c>
      <c r="B5" s="640"/>
      <c r="C5" s="640"/>
      <c r="D5" s="640"/>
      <c r="E5" s="640"/>
      <c r="F5" s="314"/>
    </row>
    <row r="6" spans="2:6" ht="17.25" customHeight="1">
      <c r="B6" s="339"/>
      <c r="C6" s="8"/>
      <c r="E6" s="9" t="s">
        <v>190</v>
      </c>
      <c r="F6" s="44"/>
    </row>
    <row r="7" spans="1:5" s="8" customFormat="1" ht="38.25" customHeight="1">
      <c r="A7" s="340" t="s">
        <v>191</v>
      </c>
      <c r="B7" s="321" t="s">
        <v>775</v>
      </c>
      <c r="C7" s="321" t="s">
        <v>193</v>
      </c>
      <c r="D7" s="321" t="s">
        <v>827</v>
      </c>
      <c r="E7" s="10" t="s">
        <v>440</v>
      </c>
    </row>
    <row r="8" spans="1:5" ht="12.75">
      <c r="A8" s="322" t="s">
        <v>828</v>
      </c>
      <c r="B8" s="323" t="s">
        <v>867</v>
      </c>
      <c r="C8" s="323" t="s">
        <v>868</v>
      </c>
      <c r="D8" s="323" t="s">
        <v>869</v>
      </c>
      <c r="E8" s="323" t="s">
        <v>829</v>
      </c>
    </row>
    <row r="9" spans="1:5" ht="12.75">
      <c r="A9" s="326" t="s">
        <v>883</v>
      </c>
      <c r="B9" s="103"/>
      <c r="C9" s="103">
        <f>C10-C28</f>
        <v>-572</v>
      </c>
      <c r="D9" s="325"/>
      <c r="E9" s="103">
        <f>C9</f>
        <v>-572</v>
      </c>
    </row>
    <row r="10" spans="1:5" s="3" customFormat="1" ht="17.25" customHeight="1">
      <c r="A10" s="341" t="s">
        <v>884</v>
      </c>
      <c r="B10" s="103"/>
      <c r="C10" s="103">
        <f>SUM(C11:C27)</f>
        <v>-572</v>
      </c>
      <c r="D10" s="325"/>
      <c r="E10" s="103">
        <f>C10</f>
        <v>-572</v>
      </c>
    </row>
    <row r="11" spans="1:5" s="33" customFormat="1" ht="25.5">
      <c r="A11" s="330" t="s">
        <v>872</v>
      </c>
      <c r="B11" s="103"/>
      <c r="C11" s="103">
        <v>9</v>
      </c>
      <c r="D11" s="325"/>
      <c r="E11" s="103">
        <f aca="true" t="shared" si="0" ref="E11:E27">C11</f>
        <v>9</v>
      </c>
    </row>
    <row r="12" spans="1:5" s="33" customFormat="1" ht="17.25" customHeight="1">
      <c r="A12" s="330" t="s">
        <v>418</v>
      </c>
      <c r="B12" s="103"/>
      <c r="C12" s="103"/>
      <c r="D12" s="325"/>
      <c r="E12" s="103"/>
    </row>
    <row r="13" spans="1:5" s="33" customFormat="1" ht="25.5">
      <c r="A13" s="330" t="s">
        <v>419</v>
      </c>
      <c r="B13" s="103"/>
      <c r="C13" s="103"/>
      <c r="D13" s="325"/>
      <c r="E13" s="103"/>
    </row>
    <row r="14" spans="1:9" s="33" customFormat="1" ht="12.75">
      <c r="A14" s="330" t="s">
        <v>420</v>
      </c>
      <c r="B14" s="103"/>
      <c r="C14" s="103">
        <v>45</v>
      </c>
      <c r="D14" s="325"/>
      <c r="E14" s="103">
        <f t="shared" si="0"/>
        <v>45</v>
      </c>
      <c r="I14" s="33" t="s">
        <v>133</v>
      </c>
    </row>
    <row r="15" spans="1:5" s="33" customFormat="1" ht="12.75">
      <c r="A15" s="330" t="s">
        <v>421</v>
      </c>
      <c r="B15" s="103"/>
      <c r="C15" s="103">
        <v>3</v>
      </c>
      <c r="D15" s="325"/>
      <c r="E15" s="103">
        <f t="shared" si="0"/>
        <v>3</v>
      </c>
    </row>
    <row r="16" spans="1:5" s="33" customFormat="1" ht="25.5">
      <c r="A16" s="330" t="s">
        <v>422</v>
      </c>
      <c r="B16" s="103"/>
      <c r="C16" s="103">
        <v>6</v>
      </c>
      <c r="D16" s="325"/>
      <c r="E16" s="103">
        <f t="shared" si="0"/>
        <v>6</v>
      </c>
    </row>
    <row r="17" spans="1:5" s="33" customFormat="1" ht="25.5">
      <c r="A17" s="330" t="s">
        <v>423</v>
      </c>
      <c r="B17" s="103"/>
      <c r="C17" s="103">
        <v>51</v>
      </c>
      <c r="D17" s="325"/>
      <c r="E17" s="103">
        <f t="shared" si="0"/>
        <v>51</v>
      </c>
    </row>
    <row r="18" spans="1:5" s="33" customFormat="1" ht="12.75">
      <c r="A18" s="330" t="s">
        <v>873</v>
      </c>
      <c r="B18" s="103"/>
      <c r="C18" s="103">
        <v>63</v>
      </c>
      <c r="D18" s="325"/>
      <c r="E18" s="103">
        <f t="shared" si="0"/>
        <v>63</v>
      </c>
    </row>
    <row r="19" spans="1:5" s="33" customFormat="1" ht="25.5">
      <c r="A19" s="330" t="s">
        <v>425</v>
      </c>
      <c r="B19" s="103"/>
      <c r="C19" s="103">
        <v>-2</v>
      </c>
      <c r="D19" s="325"/>
      <c r="E19" s="103">
        <f t="shared" si="0"/>
        <v>-2</v>
      </c>
    </row>
    <row r="20" spans="1:5" s="33" customFormat="1" ht="25.5">
      <c r="A20" s="330" t="s">
        <v>874</v>
      </c>
      <c r="B20" s="103"/>
      <c r="C20" s="103"/>
      <c r="D20" s="325"/>
      <c r="E20" s="103"/>
    </row>
    <row r="21" spans="1:5" s="33" customFormat="1" ht="25.5">
      <c r="A21" s="330" t="s">
        <v>427</v>
      </c>
      <c r="B21" s="103"/>
      <c r="C21" s="103"/>
      <c r="D21" s="325"/>
      <c r="E21" s="103"/>
    </row>
    <row r="22" spans="1:5" s="33" customFormat="1" ht="12.75">
      <c r="A22" s="330" t="s">
        <v>875</v>
      </c>
      <c r="B22" s="24"/>
      <c r="C22" s="103">
        <v>-756</v>
      </c>
      <c r="D22" s="325"/>
      <c r="E22" s="103">
        <f t="shared" si="0"/>
        <v>-756</v>
      </c>
    </row>
    <row r="23" spans="1:5" s="33" customFormat="1" ht="12.75">
      <c r="A23" s="330" t="s">
        <v>429</v>
      </c>
      <c r="B23" s="103"/>
      <c r="C23" s="103">
        <v>7</v>
      </c>
      <c r="D23" s="325"/>
      <c r="E23" s="103">
        <f t="shared" si="0"/>
        <v>7</v>
      </c>
    </row>
    <row r="24" spans="1:5" s="33" customFormat="1" ht="25.5">
      <c r="A24" s="330" t="s">
        <v>876</v>
      </c>
      <c r="B24" s="103"/>
      <c r="C24" s="103"/>
      <c r="D24" s="325"/>
      <c r="E24" s="103"/>
    </row>
    <row r="25" spans="1:5" s="33" customFormat="1" ht="25.5">
      <c r="A25" s="330" t="s">
        <v>877</v>
      </c>
      <c r="B25" s="103"/>
      <c r="C25" s="103"/>
      <c r="D25" s="325"/>
      <c r="E25" s="103"/>
    </row>
    <row r="26" spans="1:5" s="33" customFormat="1" ht="12.75">
      <c r="A26" s="330" t="s">
        <v>878</v>
      </c>
      <c r="B26" s="103"/>
      <c r="C26" s="103"/>
      <c r="D26" s="325"/>
      <c r="E26" s="103"/>
    </row>
    <row r="27" spans="1:5" s="33" customFormat="1" ht="25.5">
      <c r="A27" s="330" t="s">
        <v>885</v>
      </c>
      <c r="B27" s="103"/>
      <c r="C27" s="103">
        <v>2</v>
      </c>
      <c r="D27" s="325"/>
      <c r="E27" s="103">
        <f t="shared" si="0"/>
        <v>2</v>
      </c>
    </row>
    <row r="28" spans="1:5" s="33" customFormat="1" ht="12.75">
      <c r="A28" s="326" t="s">
        <v>850</v>
      </c>
      <c r="B28" s="103"/>
      <c r="C28" s="103"/>
      <c r="D28" s="325"/>
      <c r="E28" s="103"/>
    </row>
    <row r="29" spans="1:5" s="47" customFormat="1" ht="17.25" customHeight="1">
      <c r="A29" s="344"/>
      <c r="B29" s="93"/>
      <c r="C29" s="93"/>
      <c r="D29" s="93"/>
      <c r="E29" s="93"/>
    </row>
    <row r="30" spans="1:8" s="33" customFormat="1" ht="17.25" customHeight="1">
      <c r="A30" s="346"/>
      <c r="B30" s="347"/>
      <c r="C30" s="345"/>
      <c r="D30" s="93"/>
      <c r="E30" s="282"/>
      <c r="F30" s="282"/>
      <c r="G30" s="282"/>
      <c r="H30" s="282"/>
    </row>
    <row r="31" spans="1:8" s="33" customFormat="1" ht="17.25" customHeight="1">
      <c r="A31" s="346"/>
      <c r="B31" s="347"/>
      <c r="C31" s="345"/>
      <c r="D31" s="93"/>
      <c r="E31" s="282"/>
      <c r="F31" s="282"/>
      <c r="G31" s="282"/>
      <c r="H31" s="282"/>
    </row>
    <row r="32" spans="1:8" s="33" customFormat="1" ht="17.25" customHeight="1">
      <c r="A32" s="63" t="s">
        <v>770</v>
      </c>
      <c r="B32" s="62"/>
      <c r="C32" s="62"/>
      <c r="D32" s="62" t="s">
        <v>296</v>
      </c>
      <c r="E32" s="363"/>
      <c r="F32" s="282"/>
      <c r="H32" s="282"/>
    </row>
    <row r="33" spans="1:8" s="99" customFormat="1" ht="17.25" customHeight="1">
      <c r="A33" s="316"/>
      <c r="B33" s="432"/>
      <c r="C33" s="309"/>
      <c r="D33" s="309"/>
      <c r="E33" s="309"/>
      <c r="F33" s="299"/>
      <c r="G33" s="299"/>
      <c r="H33" s="299"/>
    </row>
    <row r="34" spans="1:8" s="99" customFormat="1" ht="17.25" customHeight="1">
      <c r="A34" s="316"/>
      <c r="B34" s="432"/>
      <c r="C34" s="275"/>
      <c r="D34" s="275"/>
      <c r="E34" s="299"/>
      <c r="F34" s="299"/>
      <c r="G34" s="299"/>
      <c r="H34" s="299"/>
    </row>
    <row r="35" spans="1:8" s="99" customFormat="1" ht="17.25" customHeight="1">
      <c r="A35" s="316"/>
      <c r="B35" s="395"/>
      <c r="E35" s="299"/>
      <c r="F35" s="299"/>
      <c r="G35" s="299"/>
      <c r="H35" s="299"/>
    </row>
    <row r="36" spans="1:8" s="99" customFormat="1" ht="17.25" customHeight="1">
      <c r="A36" s="316"/>
      <c r="B36" s="432"/>
      <c r="C36" s="275"/>
      <c r="D36" s="275"/>
      <c r="E36" s="299"/>
      <c r="F36" s="299"/>
      <c r="G36" s="299"/>
      <c r="H36" s="299"/>
    </row>
    <row r="37" spans="1:8" s="99" customFormat="1" ht="17.25" customHeight="1">
      <c r="A37" s="316"/>
      <c r="B37" s="432"/>
      <c r="C37" s="275"/>
      <c r="E37" s="299"/>
      <c r="F37" s="299"/>
      <c r="G37" s="299"/>
      <c r="H37" s="299"/>
    </row>
    <row r="38" spans="1:4" ht="17.25" customHeight="1">
      <c r="A38" s="311" t="s">
        <v>684</v>
      </c>
      <c r="B38" s="349"/>
      <c r="C38" s="336"/>
      <c r="D38" s="182"/>
    </row>
    <row r="39" ht="17.25" customHeight="1">
      <c r="A39" s="311" t="s">
        <v>562</v>
      </c>
    </row>
  </sheetData>
  <mergeCells count="3">
    <mergeCell ref="A2:E2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W59"/>
  <sheetViews>
    <sheetView workbookViewId="0" topLeftCell="A1">
      <selection activeCell="A2" sqref="A2:B2"/>
    </sheetView>
  </sheetViews>
  <sheetFormatPr defaultColWidth="9.140625" defaultRowHeight="17.25" customHeight="1"/>
  <cols>
    <col min="1" max="1" width="51.7109375" style="282" customWidth="1"/>
    <col min="2" max="2" width="19.140625" style="282" customWidth="1"/>
    <col min="3" max="16384" width="9.140625" style="282" customWidth="1"/>
  </cols>
  <sheetData>
    <row r="1" spans="2:4" s="8" customFormat="1" ht="17.25" customHeight="1">
      <c r="B1" s="3" t="s">
        <v>173</v>
      </c>
      <c r="D1" s="286"/>
    </row>
    <row r="2" spans="1:2" s="8" customFormat="1" ht="17.25" customHeight="1">
      <c r="A2" s="625" t="s">
        <v>606</v>
      </c>
      <c r="B2" s="625"/>
    </row>
    <row r="3" s="33" customFormat="1" ht="17.25" customHeight="1"/>
    <row r="4" spans="1:2" s="33" customFormat="1" ht="17.25" customHeight="1">
      <c r="A4" s="616" t="s">
        <v>174</v>
      </c>
      <c r="B4" s="616"/>
    </row>
    <row r="5" spans="1:2" s="33" customFormat="1" ht="17.25" customHeight="1">
      <c r="A5" s="640" t="s">
        <v>301</v>
      </c>
      <c r="B5" s="640"/>
    </row>
    <row r="6" spans="1:2" s="33" customFormat="1" ht="17.25" customHeight="1">
      <c r="A6" s="286"/>
      <c r="B6" s="286"/>
    </row>
    <row r="7" spans="1:2" s="33" customFormat="1" ht="17.25" customHeight="1">
      <c r="A7" s="99"/>
      <c r="B7" s="237" t="s">
        <v>771</v>
      </c>
    </row>
    <row r="8" spans="1:2" s="33" customFormat="1" ht="17.25" customHeight="1">
      <c r="A8" s="171" t="s">
        <v>191</v>
      </c>
      <c r="B8" s="426" t="s">
        <v>175</v>
      </c>
    </row>
    <row r="9" spans="1:127" s="24" customFormat="1" ht="12.75">
      <c r="A9" s="171">
        <v>1</v>
      </c>
      <c r="B9" s="426">
        <v>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</row>
    <row r="10" spans="1:127" s="24" customFormat="1" ht="18.75" customHeight="1">
      <c r="A10" s="35" t="s">
        <v>176</v>
      </c>
      <c r="B10" s="123">
        <f>SUM(B12:B14)</f>
        <v>2874995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</row>
    <row r="11" spans="1:127" s="24" customFormat="1" ht="25.5">
      <c r="A11" s="427" t="s">
        <v>177</v>
      </c>
      <c r="B11" s="4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</row>
    <row r="12" spans="1:127" s="24" customFormat="1" ht="17.25" customHeight="1">
      <c r="A12" s="429" t="s">
        <v>178</v>
      </c>
      <c r="B12" s="428">
        <v>643770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</row>
    <row r="13" spans="1:127" s="24" customFormat="1" ht="17.25" customHeight="1">
      <c r="A13" s="27" t="s">
        <v>179</v>
      </c>
      <c r="B13" s="125">
        <v>2231225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</row>
    <row r="14" spans="1:127" s="24" customFormat="1" ht="17.25" customHeight="1">
      <c r="A14" s="27" t="s">
        <v>180</v>
      </c>
      <c r="B14" s="12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</row>
    <row r="15" spans="1:127" s="24" customFormat="1" ht="17.25" customHeight="1">
      <c r="A15" s="77" t="s">
        <v>181</v>
      </c>
      <c r="B15" s="123">
        <f>B16</f>
        <v>2863509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</row>
    <row r="16" spans="1:127" s="24" customFormat="1" ht="17.25" customHeight="1">
      <c r="A16" s="27" t="s">
        <v>182</v>
      </c>
      <c r="B16" s="125">
        <v>2863509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</row>
    <row r="17" spans="1:97" s="24" customFormat="1" ht="17.25" customHeight="1">
      <c r="A17" s="77" t="s">
        <v>183</v>
      </c>
      <c r="B17" s="123">
        <f>B10-B15</f>
        <v>11486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</row>
    <row r="18" spans="1:127" s="24" customFormat="1" ht="17.25" customHeight="1">
      <c r="A18" s="27" t="s">
        <v>184</v>
      </c>
      <c r="B18" s="125">
        <v>9182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</row>
    <row r="19" spans="1:97" s="99" customFormat="1" ht="17.25" customHeight="1">
      <c r="A19" s="43"/>
      <c r="B19" s="4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</row>
    <row r="20" spans="1:82" s="99" customFormat="1" ht="17.25" customHeight="1">
      <c r="A20" s="43"/>
      <c r="B20" s="4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</row>
    <row r="21" spans="1:82" s="99" customFormat="1" ht="17.25" customHeight="1">
      <c r="A21" s="43"/>
      <c r="B21" s="4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</row>
    <row r="22" spans="1:82" s="43" customFormat="1" ht="17.25" customHeight="1">
      <c r="A22" s="63" t="s">
        <v>51</v>
      </c>
      <c r="B22" s="62" t="s">
        <v>296</v>
      </c>
      <c r="C22" s="62"/>
      <c r="E22" s="36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2" s="43" customFormat="1" ht="17.25" customHeight="1">
      <c r="A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</row>
    <row r="24" s="33" customFormat="1" ht="17.25" customHeight="1"/>
    <row r="25" spans="1:2" s="33" customFormat="1" ht="17.25" customHeight="1">
      <c r="A25" s="50"/>
      <c r="B25" s="430"/>
    </row>
    <row r="26" spans="1:2" s="33" customFormat="1" ht="17.25" customHeight="1">
      <c r="A26" s="50"/>
      <c r="B26" s="430"/>
    </row>
    <row r="27" spans="1:2" s="33" customFormat="1" ht="17.25" customHeight="1">
      <c r="A27" s="50"/>
      <c r="B27" s="431"/>
    </row>
    <row r="28" s="33" customFormat="1" ht="17.25" customHeight="1">
      <c r="A28" s="50"/>
    </row>
    <row r="29" s="33" customFormat="1" ht="17.25" customHeight="1">
      <c r="A29" s="50"/>
    </row>
    <row r="30" s="33" customFormat="1" ht="17.25" customHeight="1">
      <c r="A30" s="50"/>
    </row>
    <row r="31" s="33" customFormat="1" ht="17.25" customHeight="1">
      <c r="A31" s="50"/>
    </row>
    <row r="32" s="33" customFormat="1" ht="17.25" customHeight="1"/>
    <row r="33" s="33" customFormat="1" ht="17.25" customHeight="1"/>
    <row r="34" s="33" customFormat="1" ht="17.25" customHeight="1">
      <c r="A34" s="50"/>
    </row>
    <row r="35" s="33" customFormat="1" ht="17.25" customHeight="1">
      <c r="A35" s="50"/>
    </row>
    <row r="36" s="33" customFormat="1" ht="17.25" customHeight="1">
      <c r="A36" s="50"/>
    </row>
    <row r="37" spans="1:82" ht="17.25" customHeight="1">
      <c r="A37" s="3" t="s">
        <v>605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</row>
    <row r="38" spans="1:82" ht="17.25" customHeight="1">
      <c r="A38" s="3" t="s">
        <v>562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</row>
    <row r="39" spans="12:82" ht="17.25" customHeight="1"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</row>
    <row r="40" spans="12:82" ht="17.25" customHeight="1"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</row>
    <row r="41" spans="1:82" ht="17.25" customHeight="1">
      <c r="A41" s="5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</row>
    <row r="42" spans="1:82" ht="17.25" customHeight="1">
      <c r="A42" s="50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</row>
    <row r="43" spans="1:82" ht="17.25" customHeight="1">
      <c r="A43" s="50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</row>
    <row r="44" spans="12:82" ht="17.25" customHeight="1"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</row>
    <row r="45" spans="12:82" ht="17.25" customHeight="1"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</row>
    <row r="46" spans="1:82" ht="17.25" customHeight="1">
      <c r="A46" s="50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</row>
    <row r="47" spans="1:82" ht="17.25" customHeight="1">
      <c r="A47" s="5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</row>
    <row r="48" spans="1:82" ht="17.25" customHeight="1">
      <c r="A48" s="5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</row>
    <row r="49" spans="1:82" ht="17.25" customHeight="1">
      <c r="A49" s="50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</row>
    <row r="50" spans="1:82" ht="17.25" customHeight="1">
      <c r="A50" s="5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</row>
    <row r="51" spans="1:82" ht="17.25" customHeight="1">
      <c r="A51" s="50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</row>
    <row r="52" spans="1:82" ht="17.25" customHeight="1">
      <c r="A52" s="50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</row>
    <row r="53" spans="1:82" ht="17.25" customHeight="1">
      <c r="A53" s="50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</row>
    <row r="54" spans="12:82" ht="17.25" customHeight="1"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</row>
    <row r="55" spans="12:82" ht="17.25" customHeight="1"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</row>
    <row r="56" spans="12:82" ht="17.25" customHeight="1"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</row>
    <row r="57" spans="12:82" ht="17.25" customHeight="1"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</row>
    <row r="58" spans="12:82" ht="17.25" customHeight="1"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</row>
    <row r="59" spans="12:82" ht="17.25" customHeight="1"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</row>
  </sheetData>
  <mergeCells count="3">
    <mergeCell ref="A2:B2"/>
    <mergeCell ref="A4:B4"/>
    <mergeCell ref="A5:B5"/>
  </mergeCells>
  <printOptions horizontalCentered="1"/>
  <pageMargins left="0.7480314960629921" right="0.7480314960629921" top="1.46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&amp;R&amp;9&amp;P&amp;10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7">
      <pane xSplit="1" ySplit="4" topLeftCell="F11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C58" sqref="C58"/>
    </sheetView>
  </sheetViews>
  <sheetFormatPr defaultColWidth="9.140625" defaultRowHeight="17.25" customHeight="1"/>
  <cols>
    <col min="1" max="1" width="19.8515625" style="282" customWidth="1"/>
    <col min="2" max="2" width="11.00390625" style="282" customWidth="1"/>
    <col min="3" max="4" width="12.7109375" style="282" customWidth="1"/>
    <col min="5" max="5" width="12.140625" style="282" customWidth="1"/>
    <col min="6" max="6" width="10.7109375" style="282" customWidth="1"/>
    <col min="7" max="7" width="12.7109375" style="282" customWidth="1"/>
    <col min="8" max="8" width="11.140625" style="282" customWidth="1"/>
    <col min="9" max="9" width="14.00390625" style="282" customWidth="1"/>
    <col min="10" max="16384" width="12.7109375" style="282" customWidth="1"/>
  </cols>
  <sheetData>
    <row r="1" spans="2:10" ht="17.25" customHeight="1">
      <c r="B1" s="3"/>
      <c r="C1" s="3"/>
      <c r="D1" s="3"/>
      <c r="E1" s="3"/>
      <c r="F1" s="3"/>
      <c r="G1" s="3"/>
      <c r="H1" s="3"/>
      <c r="I1" s="62" t="s">
        <v>160</v>
      </c>
      <c r="J1" s="287"/>
    </row>
    <row r="2" spans="1:9" ht="17.25" customHeight="1">
      <c r="A2" s="625" t="s">
        <v>606</v>
      </c>
      <c r="B2" s="625"/>
      <c r="C2" s="625"/>
      <c r="D2" s="625"/>
      <c r="E2" s="625"/>
      <c r="F2" s="625"/>
      <c r="G2" s="625"/>
      <c r="H2" s="625"/>
      <c r="I2" s="625"/>
    </row>
    <row r="3" spans="1:9" ht="17.2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7.25" customHeight="1">
      <c r="A4" s="616" t="s">
        <v>161</v>
      </c>
      <c r="B4" s="616"/>
      <c r="C4" s="616"/>
      <c r="D4" s="616"/>
      <c r="E4" s="616"/>
      <c r="F4" s="616"/>
      <c r="G4" s="616"/>
      <c r="H4" s="616"/>
      <c r="I4" s="616"/>
    </row>
    <row r="5" spans="1:9" ht="17.25" customHeight="1">
      <c r="A5" s="642" t="s">
        <v>435</v>
      </c>
      <c r="B5" s="642"/>
      <c r="C5" s="642"/>
      <c r="D5" s="642"/>
      <c r="E5" s="642"/>
      <c r="F5" s="642"/>
      <c r="G5" s="642"/>
      <c r="H5" s="642"/>
      <c r="I5" s="642"/>
    </row>
    <row r="6" spans="1:9" ht="17.25" customHeight="1">
      <c r="A6" s="370"/>
      <c r="B6" s="33"/>
      <c r="C6" s="33"/>
      <c r="D6" s="33"/>
      <c r="E6" s="33"/>
      <c r="F6" s="33"/>
      <c r="G6" s="33"/>
      <c r="H6" s="33"/>
      <c r="I6" s="33"/>
    </row>
    <row r="7" spans="1:9" ht="17.25" customHeight="1">
      <c r="A7" s="286"/>
      <c r="B7" s="286"/>
      <c r="C7" s="286"/>
      <c r="D7" s="286"/>
      <c r="E7" s="286"/>
      <c r="F7" s="286"/>
      <c r="G7" s="286"/>
      <c r="H7" s="286"/>
      <c r="I7" s="286" t="s">
        <v>162</v>
      </c>
    </row>
    <row r="8" spans="1:9" ht="17.25" customHeight="1">
      <c r="A8" s="596" t="s">
        <v>163</v>
      </c>
      <c r="B8" s="596" t="s">
        <v>164</v>
      </c>
      <c r="C8" s="596" t="s">
        <v>165</v>
      </c>
      <c r="D8" s="596" t="s">
        <v>166</v>
      </c>
      <c r="E8" s="596" t="s">
        <v>167</v>
      </c>
      <c r="F8" s="596" t="s">
        <v>168</v>
      </c>
      <c r="G8" s="376" t="s">
        <v>169</v>
      </c>
      <c r="H8" s="416"/>
      <c r="I8" s="596" t="s">
        <v>170</v>
      </c>
    </row>
    <row r="9" spans="1:9" ht="39.75" customHeight="1">
      <c r="A9" s="611"/>
      <c r="B9" s="611"/>
      <c r="C9" s="611"/>
      <c r="D9" s="611"/>
      <c r="E9" s="611"/>
      <c r="F9" s="611"/>
      <c r="G9" s="10" t="s">
        <v>171</v>
      </c>
      <c r="H9" s="10" t="s">
        <v>172</v>
      </c>
      <c r="I9" s="611"/>
    </row>
    <row r="10" spans="1:9" ht="11.2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</row>
    <row r="11" spans="1:9" ht="12">
      <c r="A11" s="405" t="s">
        <v>95</v>
      </c>
      <c r="B11" s="125">
        <v>1800</v>
      </c>
      <c r="C11" s="125">
        <v>360218</v>
      </c>
      <c r="D11" s="258">
        <v>10992</v>
      </c>
      <c r="E11" s="125">
        <v>1744405</v>
      </c>
      <c r="F11" s="258"/>
      <c r="G11" s="258"/>
      <c r="H11" s="258"/>
      <c r="I11" s="125">
        <f aca="true" t="shared" si="0" ref="I11:I43">SUM(B11:H11)</f>
        <v>2117415</v>
      </c>
    </row>
    <row r="12" spans="1:9" ht="12">
      <c r="A12" s="405" t="s">
        <v>96</v>
      </c>
      <c r="B12" s="258"/>
      <c r="C12" s="258">
        <v>46022</v>
      </c>
      <c r="D12" s="258">
        <v>1081</v>
      </c>
      <c r="E12" s="125">
        <v>288121</v>
      </c>
      <c r="F12" s="258"/>
      <c r="G12" s="258"/>
      <c r="H12" s="258"/>
      <c r="I12" s="125">
        <f t="shared" si="0"/>
        <v>335224</v>
      </c>
    </row>
    <row r="13" spans="1:9" ht="12" customHeight="1">
      <c r="A13" s="405" t="s">
        <v>97</v>
      </c>
      <c r="B13" s="258">
        <v>1000</v>
      </c>
      <c r="C13" s="258">
        <v>41400</v>
      </c>
      <c r="D13" s="258">
        <v>3063</v>
      </c>
      <c r="E13" s="125">
        <v>171818</v>
      </c>
      <c r="F13" s="258"/>
      <c r="G13" s="258"/>
      <c r="H13" s="258"/>
      <c r="I13" s="125">
        <f t="shared" si="0"/>
        <v>217281</v>
      </c>
    </row>
    <row r="14" spans="1:9" ht="12" customHeight="1">
      <c r="A14" s="405" t="s">
        <v>98</v>
      </c>
      <c r="B14" s="258"/>
      <c r="C14" s="258">
        <f>9983</f>
        <v>9983</v>
      </c>
      <c r="D14" s="258">
        <v>192</v>
      </c>
      <c r="E14" s="125">
        <v>132722</v>
      </c>
      <c r="F14" s="258"/>
      <c r="G14" s="258"/>
      <c r="H14" s="258"/>
      <c r="I14" s="125">
        <f t="shared" si="0"/>
        <v>142897</v>
      </c>
    </row>
    <row r="15" spans="1:9" ht="12" customHeight="1">
      <c r="A15" s="405" t="s">
        <v>99</v>
      </c>
      <c r="B15" s="258"/>
      <c r="C15" s="258">
        <f>53537</f>
        <v>53537</v>
      </c>
      <c r="D15" s="258">
        <v>1081</v>
      </c>
      <c r="E15" s="125">
        <v>200873</v>
      </c>
      <c r="F15" s="258"/>
      <c r="G15" s="258"/>
      <c r="H15" s="258"/>
      <c r="I15" s="125">
        <f t="shared" si="0"/>
        <v>255491</v>
      </c>
    </row>
    <row r="16" spans="1:9" ht="12" customHeight="1">
      <c r="A16" s="405" t="s">
        <v>100</v>
      </c>
      <c r="B16" s="258">
        <v>4000</v>
      </c>
      <c r="C16" s="258">
        <v>38689</v>
      </c>
      <c r="D16" s="258">
        <v>901</v>
      </c>
      <c r="E16" s="258">
        <v>95946</v>
      </c>
      <c r="F16" s="258"/>
      <c r="G16" s="258"/>
      <c r="H16" s="258"/>
      <c r="I16" s="125">
        <f t="shared" si="0"/>
        <v>139536</v>
      </c>
    </row>
    <row r="17" spans="1:9" ht="12" customHeight="1">
      <c r="A17" s="405" t="s">
        <v>101</v>
      </c>
      <c r="C17" s="258">
        <v>3680</v>
      </c>
      <c r="D17" s="258">
        <v>721</v>
      </c>
      <c r="E17" s="125">
        <v>103341</v>
      </c>
      <c r="F17" s="258"/>
      <c r="G17" s="258"/>
      <c r="H17" s="258"/>
      <c r="I17" s="125">
        <f t="shared" si="0"/>
        <v>107742</v>
      </c>
    </row>
    <row r="18" spans="1:9" ht="12" customHeight="1">
      <c r="A18" s="405" t="s">
        <v>104</v>
      </c>
      <c r="B18" s="258">
        <f>3800+1500</f>
        <v>5300</v>
      </c>
      <c r="C18" s="258">
        <v>36253</v>
      </c>
      <c r="D18" s="258">
        <v>721</v>
      </c>
      <c r="E18" s="125">
        <v>144541</v>
      </c>
      <c r="F18" s="258"/>
      <c r="G18" s="258"/>
      <c r="H18" s="258"/>
      <c r="I18" s="125">
        <f t="shared" si="0"/>
        <v>186815</v>
      </c>
    </row>
    <row r="19" spans="1:9" ht="12" customHeight="1">
      <c r="A19" s="405" t="s">
        <v>105</v>
      </c>
      <c r="B19" s="258">
        <v>5000</v>
      </c>
      <c r="C19" s="258">
        <v>43386</v>
      </c>
      <c r="D19" s="258">
        <v>901</v>
      </c>
      <c r="E19" s="258">
        <v>91481</v>
      </c>
      <c r="F19" s="258"/>
      <c r="G19" s="258"/>
      <c r="H19" s="258"/>
      <c r="I19" s="125">
        <f t="shared" si="0"/>
        <v>140768</v>
      </c>
    </row>
    <row r="20" spans="1:9" ht="12" customHeight="1">
      <c r="A20" s="405" t="s">
        <v>106</v>
      </c>
      <c r="B20" s="258">
        <v>33250</v>
      </c>
      <c r="C20" s="258">
        <v>35356</v>
      </c>
      <c r="D20" s="258">
        <v>1442</v>
      </c>
      <c r="E20" s="258">
        <v>103301</v>
      </c>
      <c r="F20" s="258"/>
      <c r="G20" s="258"/>
      <c r="H20" s="258"/>
      <c r="I20" s="125">
        <f t="shared" si="0"/>
        <v>173349</v>
      </c>
    </row>
    <row r="21" spans="1:9" ht="12" customHeight="1">
      <c r="A21" s="405" t="s">
        <v>107</v>
      </c>
      <c r="B21" s="258">
        <f>7000+8000</f>
        <v>15000</v>
      </c>
      <c r="C21" s="258">
        <v>59005</v>
      </c>
      <c r="D21" s="258">
        <v>1261</v>
      </c>
      <c r="E21" s="125">
        <v>169208</v>
      </c>
      <c r="F21" s="258"/>
      <c r="G21" s="258"/>
      <c r="H21" s="258"/>
      <c r="I21" s="125">
        <f t="shared" si="0"/>
        <v>244474</v>
      </c>
    </row>
    <row r="22" spans="1:9" ht="12" customHeight="1">
      <c r="A22" s="405" t="s">
        <v>108</v>
      </c>
      <c r="B22" s="258">
        <f>6000</f>
        <v>6000</v>
      </c>
      <c r="C22" s="125">
        <f>106667</f>
        <v>106667</v>
      </c>
      <c r="D22" s="258">
        <v>1442</v>
      </c>
      <c r="E22" s="125">
        <v>197436</v>
      </c>
      <c r="F22" s="258">
        <v>4167</v>
      </c>
      <c r="G22" s="258"/>
      <c r="H22" s="258"/>
      <c r="I22" s="125">
        <f t="shared" si="0"/>
        <v>315712</v>
      </c>
    </row>
    <row r="23" spans="1:9" ht="12" customHeight="1">
      <c r="A23" s="405" t="s">
        <v>109</v>
      </c>
      <c r="B23" s="258">
        <f>2300+4000+7000+30000</f>
        <v>43300</v>
      </c>
      <c r="C23" s="258">
        <v>34209</v>
      </c>
      <c r="D23" s="258">
        <v>541</v>
      </c>
      <c r="E23" s="125">
        <v>114963</v>
      </c>
      <c r="F23" s="258">
        <v>4167</v>
      </c>
      <c r="G23" s="258"/>
      <c r="H23" s="258"/>
      <c r="I23" s="125">
        <f t="shared" si="0"/>
        <v>197180</v>
      </c>
    </row>
    <row r="24" spans="1:9" ht="12" customHeight="1">
      <c r="A24" s="405" t="s">
        <v>110</v>
      </c>
      <c r="B24" s="258">
        <v>4500</v>
      </c>
      <c r="C24" s="258">
        <v>15350</v>
      </c>
      <c r="D24" s="258">
        <v>901</v>
      </c>
      <c r="E24" s="125">
        <v>143535</v>
      </c>
      <c r="F24" s="258"/>
      <c r="G24" s="258"/>
      <c r="H24" s="258"/>
      <c r="I24" s="125">
        <f t="shared" si="0"/>
        <v>164286</v>
      </c>
    </row>
    <row r="25" spans="1:9" ht="12" customHeight="1">
      <c r="A25" s="405" t="s">
        <v>111</v>
      </c>
      <c r="B25" s="258">
        <v>2000</v>
      </c>
      <c r="C25" s="258">
        <v>14200</v>
      </c>
      <c r="D25" s="258">
        <v>541</v>
      </c>
      <c r="E25" s="258">
        <v>99712</v>
      </c>
      <c r="F25" s="258"/>
      <c r="G25" s="258"/>
      <c r="H25" s="258"/>
      <c r="I25" s="125">
        <f t="shared" si="0"/>
        <v>116453</v>
      </c>
    </row>
    <row r="26" spans="1:9" ht="12" customHeight="1">
      <c r="A26" s="405" t="s">
        <v>112</v>
      </c>
      <c r="B26" s="258">
        <v>8000</v>
      </c>
      <c r="C26" s="258">
        <v>28200</v>
      </c>
      <c r="D26" s="258">
        <v>721</v>
      </c>
      <c r="E26" s="125">
        <v>124760</v>
      </c>
      <c r="F26" s="258">
        <v>4166</v>
      </c>
      <c r="G26" s="258"/>
      <c r="H26" s="258"/>
      <c r="I26" s="125">
        <f t="shared" si="0"/>
        <v>165847</v>
      </c>
    </row>
    <row r="27" spans="1:9" ht="12" customHeight="1">
      <c r="A27" s="405" t="s">
        <v>113</v>
      </c>
      <c r="B27" s="258"/>
      <c r="C27" s="258">
        <v>44450</v>
      </c>
      <c r="D27" s="258">
        <v>901</v>
      </c>
      <c r="E27" s="125">
        <v>166596</v>
      </c>
      <c r="F27" s="258"/>
      <c r="G27" s="258"/>
      <c r="H27" s="258"/>
      <c r="I27" s="125">
        <f t="shared" si="0"/>
        <v>211947</v>
      </c>
    </row>
    <row r="28" spans="1:9" ht="12" customHeight="1">
      <c r="A28" s="405" t="s">
        <v>114</v>
      </c>
      <c r="B28" s="258">
        <v>4000</v>
      </c>
      <c r="C28" s="258">
        <v>20000</v>
      </c>
      <c r="D28" s="258">
        <v>573</v>
      </c>
      <c r="E28" s="125">
        <v>119362</v>
      </c>
      <c r="F28" s="258"/>
      <c r="G28" s="258"/>
      <c r="H28" s="258"/>
      <c r="I28" s="125">
        <f t="shared" si="0"/>
        <v>143935</v>
      </c>
    </row>
    <row r="29" spans="1:9" ht="12" customHeight="1">
      <c r="A29" s="405" t="s">
        <v>115</v>
      </c>
      <c r="B29" s="258">
        <v>5000</v>
      </c>
      <c r="C29" s="258">
        <v>46250</v>
      </c>
      <c r="D29" s="258">
        <v>901</v>
      </c>
      <c r="E29" s="125">
        <v>133144</v>
      </c>
      <c r="F29" s="258"/>
      <c r="G29" s="258"/>
      <c r="H29" s="258"/>
      <c r="I29" s="125">
        <f t="shared" si="0"/>
        <v>185295</v>
      </c>
    </row>
    <row r="30" spans="1:9" ht="12" customHeight="1">
      <c r="A30" s="405" t="s">
        <v>116</v>
      </c>
      <c r="B30" s="258">
        <v>2100</v>
      </c>
      <c r="C30" s="258">
        <v>51412</v>
      </c>
      <c r="D30" s="258">
        <v>901</v>
      </c>
      <c r="E30" s="125">
        <v>154478</v>
      </c>
      <c r="F30" s="258">
        <v>4167</v>
      </c>
      <c r="G30" s="258"/>
      <c r="H30" s="258"/>
      <c r="I30" s="125">
        <f t="shared" si="0"/>
        <v>213058</v>
      </c>
    </row>
    <row r="31" spans="1:9" ht="12" customHeight="1">
      <c r="A31" s="405" t="s">
        <v>117</v>
      </c>
      <c r="B31" s="258">
        <v>1000</v>
      </c>
      <c r="C31" s="258">
        <v>15705</v>
      </c>
      <c r="D31" s="258">
        <v>901</v>
      </c>
      <c r="E31" s="125">
        <v>128137</v>
      </c>
      <c r="F31" s="258"/>
      <c r="G31" s="258"/>
      <c r="H31" s="258"/>
      <c r="I31" s="125">
        <f t="shared" si="0"/>
        <v>145743</v>
      </c>
    </row>
    <row r="32" spans="1:9" ht="12" customHeight="1">
      <c r="A32" s="405" t="s">
        <v>118</v>
      </c>
      <c r="B32" s="258">
        <f>26800+2500</f>
        <v>29300</v>
      </c>
      <c r="C32" s="258">
        <v>15714</v>
      </c>
      <c r="D32" s="258">
        <v>901</v>
      </c>
      <c r="E32" s="125">
        <v>106549</v>
      </c>
      <c r="F32" s="258"/>
      <c r="G32" s="258"/>
      <c r="H32" s="258"/>
      <c r="I32" s="125">
        <f t="shared" si="0"/>
        <v>152464</v>
      </c>
    </row>
    <row r="33" spans="1:9" ht="12" customHeight="1">
      <c r="A33" s="405" t="s">
        <v>119</v>
      </c>
      <c r="B33" s="258">
        <f>43400+1000+1000</f>
        <v>45400</v>
      </c>
      <c r="C33" s="258">
        <v>28664</v>
      </c>
      <c r="D33" s="258">
        <v>1622</v>
      </c>
      <c r="E33" s="125">
        <v>154965</v>
      </c>
      <c r="F33" s="258"/>
      <c r="G33" s="258"/>
      <c r="H33" s="258"/>
      <c r="I33" s="125">
        <f t="shared" si="0"/>
        <v>230651</v>
      </c>
    </row>
    <row r="34" spans="1:9" ht="12" customHeight="1">
      <c r="A34" s="405" t="s">
        <v>120</v>
      </c>
      <c r="B34" s="258">
        <f>20000+1180</f>
        <v>21180</v>
      </c>
      <c r="C34" s="258">
        <v>24593</v>
      </c>
      <c r="D34" s="258">
        <v>1442</v>
      </c>
      <c r="E34" s="125">
        <v>181686</v>
      </c>
      <c r="F34" s="258">
        <v>4167</v>
      </c>
      <c r="G34" s="258"/>
      <c r="H34" s="258"/>
      <c r="I34" s="125">
        <f t="shared" si="0"/>
        <v>233068</v>
      </c>
    </row>
    <row r="35" spans="1:9" ht="12" customHeight="1">
      <c r="A35" s="405" t="s">
        <v>121</v>
      </c>
      <c r="B35" s="258">
        <v>40000</v>
      </c>
      <c r="C35" s="258">
        <v>72267</v>
      </c>
      <c r="D35" s="258">
        <v>1442</v>
      </c>
      <c r="E35" s="125">
        <v>141242</v>
      </c>
      <c r="F35" s="258"/>
      <c r="G35" s="258"/>
      <c r="H35" s="258"/>
      <c r="I35" s="125">
        <f t="shared" si="0"/>
        <v>254951</v>
      </c>
    </row>
    <row r="36" spans="1:9" ht="12" customHeight="1">
      <c r="A36" s="405" t="s">
        <v>122</v>
      </c>
      <c r="B36" s="258">
        <v>5000</v>
      </c>
      <c r="C36" s="258">
        <v>62462</v>
      </c>
      <c r="D36" s="258">
        <v>901</v>
      </c>
      <c r="E36" s="125">
        <v>146569</v>
      </c>
      <c r="F36" s="258"/>
      <c r="G36" s="258"/>
      <c r="H36" s="258"/>
      <c r="I36" s="125">
        <f t="shared" si="0"/>
        <v>214932</v>
      </c>
    </row>
    <row r="37" spans="1:9" ht="12" customHeight="1">
      <c r="A37" s="405" t="s">
        <v>123</v>
      </c>
      <c r="B37" s="258">
        <f>7000+17000</f>
        <v>24000</v>
      </c>
      <c r="C37" s="258">
        <v>55205</v>
      </c>
      <c r="D37" s="258">
        <v>2883</v>
      </c>
      <c r="E37" s="125">
        <v>352116</v>
      </c>
      <c r="F37" s="258"/>
      <c r="G37" s="258"/>
      <c r="H37" s="258"/>
      <c r="I37" s="125">
        <f t="shared" si="0"/>
        <v>434204</v>
      </c>
    </row>
    <row r="38" spans="1:9" ht="12" customHeight="1">
      <c r="A38" s="405" t="s">
        <v>124</v>
      </c>
      <c r="B38" s="258">
        <v>7000</v>
      </c>
      <c r="C38" s="258">
        <v>57882</v>
      </c>
      <c r="D38" s="258">
        <v>901</v>
      </c>
      <c r="E38" s="125">
        <v>171189</v>
      </c>
      <c r="F38" s="258"/>
      <c r="G38" s="258"/>
      <c r="H38" s="258"/>
      <c r="I38" s="125">
        <f t="shared" si="0"/>
        <v>236972</v>
      </c>
    </row>
    <row r="39" spans="1:9" ht="12" customHeight="1">
      <c r="A39" s="405" t="s">
        <v>125</v>
      </c>
      <c r="B39" s="258">
        <f>4000+6672</f>
        <v>10672</v>
      </c>
      <c r="C39" s="258">
        <v>26700</v>
      </c>
      <c r="D39" s="258">
        <f>1261</f>
        <v>1261</v>
      </c>
      <c r="E39" s="125">
        <f>167921</f>
        <v>167921</v>
      </c>
      <c r="F39" s="258"/>
      <c r="G39" s="258"/>
      <c r="H39" s="258"/>
      <c r="I39" s="125">
        <f t="shared" si="0"/>
        <v>206554</v>
      </c>
    </row>
    <row r="40" spans="1:9" ht="12" customHeight="1">
      <c r="A40" s="405" t="s">
        <v>126</v>
      </c>
      <c r="B40" s="125">
        <f>5000+1200+3000+12000</f>
        <v>21200</v>
      </c>
      <c r="C40" s="258">
        <v>74314</v>
      </c>
      <c r="D40" s="258">
        <v>901</v>
      </c>
      <c r="E40" s="125">
        <v>175210</v>
      </c>
      <c r="F40" s="125"/>
      <c r="G40" s="125"/>
      <c r="H40" s="125"/>
      <c r="I40" s="125">
        <f t="shared" si="0"/>
        <v>271625</v>
      </c>
    </row>
    <row r="41" spans="1:9" ht="12" customHeight="1">
      <c r="A41" s="405" t="s">
        <v>127</v>
      </c>
      <c r="B41" s="258"/>
      <c r="C41" s="258">
        <v>18500</v>
      </c>
      <c r="D41" s="258">
        <v>1442</v>
      </c>
      <c r="E41" s="125">
        <v>107248</v>
      </c>
      <c r="F41" s="125"/>
      <c r="G41" s="125"/>
      <c r="H41" s="125"/>
      <c r="I41" s="125">
        <f t="shared" si="0"/>
        <v>127190</v>
      </c>
    </row>
    <row r="42" spans="1:9" ht="12" customHeight="1">
      <c r="A42" s="405" t="s">
        <v>128</v>
      </c>
      <c r="B42" s="258"/>
      <c r="C42" s="258">
        <v>86800</v>
      </c>
      <c r="D42" s="258">
        <v>1622</v>
      </c>
      <c r="E42" s="125">
        <v>214635</v>
      </c>
      <c r="F42" s="125"/>
      <c r="G42" s="125"/>
      <c r="H42" s="125"/>
      <c r="I42" s="125">
        <f t="shared" si="0"/>
        <v>303057</v>
      </c>
    </row>
    <row r="43" spans="1:9" ht="12" customHeight="1">
      <c r="A43" s="405" t="s">
        <v>129</v>
      </c>
      <c r="B43" s="258"/>
      <c r="C43" s="258">
        <v>17984</v>
      </c>
      <c r="D43" s="258">
        <v>689</v>
      </c>
      <c r="E43" s="258">
        <f>49374</f>
        <v>49374</v>
      </c>
      <c r="F43" s="343"/>
      <c r="G43" s="125"/>
      <c r="H43" s="125"/>
      <c r="I43" s="125">
        <f t="shared" si="0"/>
        <v>68047</v>
      </c>
    </row>
    <row r="44" spans="1:9" ht="12" customHeight="1">
      <c r="A44" s="266" t="s">
        <v>131</v>
      </c>
      <c r="B44" s="417">
        <f>SUM(B11:B43)</f>
        <v>345002</v>
      </c>
      <c r="C44" s="417">
        <f>SUM(C11:C43)</f>
        <v>1645057</v>
      </c>
      <c r="D44" s="417">
        <f>SUM(D11:D43)</f>
        <v>46686</v>
      </c>
      <c r="E44" s="417">
        <f>SUM(E11:E43)</f>
        <v>6596584</v>
      </c>
      <c r="F44" s="417">
        <f>SUM(F11:F43)</f>
        <v>20834</v>
      </c>
      <c r="G44" s="417"/>
      <c r="H44" s="417"/>
      <c r="I44" s="417">
        <f>SUM(I11:I43)</f>
        <v>8654163</v>
      </c>
    </row>
    <row r="45" spans="1:9" ht="17.25" customHeight="1">
      <c r="A45" s="418"/>
      <c r="B45" s="111"/>
      <c r="C45" s="111"/>
      <c r="D45" s="111"/>
      <c r="E45" s="111"/>
      <c r="F45" s="111"/>
      <c r="G45" s="111"/>
      <c r="H45" s="111"/>
      <c r="I45" s="111"/>
    </row>
    <row r="46" spans="1:9" ht="17.25" customHeight="1">
      <c r="A46" s="418"/>
      <c r="B46" s="111"/>
      <c r="C46" s="111"/>
      <c r="D46" s="109"/>
      <c r="E46" s="111"/>
      <c r="F46" s="111"/>
      <c r="G46" s="111"/>
      <c r="H46" s="111"/>
      <c r="I46" s="111"/>
    </row>
    <row r="47" spans="1:9" ht="17.25" customHeight="1">
      <c r="A47" s="418"/>
      <c r="B47" s="111"/>
      <c r="C47" s="111"/>
      <c r="D47" s="111"/>
      <c r="E47" s="111"/>
      <c r="F47" s="111"/>
      <c r="G47" s="111"/>
      <c r="H47" s="111"/>
      <c r="I47" s="111"/>
    </row>
    <row r="48" spans="1:8" ht="17.25" customHeight="1">
      <c r="A48" s="419"/>
      <c r="B48" s="420"/>
      <c r="C48" s="421"/>
      <c r="D48" s="422"/>
      <c r="E48" s="422"/>
      <c r="F48" s="422"/>
      <c r="G48" s="422"/>
      <c r="H48" s="422"/>
    </row>
    <row r="49" spans="1:9" s="99" customFormat="1" ht="17.25" customHeight="1">
      <c r="A49" s="275"/>
      <c r="B49" s="275"/>
      <c r="C49" s="423"/>
      <c r="D49" s="304"/>
      <c r="E49" s="362"/>
      <c r="F49" s="275"/>
      <c r="G49" s="304"/>
      <c r="H49" s="362"/>
      <c r="I49" s="309"/>
    </row>
    <row r="50" spans="1:9" ht="17.25" customHeight="1">
      <c r="A50" s="424"/>
      <c r="B50" s="167"/>
      <c r="C50" s="167"/>
      <c r="D50" s="167"/>
      <c r="E50" s="304"/>
      <c r="F50" s="425"/>
      <c r="G50" s="425"/>
      <c r="H50" s="425"/>
      <c r="I50" s="304"/>
    </row>
    <row r="51" spans="1:7" ht="17.25" customHeight="1">
      <c r="A51" s="63" t="s">
        <v>51</v>
      </c>
      <c r="G51" s="62" t="s">
        <v>296</v>
      </c>
    </row>
    <row r="57" ht="17.25" customHeight="1">
      <c r="A57" s="282" t="s">
        <v>684</v>
      </c>
    </row>
    <row r="58" ht="17.25" customHeight="1">
      <c r="A58" s="282" t="s">
        <v>562</v>
      </c>
    </row>
    <row r="62" ht="17.25" customHeight="1">
      <c r="A62" s="8"/>
    </row>
  </sheetData>
  <mergeCells count="10">
    <mergeCell ref="A2:I2"/>
    <mergeCell ref="A4:I4"/>
    <mergeCell ref="A5:I5"/>
    <mergeCell ref="B8:B9"/>
    <mergeCell ref="C8:C9"/>
    <mergeCell ref="A8:A9"/>
    <mergeCell ref="D8:D9"/>
    <mergeCell ref="E8:E9"/>
    <mergeCell ref="F8:F9"/>
    <mergeCell ref="I8:I9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62"/>
  <sheetViews>
    <sheetView workbookViewId="0" topLeftCell="A1">
      <selection activeCell="D1" sqref="D1"/>
    </sheetView>
  </sheetViews>
  <sheetFormatPr defaultColWidth="9.140625" defaultRowHeight="12.75"/>
  <cols>
    <col min="1" max="1" width="4.421875" style="3" customWidth="1"/>
    <col min="2" max="2" width="45.140625" style="3" customWidth="1"/>
    <col min="3" max="4" width="19.8515625" style="3" customWidth="1"/>
    <col min="92" max="16384" width="9.140625" style="3" customWidth="1"/>
  </cols>
  <sheetData>
    <row r="1" ht="12.75">
      <c r="D1" s="69" t="s">
        <v>886</v>
      </c>
    </row>
    <row r="2" spans="1:4" ht="12.75">
      <c r="A2" s="625" t="s">
        <v>606</v>
      </c>
      <c r="B2" s="625"/>
      <c r="C2" s="625"/>
      <c r="D2" s="625"/>
    </row>
    <row r="4" spans="1:91" s="370" customFormat="1" ht="15.75">
      <c r="A4" s="281" t="s">
        <v>887</v>
      </c>
      <c r="B4" s="281"/>
      <c r="C4" s="281"/>
      <c r="D4" s="281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</row>
    <row r="5" spans="1:91" s="370" customFormat="1" ht="15.75">
      <c r="A5" s="5" t="s">
        <v>189</v>
      </c>
      <c r="B5" s="314"/>
      <c r="C5" s="281"/>
      <c r="D5" s="281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</row>
    <row r="7" spans="1:91" s="436" customFormat="1" ht="15">
      <c r="A7" s="433"/>
      <c r="B7" s="434" t="s">
        <v>888</v>
      </c>
      <c r="C7" s="435" t="s">
        <v>889</v>
      </c>
      <c r="D7" s="435" t="s">
        <v>890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</row>
    <row r="8" spans="1:91" s="440" customFormat="1" ht="12" customHeight="1">
      <c r="A8" s="437"/>
      <c r="B8" s="438"/>
      <c r="C8" s="439"/>
      <c r="D8" s="43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0" customFormat="1" ht="15">
      <c r="A9" s="441" t="s">
        <v>891</v>
      </c>
      <c r="B9" s="442" t="s">
        <v>892</v>
      </c>
      <c r="D9" s="44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0" customFormat="1" ht="15">
      <c r="A10" s="441"/>
      <c r="B10" s="442" t="s">
        <v>893</v>
      </c>
      <c r="C10" s="444" t="s">
        <v>894</v>
      </c>
      <c r="D10" s="44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0" customFormat="1" ht="12" customHeight="1">
      <c r="A11" s="441"/>
      <c r="B11" s="442"/>
      <c r="C11" s="444"/>
      <c r="D11" s="44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0" customFormat="1" ht="14.25">
      <c r="A12" s="446"/>
      <c r="B12" s="447" t="s">
        <v>895</v>
      </c>
      <c r="C12" s="448"/>
      <c r="D12" s="44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0" customFormat="1" ht="14.25">
      <c r="A13" s="446"/>
      <c r="B13" s="447" t="s">
        <v>895</v>
      </c>
      <c r="C13" s="448"/>
      <c r="D13" s="44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0" customFormat="1" ht="14.25">
      <c r="A14" s="446"/>
      <c r="B14" s="447" t="s">
        <v>895</v>
      </c>
      <c r="C14" s="448"/>
      <c r="D14" s="44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0" customFormat="1" ht="14.25">
      <c r="A15" s="446"/>
      <c r="B15" s="447" t="s">
        <v>895</v>
      </c>
      <c r="C15" s="448"/>
      <c r="D15" s="448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0" customFormat="1" ht="14.25">
      <c r="A16" s="446"/>
      <c r="B16" s="447" t="s">
        <v>895</v>
      </c>
      <c r="C16" s="448"/>
      <c r="D16" s="44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0" customFormat="1" ht="14.25">
      <c r="A17" s="449"/>
      <c r="B17" s="447" t="s">
        <v>895</v>
      </c>
      <c r="C17" s="448"/>
      <c r="D17" s="44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0" customFormat="1" ht="12" customHeight="1">
      <c r="A18" s="450"/>
      <c r="B18" s="443"/>
      <c r="C18" s="451"/>
      <c r="D18" s="452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0" customFormat="1" ht="15">
      <c r="A19" s="441" t="s">
        <v>896</v>
      </c>
      <c r="B19" s="442" t="s">
        <v>897</v>
      </c>
      <c r="C19" s="444" t="s">
        <v>898</v>
      </c>
      <c r="D19" s="445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0" customFormat="1" ht="15">
      <c r="A20" s="441"/>
      <c r="B20" s="442" t="s">
        <v>899</v>
      </c>
      <c r="C20" s="3"/>
      <c r="D20" s="45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0" customFormat="1" ht="16.5" customHeight="1">
      <c r="A21" s="446"/>
      <c r="C21" s="454" t="s">
        <v>900</v>
      </c>
      <c r="D21" s="454" t="s">
        <v>901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0" customFormat="1" ht="14.25">
      <c r="A22" s="446"/>
      <c r="B22" s="455"/>
      <c r="C22" s="449" t="s">
        <v>902</v>
      </c>
      <c r="D22" s="449" t="s">
        <v>902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0" customFormat="1" ht="14.25">
      <c r="A23" s="446"/>
      <c r="B23" s="447" t="s">
        <v>895</v>
      </c>
      <c r="C23" s="456"/>
      <c r="D23" s="45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0" customFormat="1" ht="14.25">
      <c r="A24" s="446"/>
      <c r="B24" s="447" t="s">
        <v>895</v>
      </c>
      <c r="C24" s="456"/>
      <c r="D24" s="45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0" customFormat="1" ht="14.25">
      <c r="A25" s="446"/>
      <c r="B25" s="447" t="s">
        <v>895</v>
      </c>
      <c r="C25" s="456"/>
      <c r="D25" s="457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0" customFormat="1" ht="14.25">
      <c r="A26" s="446"/>
      <c r="B26" s="447" t="s">
        <v>895</v>
      </c>
      <c r="C26" s="456"/>
      <c r="D26" s="457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0" customFormat="1" ht="14.25">
      <c r="A27" s="446"/>
      <c r="B27" s="447" t="s">
        <v>895</v>
      </c>
      <c r="C27" s="456"/>
      <c r="D27" s="456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0" customFormat="1" ht="14.25">
      <c r="A28" s="449"/>
      <c r="B28" s="447" t="s">
        <v>895</v>
      </c>
      <c r="C28" s="456"/>
      <c r="D28" s="457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0" customFormat="1" ht="12" customHeight="1">
      <c r="A29" s="446"/>
      <c r="B29" s="443"/>
      <c r="C29" s="458"/>
      <c r="D29" s="44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s="50" customFormat="1" ht="15">
      <c r="A30" s="441" t="s">
        <v>903</v>
      </c>
      <c r="B30" s="442" t="s">
        <v>904</v>
      </c>
      <c r="D30" s="443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s="50" customFormat="1" ht="15">
      <c r="A31" s="441"/>
      <c r="B31" s="442" t="s">
        <v>905</v>
      </c>
      <c r="C31" s="444" t="s">
        <v>894</v>
      </c>
      <c r="D31" s="445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4" ht="12" customHeight="1">
      <c r="A32" s="459"/>
      <c r="B32" s="460"/>
      <c r="D32" s="461"/>
    </row>
    <row r="33" spans="1:91" s="50" customFormat="1" ht="14.25">
      <c r="A33" s="446"/>
      <c r="B33" s="447" t="s">
        <v>895</v>
      </c>
      <c r="C33" s="448"/>
      <c r="D33" s="448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0" customFormat="1" ht="14.25">
      <c r="A34" s="446"/>
      <c r="B34" s="447" t="s">
        <v>895</v>
      </c>
      <c r="C34" s="448"/>
      <c r="D34" s="44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0" customFormat="1" ht="14.25">
      <c r="A35" s="446"/>
      <c r="B35" s="447" t="s">
        <v>895</v>
      </c>
      <c r="C35" s="448"/>
      <c r="D35" s="44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s="50" customFormat="1" ht="14.25">
      <c r="A36" s="446"/>
      <c r="B36" s="447" t="s">
        <v>895</v>
      </c>
      <c r="C36" s="448"/>
      <c r="D36" s="44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s="50" customFormat="1" ht="14.25">
      <c r="A37" s="446"/>
      <c r="B37" s="447" t="s">
        <v>895</v>
      </c>
      <c r="C37" s="448"/>
      <c r="D37" s="44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0" customFormat="1" ht="14.25">
      <c r="A38" s="449"/>
      <c r="B38" s="447" t="s">
        <v>895</v>
      </c>
      <c r="C38" s="448"/>
      <c r="D38" s="44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.75">
      <c r="A39" s="459"/>
      <c r="B39" s="453"/>
      <c r="C39" s="107"/>
      <c r="D39" s="462"/>
    </row>
    <row r="40" spans="1:91" s="50" customFormat="1" ht="15">
      <c r="A40" s="441" t="s">
        <v>906</v>
      </c>
      <c r="B40" s="442" t="s">
        <v>0</v>
      </c>
      <c r="D40" s="443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0" customFormat="1" ht="15">
      <c r="A41" s="441"/>
      <c r="B41" s="442" t="s">
        <v>1</v>
      </c>
      <c r="C41" s="444" t="s">
        <v>894</v>
      </c>
      <c r="D41" s="445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4" ht="12" customHeight="1">
      <c r="A42" s="459"/>
      <c r="B42" s="460"/>
      <c r="D42" s="453"/>
    </row>
    <row r="43" spans="1:91" s="50" customFormat="1" ht="14.25">
      <c r="A43" s="446"/>
      <c r="B43" s="447" t="s">
        <v>895</v>
      </c>
      <c r="C43" s="448"/>
      <c r="D43" s="44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s="50" customFormat="1" ht="14.25">
      <c r="A44" s="446"/>
      <c r="B44" s="447" t="s">
        <v>895</v>
      </c>
      <c r="C44" s="448"/>
      <c r="D44" s="44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1:91" s="50" customFormat="1" ht="14.25">
      <c r="A45" s="446"/>
      <c r="B45" s="447" t="s">
        <v>895</v>
      </c>
      <c r="C45" s="448"/>
      <c r="D45" s="448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s="50" customFormat="1" ht="14.25">
      <c r="A46" s="446"/>
      <c r="B46" s="447" t="s">
        <v>895</v>
      </c>
      <c r="C46" s="448"/>
      <c r="D46" s="448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s="50" customFormat="1" ht="14.25">
      <c r="A47" s="446"/>
      <c r="B47" s="447" t="s">
        <v>895</v>
      </c>
      <c r="C47" s="448"/>
      <c r="D47" s="448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1:91" s="50" customFormat="1" ht="14.25">
      <c r="A48" s="449"/>
      <c r="B48" s="447" t="s">
        <v>895</v>
      </c>
      <c r="C48" s="448"/>
      <c r="D48" s="4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</row>
    <row r="53" ht="12.75">
      <c r="A53" s="3" t="s">
        <v>2</v>
      </c>
    </row>
    <row r="56" ht="12.75">
      <c r="A56" s="8" t="s">
        <v>560</v>
      </c>
    </row>
    <row r="57" spans="1:91" s="8" customFormat="1" ht="12.75">
      <c r="A57" s="8" t="s">
        <v>3</v>
      </c>
      <c r="B57" s="3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</row>
    <row r="61" spans="2:91" s="8" customFormat="1" ht="10.5" customHeight="1">
      <c r="B61" s="3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</row>
    <row r="62" spans="2:91" s="8" customFormat="1" ht="12.75">
      <c r="B62" s="3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</sheetData>
  <mergeCells count="1">
    <mergeCell ref="A2:D2"/>
  </mergeCells>
  <printOptions/>
  <pageMargins left="1.02" right="0.29" top="0.48" bottom="0.42" header="0.17" footer="0.16"/>
  <pageSetup firstPageNumber="53" useFirstPageNumber="1" horizontalDpi="300" verticalDpi="300" orientation="portrait" paperSize="9" r:id="rId1"/>
  <headerFooter alignWithMargins="0">
    <oddFooter>&amp;R&amp;8&amp;P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L21" sqref="L21"/>
    </sheetView>
  </sheetViews>
  <sheetFormatPr defaultColWidth="9.140625" defaultRowHeight="12.75"/>
  <cols>
    <col min="1" max="1" width="47.00390625" style="0" customWidth="1"/>
    <col min="2" max="2" width="9.00390625" style="0" bestFit="1" customWidth="1"/>
    <col min="3" max="3" width="8.8515625" style="0" bestFit="1" customWidth="1"/>
    <col min="4" max="4" width="8.421875" style="0" bestFit="1" customWidth="1"/>
    <col min="5" max="5" width="9.00390625" style="0" bestFit="1" customWidth="1"/>
    <col min="6" max="6" width="8.8515625" style="0" bestFit="1" customWidth="1"/>
    <col min="7" max="7" width="8.421875" style="0" bestFit="1" customWidth="1"/>
    <col min="8" max="8" width="9.00390625" style="0" bestFit="1" customWidth="1"/>
    <col min="10" max="10" width="8.421875" style="0" bestFit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69" t="s">
        <v>4</v>
      </c>
    </row>
    <row r="2" spans="1:10" ht="12.75">
      <c r="A2" s="5" t="s">
        <v>299</v>
      </c>
      <c r="B2" s="5"/>
      <c r="C2" s="105"/>
      <c r="D2" s="5"/>
      <c r="E2" s="5"/>
      <c r="F2" s="105"/>
      <c r="G2" s="105"/>
      <c r="H2" s="105"/>
      <c r="I2" s="105"/>
      <c r="J2" s="3"/>
    </row>
    <row r="3" spans="1:10" ht="12.75">
      <c r="A3" s="5"/>
      <c r="B3" s="5"/>
      <c r="C3" s="105"/>
      <c r="D3" s="5"/>
      <c r="E3" s="5"/>
      <c r="F3" s="105"/>
      <c r="G3" s="105"/>
      <c r="H3" s="105"/>
      <c r="I3" s="105"/>
      <c r="J3" s="33"/>
    </row>
    <row r="4" spans="1:10" ht="15.75">
      <c r="A4" s="616" t="s">
        <v>5</v>
      </c>
      <c r="B4" s="616"/>
      <c r="C4" s="616"/>
      <c r="D4" s="616"/>
      <c r="E4" s="616"/>
      <c r="F4" s="616"/>
      <c r="G4" s="616"/>
      <c r="H4" s="616"/>
      <c r="I4" s="616"/>
      <c r="J4" s="616"/>
    </row>
    <row r="5" spans="1:10" ht="15.75">
      <c r="A5" s="616" t="s">
        <v>6</v>
      </c>
      <c r="B5" s="616"/>
      <c r="C5" s="616"/>
      <c r="D5" s="616"/>
      <c r="E5" s="616"/>
      <c r="F5" s="616"/>
      <c r="G5" s="616"/>
      <c r="H5" s="616"/>
      <c r="I5" s="616"/>
      <c r="J5" s="616"/>
    </row>
    <row r="6" spans="1:10" ht="15">
      <c r="A6" s="623" t="s">
        <v>7</v>
      </c>
      <c r="B6" s="623"/>
      <c r="C6" s="623"/>
      <c r="D6" s="623"/>
      <c r="E6" s="623"/>
      <c r="F6" s="623"/>
      <c r="G6" s="623"/>
      <c r="H6" s="623"/>
      <c r="I6" s="623"/>
      <c r="J6" s="62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9" t="s">
        <v>190</v>
      </c>
    </row>
    <row r="9" spans="1:10" ht="12.75">
      <c r="A9" s="463"/>
      <c r="B9" s="646" t="s">
        <v>8</v>
      </c>
      <c r="C9" s="647"/>
      <c r="D9" s="648"/>
      <c r="E9" s="646" t="s">
        <v>9</v>
      </c>
      <c r="F9" s="647"/>
      <c r="G9" s="648"/>
      <c r="H9" s="649" t="s">
        <v>10</v>
      </c>
      <c r="I9" s="650"/>
      <c r="J9" s="651"/>
    </row>
    <row r="10" spans="1:10" ht="33.75">
      <c r="A10" s="380" t="s">
        <v>191</v>
      </c>
      <c r="B10" s="464" t="s">
        <v>11</v>
      </c>
      <c r="C10" s="10" t="s">
        <v>12</v>
      </c>
      <c r="D10" s="10" t="s">
        <v>827</v>
      </c>
      <c r="E10" s="10" t="s">
        <v>11</v>
      </c>
      <c r="F10" s="10" t="s">
        <v>12</v>
      </c>
      <c r="G10" s="10" t="s">
        <v>13</v>
      </c>
      <c r="H10" s="10" t="s">
        <v>11</v>
      </c>
      <c r="I10" s="10" t="s">
        <v>12</v>
      </c>
      <c r="J10" s="10" t="s">
        <v>14</v>
      </c>
    </row>
    <row r="11" spans="1:10" ht="12.75">
      <c r="A11" s="38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465" t="s">
        <v>147</v>
      </c>
      <c r="B12" s="254">
        <v>103812</v>
      </c>
      <c r="C12" s="254">
        <v>38161</v>
      </c>
      <c r="D12" s="466">
        <v>36.75971949292953</v>
      </c>
      <c r="E12" s="254">
        <v>100366</v>
      </c>
      <c r="F12" s="254">
        <v>33820</v>
      </c>
      <c r="G12" s="466">
        <v>33.69667018711516</v>
      </c>
      <c r="H12" s="254">
        <v>145335</v>
      </c>
      <c r="I12" s="254">
        <v>1745</v>
      </c>
      <c r="J12" s="466">
        <v>1.2006743041937593</v>
      </c>
    </row>
    <row r="13" spans="1:10" ht="12.75">
      <c r="A13" s="467" t="s">
        <v>15</v>
      </c>
      <c r="B13" s="468">
        <v>250</v>
      </c>
      <c r="C13" s="468">
        <v>0</v>
      </c>
      <c r="D13" s="469">
        <v>0</v>
      </c>
      <c r="E13" s="468">
        <v>221</v>
      </c>
      <c r="F13" s="468">
        <v>0</v>
      </c>
      <c r="G13" s="469">
        <v>0</v>
      </c>
      <c r="H13" s="468">
        <v>885</v>
      </c>
      <c r="I13" s="468">
        <v>0</v>
      </c>
      <c r="J13" s="469">
        <v>0</v>
      </c>
    </row>
    <row r="14" spans="1:10" ht="12.75">
      <c r="A14" s="467" t="s">
        <v>369</v>
      </c>
      <c r="B14" s="468">
        <v>54157</v>
      </c>
      <c r="C14" s="468">
        <v>33641</v>
      </c>
      <c r="D14" s="469">
        <v>62.11754713148808</v>
      </c>
      <c r="E14" s="468">
        <v>59439</v>
      </c>
      <c r="F14" s="468">
        <v>31273</v>
      </c>
      <c r="G14" s="469">
        <v>52.6136038627837</v>
      </c>
      <c r="H14" s="468">
        <v>552</v>
      </c>
      <c r="I14" s="468">
        <v>0</v>
      </c>
      <c r="J14" s="469">
        <v>0</v>
      </c>
    </row>
    <row r="15" spans="1:10" ht="12.75">
      <c r="A15" s="471" t="s">
        <v>16</v>
      </c>
      <c r="B15" s="468">
        <v>6665</v>
      </c>
      <c r="C15" s="468">
        <v>2551</v>
      </c>
      <c r="D15" s="469">
        <v>38.27456864216054</v>
      </c>
      <c r="E15" s="468">
        <v>4960</v>
      </c>
      <c r="F15" s="468">
        <v>1662</v>
      </c>
      <c r="G15" s="469">
        <v>33.50806451612903</v>
      </c>
      <c r="H15" s="468">
        <v>10717</v>
      </c>
      <c r="I15" s="468">
        <v>50</v>
      </c>
      <c r="J15" s="469">
        <v>0.4665484743864887</v>
      </c>
    </row>
    <row r="16" spans="1:10" ht="12.75">
      <c r="A16" s="471" t="s">
        <v>763</v>
      </c>
      <c r="B16" s="468">
        <v>37790</v>
      </c>
      <c r="C16" s="468">
        <v>1765</v>
      </c>
      <c r="D16" s="469">
        <v>4.670547763958719</v>
      </c>
      <c r="E16" s="468">
        <v>33024</v>
      </c>
      <c r="F16" s="468">
        <v>862</v>
      </c>
      <c r="G16" s="469">
        <v>2.6102228682170545</v>
      </c>
      <c r="H16" s="468">
        <v>124710</v>
      </c>
      <c r="I16" s="468">
        <v>1695</v>
      </c>
      <c r="J16" s="469">
        <v>1.3591532355063747</v>
      </c>
    </row>
    <row r="17" spans="1:10" ht="12.75">
      <c r="A17" s="467" t="s">
        <v>17</v>
      </c>
      <c r="B17" s="468">
        <v>270</v>
      </c>
      <c r="C17" s="468">
        <v>28</v>
      </c>
      <c r="D17" s="469">
        <v>10.37037037037037</v>
      </c>
      <c r="E17" s="468">
        <v>149</v>
      </c>
      <c r="F17" s="468">
        <v>23</v>
      </c>
      <c r="G17" s="469">
        <v>15.436241610738255</v>
      </c>
      <c r="H17" s="468">
        <v>10</v>
      </c>
      <c r="I17" s="468">
        <v>0</v>
      </c>
      <c r="J17" s="469">
        <v>0</v>
      </c>
    </row>
    <row r="18" spans="1:10" ht="12.75">
      <c r="A18" s="471" t="s">
        <v>18</v>
      </c>
      <c r="B18" s="468">
        <v>4680</v>
      </c>
      <c r="C18" s="468">
        <v>176</v>
      </c>
      <c r="D18" s="469">
        <v>3.7606837606837606</v>
      </c>
      <c r="E18" s="468">
        <v>2573</v>
      </c>
      <c r="F18" s="468">
        <v>0</v>
      </c>
      <c r="G18" s="469">
        <v>0</v>
      </c>
      <c r="H18" s="468">
        <v>8461</v>
      </c>
      <c r="I18" s="468">
        <v>0</v>
      </c>
      <c r="J18" s="469">
        <v>0</v>
      </c>
    </row>
    <row r="19" spans="1:10" ht="12.75">
      <c r="A19" s="471" t="s">
        <v>319</v>
      </c>
      <c r="B19" s="54">
        <v>77</v>
      </c>
      <c r="C19" s="54">
        <v>31</v>
      </c>
      <c r="D19" s="472">
        <v>40.25974025974026</v>
      </c>
      <c r="E19" s="54">
        <v>80</v>
      </c>
      <c r="F19" s="54">
        <v>24</v>
      </c>
      <c r="G19" s="472">
        <v>30</v>
      </c>
      <c r="H19" s="54">
        <v>0</v>
      </c>
      <c r="I19" s="54">
        <v>0</v>
      </c>
      <c r="J19" s="472">
        <v>0</v>
      </c>
    </row>
    <row r="20" spans="1:10" ht="12.75">
      <c r="A20" s="473" t="s">
        <v>369</v>
      </c>
      <c r="B20" s="59"/>
      <c r="C20" s="59">
        <v>3</v>
      </c>
      <c r="D20" s="474"/>
      <c r="E20" s="59"/>
      <c r="F20" s="59">
        <v>1</v>
      </c>
      <c r="G20" s="474"/>
      <c r="H20" s="59"/>
      <c r="I20" s="59"/>
      <c r="J20" s="474"/>
    </row>
    <row r="21" spans="1:10" ht="12.75">
      <c r="A21" s="473" t="s">
        <v>16</v>
      </c>
      <c r="B21" s="59">
        <v>77</v>
      </c>
      <c r="C21" s="59">
        <v>0</v>
      </c>
      <c r="D21" s="474">
        <v>0</v>
      </c>
      <c r="E21" s="59">
        <v>80</v>
      </c>
      <c r="F21" s="59">
        <v>0</v>
      </c>
      <c r="G21" s="474">
        <v>0</v>
      </c>
      <c r="H21" s="59">
        <v>0</v>
      </c>
      <c r="I21" s="59">
        <v>0</v>
      </c>
      <c r="J21" s="474">
        <v>0</v>
      </c>
    </row>
    <row r="22" spans="1:10" ht="12.75">
      <c r="A22" s="473" t="s">
        <v>17</v>
      </c>
      <c r="B22" s="59"/>
      <c r="C22" s="59">
        <v>28</v>
      </c>
      <c r="D22" s="474"/>
      <c r="E22" s="59"/>
      <c r="F22" s="59">
        <v>23</v>
      </c>
      <c r="G22" s="474"/>
      <c r="H22" s="59"/>
      <c r="I22" s="59"/>
      <c r="J22" s="474"/>
    </row>
    <row r="23" spans="1:10" ht="12.75">
      <c r="A23" s="32" t="s">
        <v>321</v>
      </c>
      <c r="B23" s="475">
        <v>3445</v>
      </c>
      <c r="C23" s="475">
        <v>0</v>
      </c>
      <c r="D23" s="472">
        <v>0</v>
      </c>
      <c r="E23" s="475">
        <v>3280</v>
      </c>
      <c r="F23" s="475">
        <v>0</v>
      </c>
      <c r="G23" s="472">
        <v>0</v>
      </c>
      <c r="H23" s="475">
        <v>7392</v>
      </c>
      <c r="I23" s="475">
        <v>0</v>
      </c>
      <c r="J23" s="472">
        <v>0</v>
      </c>
    </row>
    <row r="24" spans="1:10" ht="12.75">
      <c r="A24" s="473" t="s">
        <v>16</v>
      </c>
      <c r="B24" s="59">
        <v>4</v>
      </c>
      <c r="C24" s="59">
        <v>0</v>
      </c>
      <c r="D24" s="474">
        <v>0</v>
      </c>
      <c r="E24" s="59">
        <v>5</v>
      </c>
      <c r="F24" s="59">
        <v>0</v>
      </c>
      <c r="G24" s="474">
        <v>0</v>
      </c>
      <c r="H24" s="59">
        <v>0</v>
      </c>
      <c r="I24" s="59">
        <v>0</v>
      </c>
      <c r="J24" s="474">
        <v>0</v>
      </c>
    </row>
    <row r="25" spans="1:10" ht="12.75">
      <c r="A25" s="473" t="s">
        <v>763</v>
      </c>
      <c r="B25" s="59">
        <v>3441</v>
      </c>
      <c r="C25" s="59">
        <v>0</v>
      </c>
      <c r="D25" s="474">
        <v>0</v>
      </c>
      <c r="E25" s="59">
        <v>3275</v>
      </c>
      <c r="F25" s="59">
        <v>0</v>
      </c>
      <c r="G25" s="474">
        <v>0</v>
      </c>
      <c r="H25" s="59">
        <v>7392</v>
      </c>
      <c r="I25" s="59">
        <v>0</v>
      </c>
      <c r="J25" s="474">
        <v>0</v>
      </c>
    </row>
    <row r="26" spans="1:10" ht="12.75">
      <c r="A26" s="32" t="s">
        <v>322</v>
      </c>
      <c r="B26" s="475">
        <v>1417</v>
      </c>
      <c r="C26" s="475">
        <v>1652</v>
      </c>
      <c r="D26" s="472">
        <v>116.58433309809458</v>
      </c>
      <c r="E26" s="475">
        <v>688</v>
      </c>
      <c r="F26" s="475">
        <v>1652</v>
      </c>
      <c r="G26" s="472">
        <v>240.11627906976742</v>
      </c>
      <c r="H26" s="475">
        <v>894</v>
      </c>
      <c r="I26" s="475">
        <v>0</v>
      </c>
      <c r="J26" s="472">
        <v>0</v>
      </c>
    </row>
    <row r="27" spans="1:10" ht="12.75">
      <c r="A27" s="473" t="s">
        <v>16</v>
      </c>
      <c r="B27" s="59">
        <v>1389</v>
      </c>
      <c r="C27" s="59">
        <v>1652</v>
      </c>
      <c r="D27" s="474">
        <v>118.93448524118071</v>
      </c>
      <c r="E27" s="59">
        <v>661</v>
      </c>
      <c r="F27" s="59">
        <v>1652</v>
      </c>
      <c r="G27" s="474">
        <v>249.92435703479578</v>
      </c>
      <c r="H27" s="59">
        <v>655</v>
      </c>
      <c r="I27" s="59">
        <v>0</v>
      </c>
      <c r="J27" s="474">
        <v>0</v>
      </c>
    </row>
    <row r="28" spans="1:10" ht="12.75">
      <c r="A28" s="476" t="s">
        <v>17</v>
      </c>
      <c r="B28" s="59">
        <v>3</v>
      </c>
      <c r="C28" s="59">
        <v>0</v>
      </c>
      <c r="D28" s="474">
        <v>0</v>
      </c>
      <c r="E28" s="59">
        <v>2</v>
      </c>
      <c r="F28" s="59">
        <v>0</v>
      </c>
      <c r="G28" s="474">
        <v>0</v>
      </c>
      <c r="H28" s="59">
        <v>10</v>
      </c>
      <c r="I28" s="59">
        <v>0</v>
      </c>
      <c r="J28" s="474">
        <v>0</v>
      </c>
    </row>
    <row r="29" spans="1:10" ht="12.75">
      <c r="A29" s="473" t="s">
        <v>18</v>
      </c>
      <c r="B29" s="477">
        <v>25</v>
      </c>
      <c r="C29" s="59">
        <v>0</v>
      </c>
      <c r="D29" s="474">
        <v>0</v>
      </c>
      <c r="E29" s="59">
        <v>25</v>
      </c>
      <c r="F29" s="59">
        <v>0</v>
      </c>
      <c r="G29" s="474">
        <v>0</v>
      </c>
      <c r="H29" s="59">
        <v>229</v>
      </c>
      <c r="I29" s="59">
        <v>0</v>
      </c>
      <c r="J29" s="474">
        <v>0</v>
      </c>
    </row>
    <row r="30" spans="1:10" ht="12.75">
      <c r="A30" s="478" t="s">
        <v>323</v>
      </c>
      <c r="B30" s="475">
        <v>971</v>
      </c>
      <c r="C30" s="475">
        <v>0</v>
      </c>
      <c r="D30" s="472">
        <v>0</v>
      </c>
      <c r="E30" s="475">
        <v>988</v>
      </c>
      <c r="F30" s="475">
        <v>0</v>
      </c>
      <c r="G30" s="472">
        <v>0</v>
      </c>
      <c r="H30" s="475">
        <v>4180</v>
      </c>
      <c r="I30" s="475">
        <v>0</v>
      </c>
      <c r="J30" s="472">
        <v>0</v>
      </c>
    </row>
    <row r="31" spans="1:10" ht="12.75">
      <c r="A31" s="473" t="s">
        <v>15</v>
      </c>
      <c r="B31" s="59">
        <v>103</v>
      </c>
      <c r="C31" s="59">
        <v>0</v>
      </c>
      <c r="D31" s="474">
        <v>0</v>
      </c>
      <c r="E31" s="59">
        <v>78</v>
      </c>
      <c r="F31" s="59">
        <v>0</v>
      </c>
      <c r="G31" s="474">
        <v>0</v>
      </c>
      <c r="H31" s="59">
        <v>27</v>
      </c>
      <c r="I31" s="59">
        <v>0</v>
      </c>
      <c r="J31" s="474">
        <v>0</v>
      </c>
    </row>
    <row r="32" spans="1:10" ht="12.75">
      <c r="A32" s="473" t="s">
        <v>369</v>
      </c>
      <c r="B32" s="59">
        <v>18</v>
      </c>
      <c r="C32" s="59">
        <v>0</v>
      </c>
      <c r="D32" s="474">
        <v>0</v>
      </c>
      <c r="E32" s="59">
        <v>10</v>
      </c>
      <c r="F32" s="59">
        <v>0</v>
      </c>
      <c r="G32" s="474">
        <v>0</v>
      </c>
      <c r="H32" s="59">
        <v>3</v>
      </c>
      <c r="I32" s="59">
        <v>0</v>
      </c>
      <c r="J32" s="474">
        <v>0</v>
      </c>
    </row>
    <row r="33" spans="1:10" ht="12.75">
      <c r="A33" s="473" t="s">
        <v>16</v>
      </c>
      <c r="B33" s="59">
        <v>50</v>
      </c>
      <c r="C33" s="59">
        <v>0</v>
      </c>
      <c r="D33" s="474">
        <v>0</v>
      </c>
      <c r="E33" s="59">
        <v>50</v>
      </c>
      <c r="F33" s="59">
        <v>0</v>
      </c>
      <c r="G33" s="474">
        <v>0</v>
      </c>
      <c r="H33" s="59">
        <v>150</v>
      </c>
      <c r="I33" s="59">
        <v>0</v>
      </c>
      <c r="J33" s="474">
        <v>0</v>
      </c>
    </row>
    <row r="34" spans="1:10" ht="12.75">
      <c r="A34" s="473" t="s">
        <v>18</v>
      </c>
      <c r="B34" s="59">
        <v>800</v>
      </c>
      <c r="C34" s="59">
        <v>0</v>
      </c>
      <c r="D34" s="474">
        <v>0</v>
      </c>
      <c r="E34" s="59">
        <v>850</v>
      </c>
      <c r="F34" s="59">
        <v>0</v>
      </c>
      <c r="G34" s="474">
        <v>0</v>
      </c>
      <c r="H34" s="59">
        <v>4000</v>
      </c>
      <c r="I34" s="59">
        <v>0</v>
      </c>
      <c r="J34" s="474">
        <v>0</v>
      </c>
    </row>
    <row r="35" spans="1:10" ht="12.75">
      <c r="A35" s="32" t="s">
        <v>324</v>
      </c>
      <c r="B35" s="475">
        <v>61070</v>
      </c>
      <c r="C35" s="475">
        <v>34741</v>
      </c>
      <c r="D35" s="472">
        <v>56.88717864745374</v>
      </c>
      <c r="E35" s="475">
        <v>65437</v>
      </c>
      <c r="F35" s="475">
        <v>31272</v>
      </c>
      <c r="G35" s="472">
        <v>47.789476901447195</v>
      </c>
      <c r="H35" s="475">
        <v>2743</v>
      </c>
      <c r="I35" s="475">
        <v>0</v>
      </c>
      <c r="J35" s="472">
        <v>0</v>
      </c>
    </row>
    <row r="36" spans="1:10" ht="12.75">
      <c r="A36" s="473" t="s">
        <v>369</v>
      </c>
      <c r="B36" s="59">
        <v>54000</v>
      </c>
      <c r="C36" s="59">
        <v>33638</v>
      </c>
      <c r="D36" s="474">
        <v>62.29259259259259</v>
      </c>
      <c r="E36" s="59">
        <v>59300</v>
      </c>
      <c r="F36" s="59">
        <v>31272</v>
      </c>
      <c r="G36" s="474">
        <v>52.73524451939292</v>
      </c>
      <c r="H36" s="59">
        <v>0</v>
      </c>
      <c r="I36" s="59">
        <v>0</v>
      </c>
      <c r="J36" s="474">
        <v>0</v>
      </c>
    </row>
    <row r="37" spans="1:10" ht="12.75">
      <c r="A37" s="473" t="s">
        <v>16</v>
      </c>
      <c r="B37" s="59">
        <v>947</v>
      </c>
      <c r="C37" s="59">
        <v>889</v>
      </c>
      <c r="D37" s="474">
        <v>93.8753959873284</v>
      </c>
      <c r="E37" s="59">
        <v>859</v>
      </c>
      <c r="F37" s="59">
        <v>0</v>
      </c>
      <c r="G37" s="474">
        <v>0</v>
      </c>
      <c r="H37" s="59">
        <v>2623</v>
      </c>
      <c r="I37" s="59">
        <v>0</v>
      </c>
      <c r="J37" s="474">
        <v>0</v>
      </c>
    </row>
    <row r="38" spans="1:10" ht="12.75">
      <c r="A38" s="473" t="s">
        <v>763</v>
      </c>
      <c r="B38" s="59">
        <v>5278</v>
      </c>
      <c r="C38" s="59">
        <v>38</v>
      </c>
      <c r="D38" s="474">
        <v>0.7199696854869269</v>
      </c>
      <c r="E38" s="59">
        <v>5278</v>
      </c>
      <c r="F38" s="59">
        <v>0</v>
      </c>
      <c r="G38" s="474">
        <v>0</v>
      </c>
      <c r="H38" s="59">
        <v>120</v>
      </c>
      <c r="I38" s="59">
        <v>0</v>
      </c>
      <c r="J38" s="474">
        <v>0</v>
      </c>
    </row>
    <row r="39" spans="1:10" ht="12.75">
      <c r="A39" s="473" t="s">
        <v>18</v>
      </c>
      <c r="B39" s="477">
        <v>845</v>
      </c>
      <c r="C39" s="59">
        <v>176</v>
      </c>
      <c r="D39" s="474">
        <v>20.828402366863905</v>
      </c>
      <c r="E39" s="59">
        <v>0</v>
      </c>
      <c r="F39" s="59">
        <v>0</v>
      </c>
      <c r="G39" s="474">
        <v>0</v>
      </c>
      <c r="H39" s="59">
        <v>0</v>
      </c>
      <c r="I39" s="59">
        <v>0</v>
      </c>
      <c r="J39" s="474">
        <v>0</v>
      </c>
    </row>
    <row r="40" spans="1:10" ht="12.75">
      <c r="A40" s="478" t="s">
        <v>325</v>
      </c>
      <c r="B40" s="475">
        <v>13991</v>
      </c>
      <c r="C40" s="475">
        <v>762</v>
      </c>
      <c r="D40" s="472">
        <v>5.44635837323994</v>
      </c>
      <c r="E40" s="475">
        <v>11571</v>
      </c>
      <c r="F40" s="475">
        <v>0</v>
      </c>
      <c r="G40" s="472">
        <v>0</v>
      </c>
      <c r="H40" s="475">
        <v>71576</v>
      </c>
      <c r="I40" s="475">
        <v>0</v>
      </c>
      <c r="J40" s="472">
        <v>0</v>
      </c>
    </row>
    <row r="41" spans="1:10" ht="12.75">
      <c r="A41" s="473" t="s">
        <v>369</v>
      </c>
      <c r="B41" s="59">
        <v>17</v>
      </c>
      <c r="C41" s="59">
        <v>0</v>
      </c>
      <c r="D41" s="474">
        <v>0</v>
      </c>
      <c r="E41" s="59">
        <v>8</v>
      </c>
      <c r="F41" s="59">
        <v>0</v>
      </c>
      <c r="G41" s="474">
        <v>0</v>
      </c>
      <c r="H41" s="59">
        <v>0</v>
      </c>
      <c r="I41" s="59">
        <v>0</v>
      </c>
      <c r="J41" s="474">
        <v>0</v>
      </c>
    </row>
    <row r="42" spans="1:10" ht="12.75">
      <c r="A42" s="473" t="s">
        <v>16</v>
      </c>
      <c r="B42" s="59">
        <v>27</v>
      </c>
      <c r="C42" s="59">
        <v>0</v>
      </c>
      <c r="D42" s="474">
        <v>0</v>
      </c>
      <c r="E42" s="59">
        <v>27</v>
      </c>
      <c r="F42" s="59">
        <v>0</v>
      </c>
      <c r="G42" s="474">
        <v>0</v>
      </c>
      <c r="H42" s="59">
        <v>0</v>
      </c>
      <c r="I42" s="59">
        <v>0</v>
      </c>
      <c r="J42" s="474">
        <v>0</v>
      </c>
    </row>
    <row r="43" spans="1:10" ht="12.75">
      <c r="A43" s="473" t="s">
        <v>763</v>
      </c>
      <c r="B43" s="59">
        <v>10849</v>
      </c>
      <c r="C43" s="59">
        <v>762</v>
      </c>
      <c r="D43" s="474">
        <v>7.023688819246013</v>
      </c>
      <c r="E43" s="59">
        <v>9882</v>
      </c>
      <c r="F43" s="59">
        <v>0</v>
      </c>
      <c r="G43" s="474">
        <v>0</v>
      </c>
      <c r="H43" s="59">
        <v>67534</v>
      </c>
      <c r="I43" s="59">
        <v>0</v>
      </c>
      <c r="J43" s="474">
        <v>0</v>
      </c>
    </row>
    <row r="44" spans="1:10" ht="12.75">
      <c r="A44" s="473" t="s">
        <v>17</v>
      </c>
      <c r="B44" s="59">
        <v>249</v>
      </c>
      <c r="C44" s="59">
        <v>0</v>
      </c>
      <c r="D44" s="474">
        <v>0</v>
      </c>
      <c r="E44" s="59">
        <v>146</v>
      </c>
      <c r="F44" s="59">
        <v>0</v>
      </c>
      <c r="G44" s="474">
        <v>0</v>
      </c>
      <c r="H44" s="59">
        <v>0</v>
      </c>
      <c r="I44" s="59">
        <v>0</v>
      </c>
      <c r="J44" s="474">
        <v>0</v>
      </c>
    </row>
    <row r="45" spans="1:10" ht="12.75">
      <c r="A45" s="473" t="s">
        <v>18</v>
      </c>
      <c r="B45" s="59">
        <v>2849</v>
      </c>
      <c r="C45" s="59">
        <v>0</v>
      </c>
      <c r="D45" s="474">
        <v>0</v>
      </c>
      <c r="E45" s="59">
        <v>1508</v>
      </c>
      <c r="F45" s="59">
        <v>0</v>
      </c>
      <c r="G45" s="474">
        <v>0</v>
      </c>
      <c r="H45" s="59">
        <v>4042</v>
      </c>
      <c r="I45" s="59">
        <v>0</v>
      </c>
      <c r="J45" s="474">
        <v>0</v>
      </c>
    </row>
    <row r="46" spans="1:10" ht="12.75">
      <c r="A46" s="32" t="s">
        <v>326</v>
      </c>
      <c r="B46" s="475">
        <v>9583</v>
      </c>
      <c r="C46" s="475">
        <v>0</v>
      </c>
      <c r="D46" s="472">
        <v>0</v>
      </c>
      <c r="E46" s="475">
        <v>6944</v>
      </c>
      <c r="F46" s="475">
        <v>0</v>
      </c>
      <c r="G46" s="472">
        <v>0</v>
      </c>
      <c r="H46" s="475">
        <v>22381</v>
      </c>
      <c r="I46" s="475">
        <v>0</v>
      </c>
      <c r="J46" s="472">
        <v>0</v>
      </c>
    </row>
    <row r="47" spans="1:10" ht="12.75">
      <c r="A47" s="473" t="s">
        <v>16</v>
      </c>
      <c r="B47" s="59">
        <v>2874</v>
      </c>
      <c r="C47" s="59">
        <v>0</v>
      </c>
      <c r="D47" s="474">
        <v>0</v>
      </c>
      <c r="E47" s="59">
        <v>1813</v>
      </c>
      <c r="F47" s="59">
        <v>0</v>
      </c>
      <c r="G47" s="474">
        <v>0</v>
      </c>
      <c r="H47" s="59">
        <v>5623</v>
      </c>
      <c r="I47" s="59">
        <v>0</v>
      </c>
      <c r="J47" s="474">
        <v>0</v>
      </c>
    </row>
    <row r="48" spans="1:10" ht="12.75">
      <c r="A48" s="473" t="s">
        <v>763</v>
      </c>
      <c r="B48" s="59">
        <v>6674</v>
      </c>
      <c r="C48" s="59">
        <v>0</v>
      </c>
      <c r="D48" s="474">
        <v>0</v>
      </c>
      <c r="E48" s="59">
        <v>5130</v>
      </c>
      <c r="F48" s="59">
        <v>0</v>
      </c>
      <c r="G48" s="474">
        <v>0</v>
      </c>
      <c r="H48" s="59">
        <v>16758</v>
      </c>
      <c r="I48" s="59">
        <v>0</v>
      </c>
      <c r="J48" s="474">
        <v>0</v>
      </c>
    </row>
    <row r="49" spans="1:10" ht="12.75">
      <c r="A49" s="473" t="s">
        <v>17</v>
      </c>
      <c r="B49" s="59">
        <v>18</v>
      </c>
      <c r="C49" s="59">
        <v>0</v>
      </c>
      <c r="D49" s="474">
        <v>0</v>
      </c>
      <c r="E49" s="59">
        <v>1</v>
      </c>
      <c r="F49" s="59">
        <v>0</v>
      </c>
      <c r="G49" s="474">
        <v>0</v>
      </c>
      <c r="H49" s="59">
        <v>0</v>
      </c>
      <c r="I49" s="59">
        <v>0</v>
      </c>
      <c r="J49" s="474">
        <v>0</v>
      </c>
    </row>
    <row r="50" spans="1:10" ht="12.75">
      <c r="A50" s="473" t="s">
        <v>18</v>
      </c>
      <c r="B50" s="59">
        <v>17</v>
      </c>
      <c r="C50" s="59">
        <v>0</v>
      </c>
      <c r="D50" s="474">
        <v>0</v>
      </c>
      <c r="E50" s="59">
        <v>0</v>
      </c>
      <c r="F50" s="59">
        <v>0</v>
      </c>
      <c r="G50" s="474">
        <v>0</v>
      </c>
      <c r="H50" s="59">
        <v>0</v>
      </c>
      <c r="I50" s="59">
        <v>0</v>
      </c>
      <c r="J50" s="474">
        <v>0</v>
      </c>
    </row>
    <row r="51" spans="1:10" ht="12.75">
      <c r="A51" s="32" t="s">
        <v>327</v>
      </c>
      <c r="B51" s="475">
        <v>2138</v>
      </c>
      <c r="C51" s="475">
        <v>0</v>
      </c>
      <c r="D51" s="472">
        <v>0</v>
      </c>
      <c r="E51" s="475">
        <v>2105</v>
      </c>
      <c r="F51" s="475">
        <v>0</v>
      </c>
      <c r="G51" s="472">
        <v>0</v>
      </c>
      <c r="H51" s="475">
        <v>16732</v>
      </c>
      <c r="I51" s="475">
        <v>0</v>
      </c>
      <c r="J51" s="472">
        <v>0</v>
      </c>
    </row>
    <row r="52" spans="1:10" ht="12.75">
      <c r="A52" s="473" t="s">
        <v>15</v>
      </c>
      <c r="B52" s="59">
        <v>44</v>
      </c>
      <c r="C52" s="59">
        <v>0</v>
      </c>
      <c r="D52" s="474">
        <v>0</v>
      </c>
      <c r="E52" s="59">
        <v>40</v>
      </c>
      <c r="F52" s="59">
        <v>0</v>
      </c>
      <c r="G52" s="474">
        <v>0</v>
      </c>
      <c r="H52" s="59">
        <v>37</v>
      </c>
      <c r="I52" s="59">
        <v>0</v>
      </c>
      <c r="J52" s="474">
        <v>0</v>
      </c>
    </row>
    <row r="53" spans="1:10" ht="12.75">
      <c r="A53" s="473" t="s">
        <v>369</v>
      </c>
      <c r="B53" s="59">
        <v>30</v>
      </c>
      <c r="C53" s="59">
        <v>0</v>
      </c>
      <c r="D53" s="474">
        <v>0</v>
      </c>
      <c r="E53" s="59">
        <v>28</v>
      </c>
      <c r="F53" s="59">
        <v>0</v>
      </c>
      <c r="G53" s="474">
        <v>0</v>
      </c>
      <c r="H53" s="59">
        <v>40</v>
      </c>
      <c r="I53" s="59">
        <v>0</v>
      </c>
      <c r="J53" s="474">
        <v>0</v>
      </c>
    </row>
    <row r="54" spans="1:10" ht="12.75">
      <c r="A54" s="473" t="s">
        <v>16</v>
      </c>
      <c r="B54" s="59">
        <v>242</v>
      </c>
      <c r="C54" s="59">
        <v>0</v>
      </c>
      <c r="D54" s="474">
        <v>0</v>
      </c>
      <c r="E54" s="59">
        <v>242</v>
      </c>
      <c r="F54" s="59">
        <v>0</v>
      </c>
      <c r="G54" s="474">
        <v>0</v>
      </c>
      <c r="H54" s="59">
        <v>727</v>
      </c>
      <c r="I54" s="59">
        <v>0</v>
      </c>
      <c r="J54" s="474">
        <v>0</v>
      </c>
    </row>
    <row r="55" spans="1:10" ht="12.75">
      <c r="A55" s="473" t="s">
        <v>763</v>
      </c>
      <c r="B55" s="59">
        <v>1822</v>
      </c>
      <c r="C55" s="59">
        <v>0</v>
      </c>
      <c r="D55" s="474">
        <v>0</v>
      </c>
      <c r="E55" s="59">
        <v>1795</v>
      </c>
      <c r="F55" s="59">
        <v>0</v>
      </c>
      <c r="G55" s="474">
        <v>0</v>
      </c>
      <c r="H55" s="59">
        <v>15928</v>
      </c>
      <c r="I55" s="59">
        <v>0</v>
      </c>
      <c r="J55" s="474">
        <v>0</v>
      </c>
    </row>
    <row r="56" spans="1:10" ht="12.75">
      <c r="A56" s="32" t="s">
        <v>328</v>
      </c>
      <c r="B56" s="475">
        <v>2771</v>
      </c>
      <c r="C56" s="475">
        <v>0</v>
      </c>
      <c r="D56" s="472">
        <v>0</v>
      </c>
      <c r="E56" s="475">
        <v>2475</v>
      </c>
      <c r="F56" s="475">
        <v>0</v>
      </c>
      <c r="G56" s="472">
        <v>0</v>
      </c>
      <c r="H56" s="475">
        <v>11252</v>
      </c>
      <c r="I56" s="475">
        <v>0</v>
      </c>
      <c r="J56" s="472">
        <v>0</v>
      </c>
    </row>
    <row r="57" spans="1:10" ht="12.75">
      <c r="A57" s="473" t="s">
        <v>16</v>
      </c>
      <c r="B57" s="59">
        <v>76</v>
      </c>
      <c r="C57" s="59">
        <v>0</v>
      </c>
      <c r="D57" s="474">
        <v>0</v>
      </c>
      <c r="E57" s="59">
        <v>75</v>
      </c>
      <c r="F57" s="59">
        <v>0</v>
      </c>
      <c r="G57" s="474">
        <v>0</v>
      </c>
      <c r="H57" s="59">
        <v>76</v>
      </c>
      <c r="I57" s="59">
        <v>0</v>
      </c>
      <c r="J57" s="474">
        <v>0</v>
      </c>
    </row>
    <row r="58" spans="1:10" ht="12.75">
      <c r="A58" s="473" t="s">
        <v>763</v>
      </c>
      <c r="B58" s="59">
        <v>2695</v>
      </c>
      <c r="C58" s="59">
        <v>0</v>
      </c>
      <c r="D58" s="474">
        <v>0</v>
      </c>
      <c r="E58" s="59">
        <v>2400</v>
      </c>
      <c r="F58" s="59">
        <v>0</v>
      </c>
      <c r="G58" s="474">
        <v>0</v>
      </c>
      <c r="H58" s="59">
        <v>11176</v>
      </c>
      <c r="I58" s="59">
        <v>0</v>
      </c>
      <c r="J58" s="474">
        <v>0</v>
      </c>
    </row>
    <row r="59" spans="1:10" ht="12.75">
      <c r="A59" s="32" t="s">
        <v>329</v>
      </c>
      <c r="B59" s="475">
        <v>1855</v>
      </c>
      <c r="C59" s="475">
        <v>0</v>
      </c>
      <c r="D59" s="472">
        <v>0</v>
      </c>
      <c r="E59" s="475">
        <v>3177</v>
      </c>
      <c r="F59" s="475">
        <v>0</v>
      </c>
      <c r="G59" s="472">
        <v>0</v>
      </c>
      <c r="H59" s="475">
        <v>973</v>
      </c>
      <c r="I59" s="475">
        <v>0</v>
      </c>
      <c r="J59" s="472">
        <v>0</v>
      </c>
    </row>
    <row r="60" spans="1:10" ht="12.75">
      <c r="A60" s="473" t="s">
        <v>369</v>
      </c>
      <c r="B60" s="59">
        <v>34</v>
      </c>
      <c r="C60" s="59">
        <v>0</v>
      </c>
      <c r="D60" s="474">
        <v>0</v>
      </c>
      <c r="E60" s="59">
        <v>39</v>
      </c>
      <c r="F60" s="59">
        <v>0</v>
      </c>
      <c r="G60" s="474">
        <v>0</v>
      </c>
      <c r="H60" s="59">
        <v>72</v>
      </c>
      <c r="I60" s="59">
        <v>0</v>
      </c>
      <c r="J60" s="474">
        <v>0</v>
      </c>
    </row>
    <row r="61" spans="1:10" ht="12.75">
      <c r="A61" s="473" t="s">
        <v>16</v>
      </c>
      <c r="B61" s="59">
        <v>514</v>
      </c>
      <c r="C61" s="59">
        <v>0</v>
      </c>
      <c r="D61" s="474">
        <v>0</v>
      </c>
      <c r="E61" s="59">
        <v>514</v>
      </c>
      <c r="F61" s="59">
        <v>0</v>
      </c>
      <c r="G61" s="474">
        <v>0</v>
      </c>
      <c r="H61" s="59">
        <v>0</v>
      </c>
      <c r="I61" s="59">
        <v>0</v>
      </c>
      <c r="J61" s="474">
        <v>0</v>
      </c>
    </row>
    <row r="62" spans="1:10" ht="12.75">
      <c r="A62" s="473" t="s">
        <v>763</v>
      </c>
      <c r="B62" s="59">
        <v>1307</v>
      </c>
      <c r="C62" s="59">
        <v>0</v>
      </c>
      <c r="D62" s="474">
        <v>0</v>
      </c>
      <c r="E62" s="59">
        <v>2624</v>
      </c>
      <c r="F62" s="59">
        <v>0</v>
      </c>
      <c r="G62" s="474">
        <v>0</v>
      </c>
      <c r="H62" s="59">
        <v>901</v>
      </c>
      <c r="I62" s="59">
        <v>0</v>
      </c>
      <c r="J62" s="474">
        <v>0</v>
      </c>
    </row>
    <row r="63" spans="1:10" ht="12.75">
      <c r="A63" s="32" t="s">
        <v>19</v>
      </c>
      <c r="B63" s="475">
        <v>2884</v>
      </c>
      <c r="C63" s="475">
        <v>975</v>
      </c>
      <c r="D63" s="472">
        <v>33.80721220527046</v>
      </c>
      <c r="E63" s="475">
        <v>1642</v>
      </c>
      <c r="F63" s="475">
        <v>872</v>
      </c>
      <c r="G63" s="472">
        <v>53.10596833130329</v>
      </c>
      <c r="H63" s="475">
        <v>2880</v>
      </c>
      <c r="I63" s="475">
        <v>1745</v>
      </c>
      <c r="J63" s="472">
        <v>60.59027777777778</v>
      </c>
    </row>
    <row r="64" spans="1:10" ht="12.75">
      <c r="A64" s="473" t="s">
        <v>16</v>
      </c>
      <c r="B64" s="59">
        <v>10</v>
      </c>
      <c r="C64" s="59">
        <v>10</v>
      </c>
      <c r="D64" s="474">
        <v>100</v>
      </c>
      <c r="E64" s="59">
        <v>10</v>
      </c>
      <c r="F64" s="59">
        <v>10</v>
      </c>
      <c r="G64" s="474">
        <v>100</v>
      </c>
      <c r="H64" s="59">
        <v>50</v>
      </c>
      <c r="I64" s="59">
        <v>50</v>
      </c>
      <c r="J64" s="474">
        <v>100</v>
      </c>
    </row>
    <row r="65" spans="1:10" ht="12.75">
      <c r="A65" s="473" t="s">
        <v>763</v>
      </c>
      <c r="B65" s="59">
        <v>2874</v>
      </c>
      <c r="C65" s="59">
        <v>965</v>
      </c>
      <c r="D65" s="474">
        <v>33.57689631176061</v>
      </c>
      <c r="E65" s="59">
        <v>1632</v>
      </c>
      <c r="F65" s="59">
        <v>862</v>
      </c>
      <c r="G65" s="474">
        <v>52.818627450980394</v>
      </c>
      <c r="H65" s="59">
        <v>2830</v>
      </c>
      <c r="I65" s="59">
        <v>1695</v>
      </c>
      <c r="J65" s="474">
        <v>59.8939929328622</v>
      </c>
    </row>
    <row r="66" spans="1:10" ht="12.75">
      <c r="A66" s="17" t="s">
        <v>331</v>
      </c>
      <c r="B66" s="475">
        <v>2105</v>
      </c>
      <c r="C66" s="475">
        <v>0</v>
      </c>
      <c r="D66" s="472">
        <v>0</v>
      </c>
      <c r="E66" s="475">
        <v>889</v>
      </c>
      <c r="F66" s="475">
        <v>0</v>
      </c>
      <c r="G66" s="472">
        <v>0</v>
      </c>
      <c r="H66" s="475">
        <v>619</v>
      </c>
      <c r="I66" s="475">
        <v>0</v>
      </c>
      <c r="J66" s="472">
        <v>0</v>
      </c>
    </row>
    <row r="67" spans="1:10" ht="12.75">
      <c r="A67" s="473" t="s">
        <v>16</v>
      </c>
      <c r="B67" s="59">
        <v>390</v>
      </c>
      <c r="C67" s="59">
        <v>0</v>
      </c>
      <c r="D67" s="474">
        <v>0</v>
      </c>
      <c r="E67" s="59">
        <v>559</v>
      </c>
      <c r="F67" s="59">
        <v>0</v>
      </c>
      <c r="G67" s="474">
        <v>0</v>
      </c>
      <c r="H67" s="59">
        <v>559</v>
      </c>
      <c r="I67" s="59">
        <v>0</v>
      </c>
      <c r="J67" s="474">
        <v>0</v>
      </c>
    </row>
    <row r="68" spans="1:10" ht="12.75">
      <c r="A68" s="473" t="s">
        <v>763</v>
      </c>
      <c r="B68" s="59">
        <v>1715</v>
      </c>
      <c r="C68" s="59">
        <v>0</v>
      </c>
      <c r="D68" s="474">
        <v>0</v>
      </c>
      <c r="E68" s="59">
        <v>330</v>
      </c>
      <c r="F68" s="59">
        <v>0</v>
      </c>
      <c r="G68" s="474">
        <v>0</v>
      </c>
      <c r="H68" s="59">
        <v>60</v>
      </c>
      <c r="I68" s="59">
        <v>0</v>
      </c>
      <c r="J68" s="474">
        <v>0</v>
      </c>
    </row>
    <row r="69" spans="1:10" ht="12.75">
      <c r="A69" s="32" t="s">
        <v>20</v>
      </c>
      <c r="B69" s="475">
        <v>429</v>
      </c>
      <c r="C69" s="475">
        <v>0</v>
      </c>
      <c r="D69" s="472">
        <v>0</v>
      </c>
      <c r="E69" s="475">
        <v>429</v>
      </c>
      <c r="F69" s="475">
        <v>0</v>
      </c>
      <c r="G69" s="472">
        <v>0</v>
      </c>
      <c r="H69" s="475">
        <v>1853</v>
      </c>
      <c r="I69" s="475">
        <v>0</v>
      </c>
      <c r="J69" s="472">
        <v>0</v>
      </c>
    </row>
    <row r="70" spans="1:10" ht="12.75">
      <c r="A70" s="473" t="s">
        <v>16</v>
      </c>
      <c r="B70" s="59">
        <v>61</v>
      </c>
      <c r="C70" s="59">
        <v>0</v>
      </c>
      <c r="D70" s="474">
        <v>0</v>
      </c>
      <c r="E70" s="59">
        <v>61</v>
      </c>
      <c r="F70" s="59">
        <v>0</v>
      </c>
      <c r="G70" s="474">
        <v>0</v>
      </c>
      <c r="H70" s="59">
        <v>242</v>
      </c>
      <c r="I70" s="59">
        <v>0</v>
      </c>
      <c r="J70" s="474">
        <v>0</v>
      </c>
    </row>
    <row r="71" spans="1:10" ht="12.75">
      <c r="A71" s="473" t="s">
        <v>763</v>
      </c>
      <c r="B71" s="59">
        <v>368</v>
      </c>
      <c r="C71" s="59">
        <v>0</v>
      </c>
      <c r="D71" s="474">
        <v>0</v>
      </c>
      <c r="E71" s="59">
        <v>368</v>
      </c>
      <c r="F71" s="59">
        <v>0</v>
      </c>
      <c r="G71" s="474">
        <v>0</v>
      </c>
      <c r="H71" s="59">
        <v>1611</v>
      </c>
      <c r="I71" s="59">
        <v>0</v>
      </c>
      <c r="J71" s="474">
        <v>0</v>
      </c>
    </row>
    <row r="72" spans="1:10" ht="12.75">
      <c r="A72" s="32" t="s">
        <v>333</v>
      </c>
      <c r="B72" s="475">
        <v>174</v>
      </c>
      <c r="C72" s="475">
        <v>0</v>
      </c>
      <c r="D72" s="472">
        <v>0</v>
      </c>
      <c r="E72" s="475">
        <v>159</v>
      </c>
      <c r="F72" s="475">
        <v>0</v>
      </c>
      <c r="G72" s="472">
        <v>0</v>
      </c>
      <c r="H72" s="475">
        <v>1269</v>
      </c>
      <c r="I72" s="475">
        <v>0</v>
      </c>
      <c r="J72" s="472">
        <v>0</v>
      </c>
    </row>
    <row r="73" spans="1:10" ht="12.75">
      <c r="A73" s="473" t="s">
        <v>15</v>
      </c>
      <c r="B73" s="59">
        <v>103</v>
      </c>
      <c r="C73" s="59">
        <v>0</v>
      </c>
      <c r="D73" s="474">
        <v>0</v>
      </c>
      <c r="E73" s="59">
        <v>103</v>
      </c>
      <c r="F73" s="59">
        <v>0</v>
      </c>
      <c r="G73" s="474">
        <v>0</v>
      </c>
      <c r="H73" s="59">
        <v>821</v>
      </c>
      <c r="I73" s="59">
        <v>0</v>
      </c>
      <c r="J73" s="474">
        <v>0</v>
      </c>
    </row>
    <row r="74" spans="1:10" ht="12.75">
      <c r="A74" s="473" t="s">
        <v>369</v>
      </c>
      <c r="B74" s="59">
        <v>58</v>
      </c>
      <c r="C74" s="59">
        <v>0</v>
      </c>
      <c r="D74" s="474">
        <v>0</v>
      </c>
      <c r="E74" s="59">
        <v>54</v>
      </c>
      <c r="F74" s="59">
        <v>0</v>
      </c>
      <c r="G74" s="474">
        <v>0</v>
      </c>
      <c r="H74" s="59">
        <v>437</v>
      </c>
      <c r="I74" s="59">
        <v>0</v>
      </c>
      <c r="J74" s="474">
        <v>0</v>
      </c>
    </row>
    <row r="75" spans="1:10" ht="12.75">
      <c r="A75" s="473" t="s">
        <v>16</v>
      </c>
      <c r="B75" s="59">
        <v>2</v>
      </c>
      <c r="C75" s="59">
        <v>0</v>
      </c>
      <c r="D75" s="474">
        <v>0</v>
      </c>
      <c r="E75" s="59">
        <v>2</v>
      </c>
      <c r="F75" s="59">
        <v>0</v>
      </c>
      <c r="G75" s="474">
        <v>0</v>
      </c>
      <c r="H75" s="59">
        <v>11</v>
      </c>
      <c r="I75" s="59">
        <v>0</v>
      </c>
      <c r="J75" s="474">
        <v>0</v>
      </c>
    </row>
    <row r="76" spans="1:10" ht="12.75">
      <c r="A76" s="473" t="s">
        <v>763</v>
      </c>
      <c r="B76" s="59">
        <v>11</v>
      </c>
      <c r="C76" s="59">
        <v>0</v>
      </c>
      <c r="D76" s="474">
        <v>0</v>
      </c>
      <c r="E76" s="59">
        <v>0</v>
      </c>
      <c r="F76" s="59">
        <v>0</v>
      </c>
      <c r="G76" s="474">
        <v>0</v>
      </c>
      <c r="H76" s="59">
        <v>0</v>
      </c>
      <c r="I76" s="59">
        <v>0</v>
      </c>
      <c r="J76" s="474">
        <v>0</v>
      </c>
    </row>
    <row r="77" spans="1:10" ht="12.75">
      <c r="A77" s="32" t="s">
        <v>334</v>
      </c>
      <c r="B77" s="475">
        <v>1</v>
      </c>
      <c r="C77" s="475">
        <v>0</v>
      </c>
      <c r="D77" s="472">
        <v>0</v>
      </c>
      <c r="E77" s="475">
        <v>1</v>
      </c>
      <c r="F77" s="475">
        <v>0</v>
      </c>
      <c r="G77" s="472">
        <v>0</v>
      </c>
      <c r="H77" s="475">
        <v>1</v>
      </c>
      <c r="I77" s="475">
        <v>0</v>
      </c>
      <c r="J77" s="472">
        <v>0</v>
      </c>
    </row>
    <row r="78" spans="1:10" ht="12.75">
      <c r="A78" s="473" t="s">
        <v>16</v>
      </c>
      <c r="B78" s="59">
        <v>1</v>
      </c>
      <c r="C78" s="59">
        <v>0</v>
      </c>
      <c r="D78" s="474">
        <v>0</v>
      </c>
      <c r="E78" s="59">
        <v>1</v>
      </c>
      <c r="F78" s="59">
        <v>0</v>
      </c>
      <c r="G78" s="474">
        <v>0</v>
      </c>
      <c r="H78" s="59">
        <v>1</v>
      </c>
      <c r="I78" s="59">
        <v>0</v>
      </c>
      <c r="J78" s="474">
        <v>0</v>
      </c>
    </row>
    <row r="79" spans="1:10" ht="12.75">
      <c r="A79" s="32" t="s">
        <v>338</v>
      </c>
      <c r="B79" s="475">
        <v>1</v>
      </c>
      <c r="C79" s="475">
        <v>0</v>
      </c>
      <c r="D79" s="472">
        <v>0</v>
      </c>
      <c r="E79" s="475">
        <v>1</v>
      </c>
      <c r="F79" s="475">
        <v>0</v>
      </c>
      <c r="G79" s="472">
        <v>0</v>
      </c>
      <c r="H79" s="475">
        <v>0</v>
      </c>
      <c r="I79" s="475">
        <v>0</v>
      </c>
      <c r="J79" s="472">
        <v>0</v>
      </c>
    </row>
    <row r="80" spans="1:10" ht="12.75">
      <c r="A80" s="473" t="s">
        <v>16</v>
      </c>
      <c r="B80" s="59">
        <v>1</v>
      </c>
      <c r="C80" s="59">
        <v>0</v>
      </c>
      <c r="D80" s="474">
        <v>0</v>
      </c>
      <c r="E80" s="59">
        <v>1</v>
      </c>
      <c r="F80" s="59">
        <v>0</v>
      </c>
      <c r="G80" s="474">
        <v>0</v>
      </c>
      <c r="H80" s="59">
        <v>0</v>
      </c>
      <c r="I80" s="59">
        <v>0</v>
      </c>
      <c r="J80" s="474">
        <v>0</v>
      </c>
    </row>
    <row r="81" spans="1:10" ht="12.75">
      <c r="A81" s="32" t="s">
        <v>340</v>
      </c>
      <c r="B81" s="475">
        <v>144</v>
      </c>
      <c r="C81" s="475">
        <v>0</v>
      </c>
      <c r="D81" s="472">
        <v>0</v>
      </c>
      <c r="E81" s="475">
        <v>190</v>
      </c>
      <c r="F81" s="475">
        <v>0</v>
      </c>
      <c r="G81" s="472">
        <v>0</v>
      </c>
      <c r="H81" s="475">
        <v>190</v>
      </c>
      <c r="I81" s="475">
        <v>0</v>
      </c>
      <c r="J81" s="472">
        <v>0</v>
      </c>
    </row>
    <row r="82" spans="1:10" ht="12.75">
      <c r="A82" s="473" t="s">
        <v>18</v>
      </c>
      <c r="B82" s="59">
        <v>144</v>
      </c>
      <c r="C82" s="59">
        <v>0</v>
      </c>
      <c r="D82" s="474">
        <v>0</v>
      </c>
      <c r="E82" s="59">
        <v>190</v>
      </c>
      <c r="F82" s="59">
        <v>0</v>
      </c>
      <c r="G82" s="474">
        <v>0</v>
      </c>
      <c r="H82" s="59">
        <v>190</v>
      </c>
      <c r="I82" s="59">
        <v>0</v>
      </c>
      <c r="J82" s="474">
        <v>0</v>
      </c>
    </row>
    <row r="83" spans="1:10" ht="12.75">
      <c r="A83" s="32" t="s">
        <v>341</v>
      </c>
      <c r="B83" s="475">
        <v>216</v>
      </c>
      <c r="C83" s="475">
        <v>0</v>
      </c>
      <c r="D83" s="472">
        <v>0</v>
      </c>
      <c r="E83" s="475">
        <v>200</v>
      </c>
      <c r="F83" s="475">
        <v>0</v>
      </c>
      <c r="G83" s="472">
        <v>0</v>
      </c>
      <c r="H83" s="475">
        <v>400</v>
      </c>
      <c r="I83" s="475">
        <v>0</v>
      </c>
      <c r="J83" s="472">
        <v>0</v>
      </c>
    </row>
    <row r="84" spans="1:10" ht="12.75">
      <c r="A84" s="473" t="s">
        <v>763</v>
      </c>
      <c r="B84" s="59">
        <v>216</v>
      </c>
      <c r="C84" s="59">
        <v>0</v>
      </c>
      <c r="D84" s="474">
        <v>0</v>
      </c>
      <c r="E84" s="59">
        <v>200</v>
      </c>
      <c r="F84" s="59">
        <v>0</v>
      </c>
      <c r="G84" s="474">
        <v>0</v>
      </c>
      <c r="H84" s="59">
        <v>400</v>
      </c>
      <c r="I84" s="59">
        <v>0</v>
      </c>
      <c r="J84" s="474">
        <v>0</v>
      </c>
    </row>
    <row r="85" spans="1:10" ht="24">
      <c r="A85" s="17" t="s">
        <v>21</v>
      </c>
      <c r="B85" s="475">
        <v>540</v>
      </c>
      <c r="C85" s="475">
        <v>0</v>
      </c>
      <c r="D85" s="472">
        <v>0</v>
      </c>
      <c r="E85" s="475">
        <v>110</v>
      </c>
      <c r="F85" s="475">
        <v>0</v>
      </c>
      <c r="G85" s="472">
        <v>0</v>
      </c>
      <c r="H85" s="475">
        <v>0</v>
      </c>
      <c r="I85" s="475">
        <v>0</v>
      </c>
      <c r="J85" s="472">
        <v>0</v>
      </c>
    </row>
    <row r="86" spans="1:10" ht="12.75">
      <c r="A86" s="473" t="s">
        <v>763</v>
      </c>
      <c r="B86" s="59">
        <v>540</v>
      </c>
      <c r="C86" s="59">
        <v>0</v>
      </c>
      <c r="D86" s="474">
        <v>0</v>
      </c>
      <c r="E86" s="59">
        <v>110</v>
      </c>
      <c r="F86" s="59">
        <v>0</v>
      </c>
      <c r="G86" s="474">
        <v>0</v>
      </c>
      <c r="H86" s="59">
        <v>0</v>
      </c>
      <c r="I86" s="59">
        <v>0</v>
      </c>
      <c r="J86" s="474">
        <v>0</v>
      </c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3"/>
      <c r="B88" s="430"/>
      <c r="C88" s="167"/>
      <c r="D88" s="167"/>
      <c r="E88" s="479"/>
      <c r="F88" s="480"/>
      <c r="G88" s="480"/>
      <c r="H88" s="480"/>
      <c r="I88" s="480"/>
      <c r="J88" s="33"/>
    </row>
    <row r="89" spans="1:10" ht="12.75">
      <c r="A89" s="33"/>
      <c r="B89" s="430"/>
      <c r="C89" s="167"/>
      <c r="D89" s="167"/>
      <c r="E89" s="479"/>
      <c r="F89" s="480"/>
      <c r="G89" s="480"/>
      <c r="H89" s="480"/>
      <c r="I89" s="480"/>
      <c r="J89" s="33"/>
    </row>
    <row r="90" spans="1:10" ht="12.75">
      <c r="A90" s="63" t="s">
        <v>22</v>
      </c>
      <c r="B90" s="481"/>
      <c r="C90" s="167"/>
      <c r="D90" s="482"/>
      <c r="E90" s="483"/>
      <c r="F90" s="484"/>
      <c r="G90" s="484"/>
      <c r="H90" s="484"/>
      <c r="I90" s="484"/>
      <c r="J90" s="3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3"/>
      <c r="B92" s="3"/>
      <c r="C92" s="3"/>
      <c r="D92" s="3"/>
      <c r="E92" s="3"/>
      <c r="F92" s="3"/>
      <c r="G92" s="3"/>
      <c r="H92" s="3"/>
      <c r="I92" s="3"/>
      <c r="J92" s="33"/>
    </row>
    <row r="93" spans="1:10" ht="12.75">
      <c r="A93" s="33"/>
      <c r="B93" s="3"/>
      <c r="C93" s="3"/>
      <c r="D93" s="3"/>
      <c r="E93" s="3"/>
      <c r="F93" s="3"/>
      <c r="G93" s="3"/>
      <c r="H93" s="3"/>
      <c r="I93" s="3"/>
      <c r="J93" s="33"/>
    </row>
    <row r="94" spans="1:10" ht="12.75">
      <c r="A94" s="33"/>
      <c r="B94" s="3"/>
      <c r="C94" s="3"/>
      <c r="D94" s="3"/>
      <c r="E94" s="3"/>
      <c r="F94" s="3"/>
      <c r="G94" s="3"/>
      <c r="H94" s="3"/>
      <c r="I94" s="3"/>
      <c r="J94" s="33"/>
    </row>
    <row r="95" spans="1:10" ht="12.75">
      <c r="A95" s="8" t="s">
        <v>560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2.75">
      <c r="A96" s="8" t="s">
        <v>743</v>
      </c>
      <c r="B96" s="8"/>
      <c r="C96" s="8"/>
      <c r="D96" s="8"/>
      <c r="E96" s="8"/>
      <c r="F96" s="8"/>
      <c r="G96" s="8"/>
      <c r="H96" s="8"/>
      <c r="I96" s="8"/>
      <c r="J96" s="8"/>
    </row>
  </sheetData>
  <mergeCells count="6">
    <mergeCell ref="A4:J4"/>
    <mergeCell ref="A5:J5"/>
    <mergeCell ref="A6:J6"/>
    <mergeCell ref="B9:D9"/>
    <mergeCell ref="E9:G9"/>
    <mergeCell ref="H9:J9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G8" sqref="G8"/>
    </sheetView>
  </sheetViews>
  <sheetFormatPr defaultColWidth="9.140625" defaultRowHeight="12.75"/>
  <cols>
    <col min="1" max="1" width="48.00390625" style="0" customWidth="1"/>
    <col min="2" max="2" width="9.00390625" style="0" bestFit="1" customWidth="1"/>
    <col min="3" max="3" width="8.8515625" style="0" bestFit="1" customWidth="1"/>
    <col min="4" max="4" width="8.421875" style="0" bestFit="1" customWidth="1"/>
    <col min="5" max="5" width="9.00390625" style="0" bestFit="1" customWidth="1"/>
    <col min="6" max="6" width="8.8515625" style="0" bestFit="1" customWidth="1"/>
    <col min="7" max="7" width="8.421875" style="0" bestFit="1" customWidth="1"/>
    <col min="8" max="8" width="9.00390625" style="0" bestFit="1" customWidth="1"/>
    <col min="9" max="9" width="8.8515625" style="0" bestFit="1" customWidth="1"/>
    <col min="10" max="10" width="8.57421875" style="0" bestFit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 t="s">
        <v>465</v>
      </c>
    </row>
    <row r="2" spans="1:10" ht="12.75">
      <c r="A2" s="5" t="s">
        <v>299</v>
      </c>
      <c r="B2" s="5"/>
      <c r="C2" s="105"/>
      <c r="D2" s="5"/>
      <c r="E2" s="5"/>
      <c r="F2" s="105"/>
      <c r="G2" s="105"/>
      <c r="H2" s="105"/>
      <c r="I2" s="105"/>
      <c r="J2" s="3"/>
    </row>
    <row r="3" spans="1:10" ht="12.75">
      <c r="A3" s="5"/>
      <c r="B3" s="5"/>
      <c r="C3" s="105"/>
      <c r="D3" s="5"/>
      <c r="E3" s="5"/>
      <c r="F3" s="105"/>
      <c r="G3" s="105"/>
      <c r="H3" s="105"/>
      <c r="I3" s="105"/>
      <c r="J3" s="33"/>
    </row>
    <row r="4" spans="1:10" ht="15.75">
      <c r="A4" s="616" t="s">
        <v>5</v>
      </c>
      <c r="B4" s="616"/>
      <c r="C4" s="616"/>
      <c r="D4" s="616"/>
      <c r="E4" s="616"/>
      <c r="F4" s="616"/>
      <c r="G4" s="616"/>
      <c r="H4" s="616"/>
      <c r="I4" s="616"/>
      <c r="J4" s="616"/>
    </row>
    <row r="5" spans="1:10" ht="15.75">
      <c r="A5" s="616" t="s">
        <v>466</v>
      </c>
      <c r="B5" s="616"/>
      <c r="C5" s="616"/>
      <c r="D5" s="616"/>
      <c r="E5" s="616"/>
      <c r="F5" s="616"/>
      <c r="G5" s="616"/>
      <c r="H5" s="616"/>
      <c r="I5" s="616"/>
      <c r="J5" s="616"/>
    </row>
    <row r="6" spans="1:10" ht="12.75">
      <c r="A6" s="625" t="s">
        <v>7</v>
      </c>
      <c r="B6" s="625"/>
      <c r="C6" s="625"/>
      <c r="D6" s="625"/>
      <c r="E6" s="625"/>
      <c r="F6" s="625"/>
      <c r="G6" s="625"/>
      <c r="H6" s="625"/>
      <c r="I6" s="625"/>
      <c r="J6" s="625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9" t="s">
        <v>190</v>
      </c>
    </row>
    <row r="9" spans="1:10" ht="12.75">
      <c r="A9" s="463"/>
      <c r="B9" s="646" t="s">
        <v>8</v>
      </c>
      <c r="C9" s="647"/>
      <c r="D9" s="648"/>
      <c r="E9" s="646" t="s">
        <v>9</v>
      </c>
      <c r="F9" s="647"/>
      <c r="G9" s="648"/>
      <c r="H9" s="649" t="s">
        <v>10</v>
      </c>
      <c r="I9" s="650"/>
      <c r="J9" s="651"/>
    </row>
    <row r="10" spans="1:10" ht="33.75">
      <c r="A10" s="380" t="s">
        <v>191</v>
      </c>
      <c r="B10" s="464" t="s">
        <v>11</v>
      </c>
      <c r="C10" s="10" t="s">
        <v>12</v>
      </c>
      <c r="D10" s="10" t="s">
        <v>827</v>
      </c>
      <c r="E10" s="10" t="s">
        <v>11</v>
      </c>
      <c r="F10" s="10" t="s">
        <v>12</v>
      </c>
      <c r="G10" s="10" t="s">
        <v>13</v>
      </c>
      <c r="H10" s="10" t="s">
        <v>11</v>
      </c>
      <c r="I10" s="10" t="s">
        <v>12</v>
      </c>
      <c r="J10" s="10" t="s">
        <v>14</v>
      </c>
    </row>
    <row r="11" spans="1:10" ht="12.75">
      <c r="A11" s="38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74" t="s">
        <v>147</v>
      </c>
      <c r="B12" s="254">
        <v>28402</v>
      </c>
      <c r="C12" s="254">
        <v>0</v>
      </c>
      <c r="D12" s="466">
        <v>0</v>
      </c>
      <c r="E12" s="254">
        <v>24005</v>
      </c>
      <c r="F12" s="254">
        <v>0</v>
      </c>
      <c r="G12" s="466">
        <v>0</v>
      </c>
      <c r="H12" s="254">
        <v>73640</v>
      </c>
      <c r="I12" s="254">
        <v>0</v>
      </c>
      <c r="J12" s="466">
        <v>0</v>
      </c>
    </row>
    <row r="13" spans="1:10" ht="12.75">
      <c r="A13" s="514" t="s">
        <v>15</v>
      </c>
      <c r="B13" s="468">
        <v>5956</v>
      </c>
      <c r="C13" s="468">
        <v>0</v>
      </c>
      <c r="D13" s="469">
        <v>0</v>
      </c>
      <c r="E13" s="468">
        <v>7448</v>
      </c>
      <c r="F13" s="468">
        <v>0</v>
      </c>
      <c r="G13" s="469">
        <v>0</v>
      </c>
      <c r="H13" s="468">
        <v>40690</v>
      </c>
      <c r="I13" s="468">
        <v>0</v>
      </c>
      <c r="J13" s="469">
        <v>0</v>
      </c>
    </row>
    <row r="14" spans="1:10" ht="12.75">
      <c r="A14" s="467" t="s">
        <v>369</v>
      </c>
      <c r="B14" s="468">
        <v>3841</v>
      </c>
      <c r="C14" s="468">
        <v>0</v>
      </c>
      <c r="D14" s="469">
        <v>0</v>
      </c>
      <c r="E14" s="468">
        <v>3583</v>
      </c>
      <c r="F14" s="468">
        <v>0</v>
      </c>
      <c r="G14" s="469">
        <v>0</v>
      </c>
      <c r="H14" s="468">
        <v>7615</v>
      </c>
      <c r="I14" s="468">
        <v>0</v>
      </c>
      <c r="J14" s="469">
        <v>0</v>
      </c>
    </row>
    <row r="15" spans="1:10" ht="12.75">
      <c r="A15" s="471" t="s">
        <v>16</v>
      </c>
      <c r="B15" s="468">
        <v>94</v>
      </c>
      <c r="C15" s="468">
        <v>0</v>
      </c>
      <c r="D15" s="469">
        <v>0</v>
      </c>
      <c r="E15" s="468">
        <v>103</v>
      </c>
      <c r="F15" s="468">
        <v>0</v>
      </c>
      <c r="G15" s="469">
        <v>0</v>
      </c>
      <c r="H15" s="468">
        <v>130</v>
      </c>
      <c r="I15" s="468">
        <v>0</v>
      </c>
      <c r="J15" s="469">
        <v>0</v>
      </c>
    </row>
    <row r="16" spans="1:10" ht="12.75">
      <c r="A16" s="471" t="s">
        <v>763</v>
      </c>
      <c r="B16" s="468">
        <v>18511</v>
      </c>
      <c r="C16" s="468">
        <v>0</v>
      </c>
      <c r="D16" s="469">
        <v>0</v>
      </c>
      <c r="E16" s="468">
        <v>12871</v>
      </c>
      <c r="F16" s="468">
        <v>0</v>
      </c>
      <c r="G16" s="469">
        <v>0</v>
      </c>
      <c r="H16" s="468">
        <v>25205</v>
      </c>
      <c r="I16" s="468">
        <v>0</v>
      </c>
      <c r="J16" s="469">
        <v>0</v>
      </c>
    </row>
    <row r="17" spans="1:10" ht="12.75">
      <c r="A17" s="32" t="s">
        <v>326</v>
      </c>
      <c r="B17" s="475">
        <v>1298</v>
      </c>
      <c r="C17" s="475">
        <v>0</v>
      </c>
      <c r="D17" s="472">
        <v>0</v>
      </c>
      <c r="E17" s="475">
        <v>1496</v>
      </c>
      <c r="F17" s="475">
        <v>0</v>
      </c>
      <c r="G17" s="472">
        <v>0</v>
      </c>
      <c r="H17" s="475">
        <v>0</v>
      </c>
      <c r="I17" s="475">
        <v>0</v>
      </c>
      <c r="J17" s="472"/>
    </row>
    <row r="18" spans="1:10" ht="12.75">
      <c r="A18" s="473" t="s">
        <v>15</v>
      </c>
      <c r="B18" s="59">
        <v>181</v>
      </c>
      <c r="C18" s="59">
        <v>0</v>
      </c>
      <c r="D18" s="474">
        <v>0</v>
      </c>
      <c r="E18" s="59">
        <v>379</v>
      </c>
      <c r="F18" s="59">
        <v>0</v>
      </c>
      <c r="G18" s="474">
        <v>0</v>
      </c>
      <c r="H18" s="59">
        <v>0</v>
      </c>
      <c r="I18" s="59">
        <v>0</v>
      </c>
      <c r="J18" s="474"/>
    </row>
    <row r="19" spans="1:10" ht="12.75">
      <c r="A19" s="473" t="s">
        <v>369</v>
      </c>
      <c r="B19" s="59">
        <v>1117</v>
      </c>
      <c r="C19" s="59">
        <v>0</v>
      </c>
      <c r="D19" s="474">
        <v>0</v>
      </c>
      <c r="E19" s="59">
        <v>1117</v>
      </c>
      <c r="F19" s="59">
        <v>0</v>
      </c>
      <c r="G19" s="474">
        <v>0</v>
      </c>
      <c r="H19" s="59">
        <v>0</v>
      </c>
      <c r="I19" s="59">
        <v>0</v>
      </c>
      <c r="J19" s="474"/>
    </row>
    <row r="20" spans="1:10" ht="12.75">
      <c r="A20" s="32" t="s">
        <v>327</v>
      </c>
      <c r="B20" s="475">
        <v>72</v>
      </c>
      <c r="C20" s="475">
        <v>0</v>
      </c>
      <c r="D20" s="472">
        <v>0</v>
      </c>
      <c r="E20" s="475">
        <v>68</v>
      </c>
      <c r="F20" s="475">
        <v>0</v>
      </c>
      <c r="G20" s="472">
        <v>0</v>
      </c>
      <c r="H20" s="475">
        <v>83</v>
      </c>
      <c r="I20" s="475">
        <v>0</v>
      </c>
      <c r="J20" s="472">
        <v>0</v>
      </c>
    </row>
    <row r="21" spans="1:10" ht="12.75">
      <c r="A21" s="473" t="s">
        <v>763</v>
      </c>
      <c r="B21" s="59">
        <v>72</v>
      </c>
      <c r="C21" s="59">
        <v>0</v>
      </c>
      <c r="D21" s="474">
        <v>0</v>
      </c>
      <c r="E21" s="59">
        <v>68</v>
      </c>
      <c r="F21" s="59">
        <v>0</v>
      </c>
      <c r="G21" s="474">
        <v>0</v>
      </c>
      <c r="H21" s="59">
        <v>83</v>
      </c>
      <c r="I21" s="59">
        <v>0</v>
      </c>
      <c r="J21" s="474">
        <v>0</v>
      </c>
    </row>
    <row r="22" spans="1:10" ht="12.75">
      <c r="A22" s="32" t="s">
        <v>328</v>
      </c>
      <c r="B22" s="475">
        <v>16153</v>
      </c>
      <c r="C22" s="475">
        <v>0</v>
      </c>
      <c r="D22" s="472">
        <v>0</v>
      </c>
      <c r="E22" s="475">
        <v>16422</v>
      </c>
      <c r="F22" s="475">
        <v>0</v>
      </c>
      <c r="G22" s="472">
        <v>0</v>
      </c>
      <c r="H22" s="475">
        <v>42942</v>
      </c>
      <c r="I22" s="475">
        <v>0</v>
      </c>
      <c r="J22" s="472">
        <v>0</v>
      </c>
    </row>
    <row r="23" spans="1:10" ht="12.75">
      <c r="A23" s="473" t="s">
        <v>15</v>
      </c>
      <c r="B23" s="59">
        <v>4232</v>
      </c>
      <c r="C23" s="59">
        <v>0</v>
      </c>
      <c r="D23" s="474">
        <v>0</v>
      </c>
      <c r="E23" s="59">
        <v>4741</v>
      </c>
      <c r="F23" s="59">
        <v>0</v>
      </c>
      <c r="G23" s="474">
        <v>0</v>
      </c>
      <c r="H23" s="59">
        <v>25892</v>
      </c>
      <c r="I23" s="59">
        <v>0</v>
      </c>
      <c r="J23" s="474">
        <v>0</v>
      </c>
    </row>
    <row r="24" spans="1:10" ht="12.75">
      <c r="A24" s="473" t="s">
        <v>369</v>
      </c>
      <c r="B24" s="59">
        <v>1845</v>
      </c>
      <c r="C24" s="59">
        <v>0</v>
      </c>
      <c r="D24" s="474">
        <v>0</v>
      </c>
      <c r="E24" s="59">
        <v>1605</v>
      </c>
      <c r="F24" s="59">
        <v>0</v>
      </c>
      <c r="G24" s="474">
        <v>0</v>
      </c>
      <c r="H24" s="59">
        <v>5940</v>
      </c>
      <c r="I24" s="59">
        <v>0</v>
      </c>
      <c r="J24" s="474">
        <v>0</v>
      </c>
    </row>
    <row r="25" spans="1:10" ht="12.75">
      <c r="A25" s="473" t="s">
        <v>16</v>
      </c>
      <c r="B25" s="59">
        <v>76</v>
      </c>
      <c r="C25" s="59">
        <v>0</v>
      </c>
      <c r="D25" s="474">
        <v>0</v>
      </c>
      <c r="E25" s="59">
        <v>76</v>
      </c>
      <c r="F25" s="59">
        <v>0</v>
      </c>
      <c r="G25" s="474">
        <v>0</v>
      </c>
      <c r="H25" s="59">
        <v>76</v>
      </c>
      <c r="I25" s="59">
        <v>0</v>
      </c>
      <c r="J25" s="474">
        <v>0</v>
      </c>
    </row>
    <row r="26" spans="1:10" ht="12.75">
      <c r="A26" s="473" t="s">
        <v>763</v>
      </c>
      <c r="B26" s="59">
        <v>10000</v>
      </c>
      <c r="C26" s="59">
        <v>0</v>
      </c>
      <c r="D26" s="474">
        <v>0</v>
      </c>
      <c r="E26" s="59">
        <v>10000</v>
      </c>
      <c r="F26" s="59">
        <v>0</v>
      </c>
      <c r="G26" s="474">
        <v>0</v>
      </c>
      <c r="H26" s="59">
        <v>11034</v>
      </c>
      <c r="I26" s="59">
        <v>0</v>
      </c>
      <c r="J26" s="474">
        <v>0</v>
      </c>
    </row>
    <row r="27" spans="1:10" ht="12.75">
      <c r="A27" s="32" t="s">
        <v>329</v>
      </c>
      <c r="B27" s="475">
        <v>10084</v>
      </c>
      <c r="C27" s="475">
        <v>0</v>
      </c>
      <c r="D27" s="472">
        <v>0</v>
      </c>
      <c r="E27" s="475">
        <v>4666</v>
      </c>
      <c r="F27" s="475">
        <v>0</v>
      </c>
      <c r="G27" s="472">
        <v>0</v>
      </c>
      <c r="H27" s="475">
        <v>29300</v>
      </c>
      <c r="I27" s="475">
        <v>0</v>
      </c>
      <c r="J27" s="472">
        <v>0</v>
      </c>
    </row>
    <row r="28" spans="1:10" ht="12.75">
      <c r="A28" s="473" t="s">
        <v>15</v>
      </c>
      <c r="B28" s="59">
        <v>1520</v>
      </c>
      <c r="C28" s="59">
        <v>0</v>
      </c>
      <c r="D28" s="474">
        <v>0</v>
      </c>
      <c r="E28" s="59">
        <v>2305</v>
      </c>
      <c r="F28" s="59">
        <v>0</v>
      </c>
      <c r="G28" s="474">
        <v>0</v>
      </c>
      <c r="H28" s="59">
        <v>14741</v>
      </c>
      <c r="I28" s="59">
        <v>0</v>
      </c>
      <c r="J28" s="474">
        <v>0</v>
      </c>
    </row>
    <row r="29" spans="1:10" ht="12.75">
      <c r="A29" s="473" t="s">
        <v>369</v>
      </c>
      <c r="B29" s="59">
        <v>875</v>
      </c>
      <c r="C29" s="59">
        <v>0</v>
      </c>
      <c r="D29" s="474">
        <v>0</v>
      </c>
      <c r="E29" s="59">
        <v>858</v>
      </c>
      <c r="F29" s="59">
        <v>0</v>
      </c>
      <c r="G29" s="474">
        <v>0</v>
      </c>
      <c r="H29" s="59">
        <v>1671</v>
      </c>
      <c r="I29" s="59">
        <v>0</v>
      </c>
      <c r="J29" s="474">
        <v>0</v>
      </c>
    </row>
    <row r="30" spans="1:10" ht="12.75">
      <c r="A30" s="473" t="s">
        <v>763</v>
      </c>
      <c r="B30" s="59">
        <v>7689</v>
      </c>
      <c r="C30" s="59">
        <v>0</v>
      </c>
      <c r="D30" s="474">
        <v>0</v>
      </c>
      <c r="E30" s="59">
        <v>1503</v>
      </c>
      <c r="F30" s="59">
        <v>0</v>
      </c>
      <c r="G30" s="474">
        <v>0</v>
      </c>
      <c r="H30" s="59">
        <v>12888</v>
      </c>
      <c r="I30" s="59">
        <v>0</v>
      </c>
      <c r="J30" s="474">
        <v>0</v>
      </c>
    </row>
    <row r="31" spans="1:10" ht="12.75">
      <c r="A31" s="17" t="s">
        <v>331</v>
      </c>
      <c r="B31" s="475">
        <v>768</v>
      </c>
      <c r="C31" s="475">
        <v>0</v>
      </c>
      <c r="D31" s="472">
        <v>0</v>
      </c>
      <c r="E31" s="475">
        <v>1327</v>
      </c>
      <c r="F31" s="475">
        <v>0</v>
      </c>
      <c r="G31" s="472">
        <v>0</v>
      </c>
      <c r="H31" s="475">
        <v>1254</v>
      </c>
      <c r="I31" s="475">
        <v>0</v>
      </c>
      <c r="J31" s="472">
        <v>0</v>
      </c>
    </row>
    <row r="32" spans="1:10" ht="12.75">
      <c r="A32" s="473" t="s">
        <v>16</v>
      </c>
      <c r="B32" s="59">
        <v>18</v>
      </c>
      <c r="C32" s="59">
        <v>0</v>
      </c>
      <c r="D32" s="474">
        <v>0</v>
      </c>
      <c r="E32" s="59">
        <v>27</v>
      </c>
      <c r="F32" s="59">
        <v>0</v>
      </c>
      <c r="G32" s="474">
        <v>0</v>
      </c>
      <c r="H32" s="59">
        <v>54</v>
      </c>
      <c r="I32" s="59">
        <v>0</v>
      </c>
      <c r="J32" s="474">
        <v>0</v>
      </c>
    </row>
    <row r="33" spans="1:10" ht="12.75">
      <c r="A33" s="473" t="s">
        <v>763</v>
      </c>
      <c r="B33" s="59">
        <v>750</v>
      </c>
      <c r="C33" s="59">
        <v>0</v>
      </c>
      <c r="D33" s="474">
        <v>0</v>
      </c>
      <c r="E33" s="59">
        <v>1300</v>
      </c>
      <c r="F33" s="59">
        <v>0</v>
      </c>
      <c r="G33" s="474">
        <v>0</v>
      </c>
      <c r="H33" s="59">
        <v>1200</v>
      </c>
      <c r="I33" s="59">
        <v>0</v>
      </c>
      <c r="J33" s="474">
        <v>0</v>
      </c>
    </row>
    <row r="34" spans="1:10" ht="24">
      <c r="A34" s="509" t="s">
        <v>343</v>
      </c>
      <c r="B34" s="475">
        <v>27</v>
      </c>
      <c r="C34" s="475">
        <v>0</v>
      </c>
      <c r="D34" s="472">
        <v>0</v>
      </c>
      <c r="E34" s="475">
        <v>26</v>
      </c>
      <c r="F34" s="475">
        <v>0</v>
      </c>
      <c r="G34" s="472">
        <v>0</v>
      </c>
      <c r="H34" s="475">
        <v>61</v>
      </c>
      <c r="I34" s="475">
        <v>0</v>
      </c>
      <c r="J34" s="472">
        <v>0</v>
      </c>
    </row>
    <row r="35" spans="1:10" ht="12.75">
      <c r="A35" s="473" t="s">
        <v>15</v>
      </c>
      <c r="B35" s="59">
        <v>23</v>
      </c>
      <c r="C35" s="59">
        <v>0</v>
      </c>
      <c r="D35" s="474">
        <v>0</v>
      </c>
      <c r="E35" s="59">
        <v>23</v>
      </c>
      <c r="F35" s="59">
        <v>0</v>
      </c>
      <c r="G35" s="474">
        <v>0</v>
      </c>
      <c r="H35" s="59">
        <v>57</v>
      </c>
      <c r="I35" s="59">
        <v>0</v>
      </c>
      <c r="J35" s="474">
        <v>0</v>
      </c>
    </row>
    <row r="36" spans="1:10" ht="12.75">
      <c r="A36" s="473" t="s">
        <v>369</v>
      </c>
      <c r="B36" s="59">
        <v>4</v>
      </c>
      <c r="C36" s="59">
        <v>0</v>
      </c>
      <c r="D36" s="474">
        <v>0</v>
      </c>
      <c r="E36" s="59">
        <v>3</v>
      </c>
      <c r="F36" s="59">
        <v>0</v>
      </c>
      <c r="G36" s="474">
        <v>0</v>
      </c>
      <c r="H36" s="59">
        <v>4</v>
      </c>
      <c r="I36" s="59">
        <v>0</v>
      </c>
      <c r="J36" s="474">
        <v>0</v>
      </c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3"/>
    </row>
    <row r="38" spans="1:10" ht="12.75">
      <c r="A38" s="105"/>
      <c r="B38" s="515"/>
      <c r="C38" s="516"/>
      <c r="D38" s="517"/>
      <c r="E38" s="517"/>
      <c r="F38" s="518"/>
      <c r="G38" s="518"/>
      <c r="H38" s="518"/>
      <c r="I38" s="518"/>
      <c r="J38" s="3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3"/>
      <c r="B40" s="430"/>
      <c r="C40" s="167"/>
      <c r="D40" s="167"/>
      <c r="E40" s="479"/>
      <c r="F40" s="480"/>
      <c r="G40" s="480"/>
      <c r="H40" s="480"/>
      <c r="I40" s="480"/>
      <c r="J40" s="33"/>
    </row>
    <row r="41" spans="1:10" ht="12.75">
      <c r="A41" s="63" t="s">
        <v>467</v>
      </c>
      <c r="B41" s="430"/>
      <c r="C41" s="167"/>
      <c r="D41" s="167"/>
      <c r="E41" s="479"/>
      <c r="F41" s="480"/>
      <c r="G41" s="480"/>
      <c r="H41" s="480"/>
      <c r="I41" s="480"/>
      <c r="J41" s="33"/>
    </row>
    <row r="42" spans="1:10" ht="12.75">
      <c r="A42" s="3"/>
      <c r="B42" s="481"/>
      <c r="C42" s="167"/>
      <c r="D42" s="482"/>
      <c r="E42" s="483"/>
      <c r="F42" s="484"/>
      <c r="G42" s="484"/>
      <c r="H42" s="484"/>
      <c r="I42" s="484"/>
      <c r="J42" s="33"/>
    </row>
    <row r="43" spans="1:10" ht="12.75">
      <c r="A43" s="3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3"/>
      <c r="B44" s="3"/>
      <c r="C44" s="3"/>
      <c r="D44" s="3"/>
      <c r="E44" s="3"/>
      <c r="F44" s="3"/>
      <c r="G44" s="3"/>
      <c r="H44" s="3"/>
      <c r="I44" s="3"/>
      <c r="J44" s="33"/>
    </row>
    <row r="45" spans="1:10" ht="12.75">
      <c r="A45" s="33"/>
      <c r="B45" s="3"/>
      <c r="C45" s="3"/>
      <c r="D45" s="3"/>
      <c r="E45" s="3"/>
      <c r="F45" s="3"/>
      <c r="G45" s="3"/>
      <c r="H45" s="3"/>
      <c r="I45" s="3"/>
      <c r="J45" s="33"/>
    </row>
    <row r="46" spans="1:10" ht="12.75">
      <c r="A46" s="33"/>
      <c r="B46" s="3"/>
      <c r="C46" s="3"/>
      <c r="D46" s="3"/>
      <c r="E46" s="3"/>
      <c r="F46" s="3"/>
      <c r="G46" s="3"/>
      <c r="H46" s="3"/>
      <c r="I46" s="3"/>
      <c r="J46" s="3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3"/>
    </row>
    <row r="49" spans="1:10" ht="12.75">
      <c r="A49" s="33"/>
      <c r="B49" s="3"/>
      <c r="C49" s="3"/>
      <c r="D49" s="3"/>
      <c r="E49" s="3"/>
      <c r="F49" s="3"/>
      <c r="G49" s="3"/>
      <c r="H49" s="3"/>
      <c r="I49" s="3"/>
      <c r="J49" s="33"/>
    </row>
    <row r="50" spans="1:10" ht="12.75">
      <c r="A50" s="33"/>
      <c r="B50" s="3"/>
      <c r="C50" s="3"/>
      <c r="D50" s="3"/>
      <c r="E50" s="3"/>
      <c r="F50" s="3"/>
      <c r="G50" s="3"/>
      <c r="H50" s="3"/>
      <c r="I50" s="3"/>
      <c r="J50" s="33"/>
    </row>
    <row r="51" spans="1:10" ht="12.75">
      <c r="A51" s="33"/>
      <c r="B51" s="3"/>
      <c r="C51" s="3"/>
      <c r="D51" s="3"/>
      <c r="E51" s="3"/>
      <c r="F51" s="3"/>
      <c r="G51" s="3"/>
      <c r="H51" s="3"/>
      <c r="I51" s="3"/>
      <c r="J51" s="3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3"/>
    </row>
    <row r="53" spans="1:10" ht="12.75">
      <c r="A53" s="33" t="s">
        <v>560</v>
      </c>
      <c r="B53" s="3"/>
      <c r="C53" s="3"/>
      <c r="D53" s="3"/>
      <c r="E53" s="3"/>
      <c r="F53" s="3"/>
      <c r="G53" s="3"/>
      <c r="H53" s="3"/>
      <c r="I53" s="3"/>
      <c r="J53" s="33"/>
    </row>
    <row r="54" spans="1:10" ht="12.75">
      <c r="A54" s="33" t="s">
        <v>468</v>
      </c>
      <c r="B54" s="3"/>
      <c r="C54" s="3"/>
      <c r="D54" s="3"/>
      <c r="E54" s="3"/>
      <c r="F54" s="3"/>
      <c r="G54" s="3"/>
      <c r="H54" s="3"/>
      <c r="I54" s="3"/>
      <c r="J54" s="33"/>
    </row>
  </sheetData>
  <mergeCells count="6">
    <mergeCell ref="A4:J4"/>
    <mergeCell ref="A5:J5"/>
    <mergeCell ref="A6:J6"/>
    <mergeCell ref="B9:D9"/>
    <mergeCell ref="E9:G9"/>
    <mergeCell ref="H9:J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58" sqref="C58"/>
    </sheetView>
  </sheetViews>
  <sheetFormatPr defaultColWidth="9.140625" defaultRowHeight="12.75"/>
  <cols>
    <col min="1" max="1" width="47.57421875" style="0" customWidth="1"/>
    <col min="2" max="2" width="11.00390625" style="0" customWidth="1"/>
    <col min="5" max="5" width="8.140625" style="0" customWidth="1"/>
    <col min="6" max="6" width="8.28125" style="0" customWidth="1"/>
  </cols>
  <sheetData>
    <row r="1" ht="12.75">
      <c r="F1" s="69" t="s">
        <v>607</v>
      </c>
    </row>
    <row r="2" spans="1:6" ht="12.75">
      <c r="A2" s="614" t="s">
        <v>606</v>
      </c>
      <c r="B2" s="614"/>
      <c r="C2" s="614"/>
      <c r="D2" s="614"/>
      <c r="E2" s="614"/>
      <c r="F2" s="614"/>
    </row>
    <row r="4" spans="1:6" ht="15.75">
      <c r="A4" s="616" t="s">
        <v>608</v>
      </c>
      <c r="B4" s="616"/>
      <c r="C4" s="616"/>
      <c r="D4" s="616"/>
      <c r="E4" s="616"/>
      <c r="F4" s="616"/>
    </row>
    <row r="5" spans="1:5" ht="12.75">
      <c r="A5" s="614" t="s">
        <v>609</v>
      </c>
      <c r="B5" s="614"/>
      <c r="C5" s="614"/>
      <c r="D5" s="614"/>
      <c r="E5" s="614"/>
    </row>
    <row r="6" ht="12.75">
      <c r="F6" s="8" t="s">
        <v>190</v>
      </c>
    </row>
    <row r="7" spans="1:6" ht="45">
      <c r="A7" s="10" t="s">
        <v>610</v>
      </c>
      <c r="B7" s="10" t="s">
        <v>192</v>
      </c>
      <c r="C7" s="71" t="s">
        <v>611</v>
      </c>
      <c r="D7" s="10" t="s">
        <v>193</v>
      </c>
      <c r="E7" s="10" t="s">
        <v>612</v>
      </c>
      <c r="F7" s="10" t="s">
        <v>613</v>
      </c>
    </row>
    <row r="8" spans="1:6" ht="12.75">
      <c r="A8" s="52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</row>
    <row r="9" spans="1:6" ht="12.75">
      <c r="A9" s="74" t="s">
        <v>614</v>
      </c>
      <c r="B9" s="75">
        <v>784824</v>
      </c>
      <c r="C9" s="76">
        <v>100</v>
      </c>
      <c r="D9" s="75">
        <v>64465</v>
      </c>
      <c r="E9" s="486">
        <v>8.213982796901496</v>
      </c>
      <c r="F9" s="75">
        <v>64465</v>
      </c>
    </row>
    <row r="10" spans="1:6" ht="12.75">
      <c r="A10" s="77" t="s">
        <v>615</v>
      </c>
      <c r="B10" s="75">
        <v>611913</v>
      </c>
      <c r="C10" s="76">
        <v>100</v>
      </c>
      <c r="D10" s="75">
        <v>50697</v>
      </c>
      <c r="E10" s="486">
        <v>8.28499341549152</v>
      </c>
      <c r="F10" s="75">
        <v>50697</v>
      </c>
    </row>
    <row r="11" spans="1:6" ht="12.75">
      <c r="A11" s="77" t="s">
        <v>616</v>
      </c>
      <c r="B11" s="75">
        <v>98046</v>
      </c>
      <c r="C11" s="76">
        <v>100</v>
      </c>
      <c r="D11" s="75">
        <v>6876</v>
      </c>
      <c r="E11" s="486">
        <v>7.013242386226873</v>
      </c>
      <c r="F11" s="75">
        <v>6876</v>
      </c>
    </row>
    <row r="12" spans="1:6" ht="12.75">
      <c r="A12" s="24" t="s">
        <v>617</v>
      </c>
      <c r="B12" s="78">
        <v>98046</v>
      </c>
      <c r="C12" s="79">
        <v>100</v>
      </c>
      <c r="D12" s="78">
        <v>6876</v>
      </c>
      <c r="E12" s="487">
        <v>7.013242386226873</v>
      </c>
      <c r="F12" s="78">
        <v>6876</v>
      </c>
    </row>
    <row r="13" spans="1:6" ht="12.75">
      <c r="A13" s="77" t="s">
        <v>618</v>
      </c>
      <c r="B13" s="75">
        <v>513867</v>
      </c>
      <c r="C13" s="76">
        <v>100</v>
      </c>
      <c r="D13" s="75">
        <v>40876</v>
      </c>
      <c r="E13" s="486">
        <v>7.954615804842513</v>
      </c>
      <c r="F13" s="75">
        <v>40876</v>
      </c>
    </row>
    <row r="14" spans="1:6" ht="12.75">
      <c r="A14" s="24" t="s">
        <v>619</v>
      </c>
      <c r="B14" s="78">
        <v>368948</v>
      </c>
      <c r="C14" s="79">
        <v>100</v>
      </c>
      <c r="D14" s="78">
        <v>29888</v>
      </c>
      <c r="E14" s="487">
        <v>8.100882822519184</v>
      </c>
      <c r="F14" s="78">
        <v>29888</v>
      </c>
    </row>
    <row r="15" spans="1:6" ht="12.75">
      <c r="A15" s="24" t="s">
        <v>620</v>
      </c>
      <c r="B15" s="78">
        <v>132976</v>
      </c>
      <c r="C15" s="79">
        <v>100</v>
      </c>
      <c r="D15" s="78">
        <v>9957</v>
      </c>
      <c r="E15" s="487">
        <v>7.487807526974388</v>
      </c>
      <c r="F15" s="78">
        <v>9957</v>
      </c>
    </row>
    <row r="16" spans="1:6" ht="12.75">
      <c r="A16" s="80" t="s">
        <v>621</v>
      </c>
      <c r="B16" s="78">
        <v>11943</v>
      </c>
      <c r="C16" s="79">
        <v>100</v>
      </c>
      <c r="D16" s="78">
        <v>1031</v>
      </c>
      <c r="E16" s="487">
        <v>8.633631918278489</v>
      </c>
      <c r="F16" s="78">
        <v>1031</v>
      </c>
    </row>
    <row r="17" spans="1:6" ht="12.75">
      <c r="A17" s="77" t="s">
        <v>622</v>
      </c>
      <c r="B17" s="81" t="s">
        <v>206</v>
      </c>
      <c r="C17" s="82"/>
      <c r="D17" s="75">
        <v>2945</v>
      </c>
      <c r="E17" s="486"/>
      <c r="F17" s="75">
        <v>2945</v>
      </c>
    </row>
    <row r="18" spans="1:6" ht="12.75">
      <c r="A18" s="80" t="s">
        <v>623</v>
      </c>
      <c r="B18" s="83" t="s">
        <v>206</v>
      </c>
      <c r="C18" s="79"/>
      <c r="D18" s="84">
        <v>-397</v>
      </c>
      <c r="E18" s="488"/>
      <c r="F18" s="84">
        <v>-397</v>
      </c>
    </row>
    <row r="19" spans="1:6" ht="12.75">
      <c r="A19" s="77" t="s">
        <v>624</v>
      </c>
      <c r="B19" s="75">
        <v>66652</v>
      </c>
      <c r="C19" s="76">
        <v>100</v>
      </c>
      <c r="D19" s="75">
        <v>6218</v>
      </c>
      <c r="E19" s="486">
        <v>9.329346870460435</v>
      </c>
      <c r="F19" s="75">
        <v>6218</v>
      </c>
    </row>
    <row r="20" spans="1:6" ht="12.75">
      <c r="A20" s="25" t="s">
        <v>625</v>
      </c>
      <c r="B20" s="78">
        <v>1250</v>
      </c>
      <c r="C20" s="79">
        <v>100</v>
      </c>
      <c r="D20" s="78">
        <v>4</v>
      </c>
      <c r="E20" s="487">
        <v>0.2854088</v>
      </c>
      <c r="F20" s="78">
        <v>4</v>
      </c>
    </row>
    <row r="21" spans="1:6" ht="12.75">
      <c r="A21" s="85" t="s">
        <v>626</v>
      </c>
      <c r="B21" s="78">
        <v>14528</v>
      </c>
      <c r="C21" s="79">
        <v>100</v>
      </c>
      <c r="D21" s="78">
        <v>2357</v>
      </c>
      <c r="E21" s="487">
        <v>16.222997234693157</v>
      </c>
      <c r="F21" s="78">
        <v>2357</v>
      </c>
    </row>
    <row r="22" spans="1:6" ht="24">
      <c r="A22" s="25" t="s">
        <v>627</v>
      </c>
      <c r="B22" s="78">
        <v>19730</v>
      </c>
      <c r="C22" s="79">
        <v>100</v>
      </c>
      <c r="D22" s="78">
        <v>1217</v>
      </c>
      <c r="E22" s="487">
        <v>6.169735921369934</v>
      </c>
      <c r="F22" s="78">
        <v>1217</v>
      </c>
    </row>
    <row r="23" spans="1:6" ht="24">
      <c r="A23" s="25" t="s">
        <v>628</v>
      </c>
      <c r="B23" s="78">
        <v>734</v>
      </c>
      <c r="C23" s="79">
        <v>100</v>
      </c>
      <c r="D23" s="78">
        <v>40</v>
      </c>
      <c r="E23" s="487">
        <v>5.5089339257482415</v>
      </c>
      <c r="F23" s="78">
        <v>40</v>
      </c>
    </row>
    <row r="24" spans="1:6" ht="12.75">
      <c r="A24" s="25" t="s">
        <v>629</v>
      </c>
      <c r="B24" s="78">
        <v>624</v>
      </c>
      <c r="C24" s="79">
        <v>100</v>
      </c>
      <c r="D24" s="78">
        <v>56</v>
      </c>
      <c r="E24" s="487">
        <v>8.986528846153846</v>
      </c>
      <c r="F24" s="78">
        <v>56</v>
      </c>
    </row>
    <row r="25" spans="1:6" ht="12.75">
      <c r="A25" s="86" t="s">
        <v>630</v>
      </c>
      <c r="B25" s="78">
        <v>6650</v>
      </c>
      <c r="C25" s="79">
        <v>100</v>
      </c>
      <c r="D25" s="78">
        <v>784</v>
      </c>
      <c r="E25" s="487">
        <v>11.784251729323309</v>
      </c>
      <c r="F25" s="78">
        <v>784</v>
      </c>
    </row>
    <row r="26" spans="1:6" ht="24">
      <c r="A26" s="87" t="s">
        <v>631</v>
      </c>
      <c r="B26" s="78">
        <v>2250</v>
      </c>
      <c r="C26" s="79">
        <v>100</v>
      </c>
      <c r="D26" s="78">
        <v>203</v>
      </c>
      <c r="E26" s="487">
        <v>9.001766222222221</v>
      </c>
      <c r="F26" s="78">
        <v>203</v>
      </c>
    </row>
    <row r="27" spans="1:6" ht="24">
      <c r="A27" s="87" t="s">
        <v>632</v>
      </c>
      <c r="B27" s="78">
        <v>4200</v>
      </c>
      <c r="C27" s="79">
        <v>100</v>
      </c>
      <c r="D27" s="78">
        <v>197</v>
      </c>
      <c r="E27" s="487">
        <v>4.701962857142857</v>
      </c>
      <c r="F27" s="78">
        <v>197</v>
      </c>
    </row>
    <row r="28" spans="1:6" ht="12.75">
      <c r="A28" s="87" t="s">
        <v>633</v>
      </c>
      <c r="B28" s="78">
        <v>200</v>
      </c>
      <c r="C28" s="79">
        <v>100</v>
      </c>
      <c r="D28" s="78">
        <v>53</v>
      </c>
      <c r="E28" s="487">
        <v>26.5675</v>
      </c>
      <c r="F28" s="78">
        <v>53</v>
      </c>
    </row>
    <row r="29" spans="1:6" ht="12.75">
      <c r="A29" s="24" t="s">
        <v>634</v>
      </c>
      <c r="B29" s="78">
        <v>8594</v>
      </c>
      <c r="C29" s="79">
        <v>100</v>
      </c>
      <c r="D29" s="78">
        <v>645</v>
      </c>
      <c r="E29" s="487">
        <v>7.5080029903801675</v>
      </c>
      <c r="F29" s="78">
        <v>645</v>
      </c>
    </row>
    <row r="30" spans="1:6" ht="12.75">
      <c r="A30" s="24" t="s">
        <v>635</v>
      </c>
      <c r="B30" s="78">
        <v>14542</v>
      </c>
      <c r="C30" s="79">
        <v>100</v>
      </c>
      <c r="D30" s="78">
        <v>1115</v>
      </c>
      <c r="E30" s="487">
        <v>7.667673795579787</v>
      </c>
      <c r="F30" s="78">
        <v>1115</v>
      </c>
    </row>
    <row r="31" spans="1:6" ht="24">
      <c r="A31" s="88" t="s">
        <v>636</v>
      </c>
      <c r="B31" s="78">
        <v>1201</v>
      </c>
      <c r="C31" s="79">
        <v>100</v>
      </c>
      <c r="D31" s="78">
        <v>100</v>
      </c>
      <c r="E31" s="487">
        <v>8.333333333333332</v>
      </c>
      <c r="F31" s="78">
        <v>100</v>
      </c>
    </row>
    <row r="32" spans="1:6" ht="12.75">
      <c r="A32" s="89" t="s">
        <v>637</v>
      </c>
      <c r="B32" s="78">
        <v>8137</v>
      </c>
      <c r="C32" s="79">
        <v>100</v>
      </c>
      <c r="D32" s="78">
        <v>678</v>
      </c>
      <c r="E32" s="487">
        <v>8.332708585024967</v>
      </c>
      <c r="F32" s="78">
        <v>678</v>
      </c>
    </row>
    <row r="33" spans="1:6" ht="12.75">
      <c r="A33" s="89" t="s">
        <v>289</v>
      </c>
      <c r="B33" s="78">
        <v>240</v>
      </c>
      <c r="C33" s="79">
        <v>100</v>
      </c>
      <c r="D33" s="78">
        <v>16</v>
      </c>
      <c r="E33" s="487">
        <v>6.652499384182466</v>
      </c>
      <c r="F33" s="78">
        <v>16</v>
      </c>
    </row>
    <row r="34" spans="1:6" ht="24">
      <c r="A34" s="87" t="s">
        <v>290</v>
      </c>
      <c r="B34" s="78">
        <v>100</v>
      </c>
      <c r="C34" s="79"/>
      <c r="D34" s="78"/>
      <c r="E34" s="487"/>
      <c r="F34" s="78"/>
    </row>
    <row r="35" spans="1:6" ht="12.75">
      <c r="A35" s="85" t="s">
        <v>291</v>
      </c>
      <c r="B35" s="78">
        <v>1140</v>
      </c>
      <c r="C35" s="79"/>
      <c r="D35" s="78"/>
      <c r="E35" s="487"/>
      <c r="F35" s="78"/>
    </row>
    <row r="36" spans="1:6" ht="12.75">
      <c r="A36" s="90" t="s">
        <v>292</v>
      </c>
      <c r="B36" s="75">
        <v>60659</v>
      </c>
      <c r="C36" s="91">
        <v>100</v>
      </c>
      <c r="D36" s="84">
        <v>5202</v>
      </c>
      <c r="E36" s="486">
        <v>8.575612152932273</v>
      </c>
      <c r="F36" s="75">
        <v>5202</v>
      </c>
    </row>
    <row r="37" spans="1:6" ht="24">
      <c r="A37" s="92" t="s">
        <v>293</v>
      </c>
      <c r="B37" s="78">
        <v>60659</v>
      </c>
      <c r="C37" s="79">
        <v>100</v>
      </c>
      <c r="D37" s="78">
        <v>5202</v>
      </c>
      <c r="E37" s="487">
        <v>8.575612152932273</v>
      </c>
      <c r="F37" s="75">
        <v>5202</v>
      </c>
    </row>
    <row r="38" spans="1:6" ht="12.75">
      <c r="A38" s="90" t="s">
        <v>294</v>
      </c>
      <c r="B38" s="75">
        <v>45600</v>
      </c>
      <c r="C38" s="91">
        <v>100</v>
      </c>
      <c r="D38" s="75">
        <v>2348</v>
      </c>
      <c r="E38" s="486">
        <v>5.149737078398631</v>
      </c>
      <c r="F38" s="75">
        <v>2348</v>
      </c>
    </row>
    <row r="39" spans="1:6" ht="12.75">
      <c r="A39" s="102"/>
      <c r="B39" s="103"/>
      <c r="C39" s="104"/>
      <c r="D39" s="104"/>
      <c r="E39" s="104"/>
      <c r="F39" s="104"/>
    </row>
    <row r="40" spans="1:6" ht="12.75">
      <c r="A40" s="95"/>
      <c r="B40" s="96"/>
      <c r="C40" s="94"/>
      <c r="D40" s="94"/>
      <c r="E40" s="94"/>
      <c r="F40" s="94"/>
    </row>
    <row r="43" spans="1:5" ht="14.25">
      <c r="A43" s="66" t="s">
        <v>295</v>
      </c>
      <c r="B43" s="67"/>
      <c r="C43" s="67"/>
      <c r="E43" s="67" t="s">
        <v>296</v>
      </c>
    </row>
    <row r="53" ht="12.75">
      <c r="A53" s="33" t="s">
        <v>297</v>
      </c>
    </row>
    <row r="54" ht="12.75">
      <c r="A54" s="33" t="s">
        <v>562</v>
      </c>
    </row>
  </sheetData>
  <mergeCells count="3">
    <mergeCell ref="A2:F2"/>
    <mergeCell ref="A4:F4"/>
    <mergeCell ref="A5:E5"/>
  </mergeCells>
  <printOptions/>
  <pageMargins left="0.75" right="0.4" top="0.85" bottom="0.38" header="0.33" footer="0.33"/>
  <pageSetup firstPageNumber="8" useFirstPageNumber="1" horizontalDpi="600" verticalDpi="600" orientation="portrait" scale="89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1">
      <selection activeCell="F16" sqref="F16"/>
    </sheetView>
  </sheetViews>
  <sheetFormatPr defaultColWidth="9.140625" defaultRowHeight="17.25" customHeight="1"/>
  <cols>
    <col min="1" max="1" width="34.28125" style="0" hidden="1" customWidth="1"/>
    <col min="2" max="2" width="12.7109375" style="0" hidden="1" customWidth="1"/>
    <col min="3" max="3" width="11.421875" style="0" hidden="1" customWidth="1"/>
    <col min="4" max="4" width="5.57421875" style="0" hidden="1" customWidth="1"/>
    <col min="5" max="5" width="11.42187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3" customWidth="1"/>
  </cols>
  <sheetData>
    <row r="1" spans="1:10" ht="12.75">
      <c r="A1" s="3"/>
      <c r="B1" s="4"/>
      <c r="C1" s="3"/>
      <c r="E1" s="189" t="s">
        <v>469</v>
      </c>
      <c r="F1" s="3"/>
      <c r="G1" s="4"/>
      <c r="H1" s="3"/>
      <c r="J1" s="189" t="s">
        <v>470</v>
      </c>
    </row>
    <row r="2" spans="1:10" ht="12.75">
      <c r="A2" s="3"/>
      <c r="B2" s="4"/>
      <c r="C2" s="3"/>
      <c r="E2" s="189"/>
      <c r="F2" s="3"/>
      <c r="G2" s="4"/>
      <c r="H2" s="3"/>
      <c r="J2" s="189"/>
    </row>
    <row r="3" spans="1:10" ht="12.75">
      <c r="A3" s="625" t="s">
        <v>606</v>
      </c>
      <c r="B3" s="625"/>
      <c r="C3" s="625"/>
      <c r="D3" s="625"/>
      <c r="E3" s="625"/>
      <c r="F3" s="625" t="s">
        <v>606</v>
      </c>
      <c r="G3" s="625"/>
      <c r="H3" s="625"/>
      <c r="I3" s="625"/>
      <c r="J3" s="625"/>
    </row>
    <row r="4" spans="1:10" ht="12.75">
      <c r="A4" s="3"/>
      <c r="B4" s="4"/>
      <c r="C4" s="3"/>
      <c r="E4" s="189"/>
      <c r="F4" s="3"/>
      <c r="G4" s="4"/>
      <c r="H4" s="3"/>
      <c r="J4" s="189"/>
    </row>
    <row r="5" spans="1:10" ht="51" customHeight="1">
      <c r="A5" s="618" t="s">
        <v>288</v>
      </c>
      <c r="B5" s="618"/>
      <c r="C5" s="618"/>
      <c r="D5" s="618"/>
      <c r="E5" s="618"/>
      <c r="F5" s="618" t="s">
        <v>287</v>
      </c>
      <c r="G5" s="618"/>
      <c r="H5" s="618"/>
      <c r="I5" s="618"/>
      <c r="J5" s="618"/>
    </row>
    <row r="6" spans="1:10" ht="17.25" customHeight="1">
      <c r="A6" s="7"/>
      <c r="B6" s="6"/>
      <c r="C6" s="5"/>
      <c r="D6" s="8"/>
      <c r="E6" s="9" t="s">
        <v>771</v>
      </c>
      <c r="F6" s="7"/>
      <c r="G6" s="6"/>
      <c r="H6" s="5"/>
      <c r="I6" s="8"/>
      <c r="J6" s="9" t="s">
        <v>190</v>
      </c>
    </row>
    <row r="7" spans="1:10" ht="57" customHeight="1">
      <c r="A7" s="10" t="s">
        <v>191</v>
      </c>
      <c r="B7" s="11" t="s">
        <v>192</v>
      </c>
      <c r="C7" s="10" t="s">
        <v>193</v>
      </c>
      <c r="D7" s="10" t="s">
        <v>471</v>
      </c>
      <c r="E7" s="10" t="s">
        <v>613</v>
      </c>
      <c r="F7" s="10" t="s">
        <v>191</v>
      </c>
      <c r="G7" s="11" t="s">
        <v>192</v>
      </c>
      <c r="H7" s="10" t="s">
        <v>193</v>
      </c>
      <c r="I7" s="10" t="s">
        <v>471</v>
      </c>
      <c r="J7" s="10" t="s">
        <v>195</v>
      </c>
    </row>
    <row r="8" spans="1:10" ht="12.75">
      <c r="A8" s="10">
        <v>1</v>
      </c>
      <c r="B8" s="11">
        <v>2</v>
      </c>
      <c r="C8" s="11">
        <v>4</v>
      </c>
      <c r="D8" s="11">
        <v>5</v>
      </c>
      <c r="E8" s="11">
        <v>7</v>
      </c>
      <c r="F8" s="10">
        <v>1</v>
      </c>
      <c r="G8" s="11">
        <v>2</v>
      </c>
      <c r="H8" s="11">
        <v>4</v>
      </c>
      <c r="I8" s="11">
        <v>5</v>
      </c>
      <c r="J8" s="11">
        <v>7</v>
      </c>
    </row>
    <row r="9" spans="1:147" s="520" customFormat="1" ht="15.75">
      <c r="A9" s="519" t="s">
        <v>472</v>
      </c>
      <c r="B9" s="520">
        <f>B10+B11+B14+B19+B21+B23+B30</f>
        <v>55211790</v>
      </c>
      <c r="C9" s="520">
        <f>C10+C11+C14+C19+C21+C23+C30</f>
        <v>3596404</v>
      </c>
      <c r="D9" s="521">
        <f aca="true" t="shared" si="0" ref="D9:D30">C9/B9*100</f>
        <v>6.513833367836834</v>
      </c>
      <c r="E9" s="520">
        <f aca="true" t="shared" si="1" ref="E9:E30">C9</f>
        <v>3596404</v>
      </c>
      <c r="F9" s="520" t="s">
        <v>472</v>
      </c>
      <c r="G9" s="520">
        <f>G10+G11+G14+G19+G21+G23+G30</f>
        <v>55212</v>
      </c>
      <c r="H9" s="520">
        <f>H10+H11+H14+H19+H21+H23+H30</f>
        <v>3596</v>
      </c>
      <c r="I9" s="521">
        <f aca="true" t="shared" si="2" ref="I9:I30">H9/G9*100</f>
        <v>6.513076867347678</v>
      </c>
      <c r="J9" s="520">
        <f aca="true" t="shared" si="3" ref="J9:J30">H9</f>
        <v>3596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12" t="s">
        <v>321</v>
      </c>
      <c r="B10" s="15">
        <v>48424727</v>
      </c>
      <c r="C10" s="15">
        <v>2928628</v>
      </c>
      <c r="D10" s="489">
        <f t="shared" si="0"/>
        <v>6.047794549259926</v>
      </c>
      <c r="E10" s="15">
        <f t="shared" si="1"/>
        <v>2928628</v>
      </c>
      <c r="F10" s="12" t="s">
        <v>321</v>
      </c>
      <c r="G10" s="15">
        <f>ROUND(B10/1000,0)</f>
        <v>48425</v>
      </c>
      <c r="H10" s="15">
        <f>ROUND(C10/1000,0)</f>
        <v>2929</v>
      </c>
      <c r="I10" s="489">
        <f t="shared" si="2"/>
        <v>6.048528652555498</v>
      </c>
      <c r="J10" s="15">
        <f t="shared" si="3"/>
        <v>2929</v>
      </c>
    </row>
    <row r="11" spans="1:10" ht="12.75">
      <c r="A11" s="12" t="s">
        <v>473</v>
      </c>
      <c r="B11" s="15">
        <f>SUM(B12:B13)</f>
        <v>223133</v>
      </c>
      <c r="C11" s="15">
        <f>SUM(C12:C13)</f>
        <v>14704</v>
      </c>
      <c r="D11" s="489">
        <f t="shared" si="0"/>
        <v>6.589791738559514</v>
      </c>
      <c r="E11" s="15">
        <f t="shared" si="1"/>
        <v>14704</v>
      </c>
      <c r="F11" s="12" t="s">
        <v>473</v>
      </c>
      <c r="G11" s="15">
        <f>SUM(G12:G13)</f>
        <v>223</v>
      </c>
      <c r="H11" s="15">
        <f>SUM(H12:H13)</f>
        <v>14</v>
      </c>
      <c r="I11" s="489">
        <f t="shared" si="2"/>
        <v>6.278026905829597</v>
      </c>
      <c r="J11" s="15">
        <f t="shared" si="3"/>
        <v>14</v>
      </c>
    </row>
    <row r="12" spans="1:147" s="33" customFormat="1" ht="12.75">
      <c r="A12" s="24" t="s">
        <v>474</v>
      </c>
      <c r="B12" s="21">
        <v>61755</v>
      </c>
      <c r="C12" s="21">
        <v>3212</v>
      </c>
      <c r="D12" s="325">
        <f t="shared" si="0"/>
        <v>5.201198283539794</v>
      </c>
      <c r="E12" s="21">
        <f t="shared" si="1"/>
        <v>3212</v>
      </c>
      <c r="F12" s="24" t="s">
        <v>474</v>
      </c>
      <c r="G12" s="21">
        <f>ROUND(B12/1000,0)</f>
        <v>62</v>
      </c>
      <c r="H12" s="21">
        <f>ROUND(C12/1000,0)</f>
        <v>3</v>
      </c>
      <c r="I12" s="325">
        <f t="shared" si="2"/>
        <v>4.838709677419355</v>
      </c>
      <c r="J12" s="21">
        <f t="shared" si="3"/>
        <v>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33" customFormat="1" ht="12.75">
      <c r="A13" s="24" t="s">
        <v>475</v>
      </c>
      <c r="B13" s="21">
        <v>161378</v>
      </c>
      <c r="C13" s="21">
        <v>11492</v>
      </c>
      <c r="D13" s="325">
        <f t="shared" si="0"/>
        <v>7.121168932568256</v>
      </c>
      <c r="E13" s="21">
        <f t="shared" si="1"/>
        <v>11492</v>
      </c>
      <c r="F13" s="24" t="s">
        <v>475</v>
      </c>
      <c r="G13" s="21">
        <f>ROUND(B13/1000,0)</f>
        <v>161</v>
      </c>
      <c r="H13" s="21">
        <f>ROUND(C13/1000,0)</f>
        <v>11</v>
      </c>
      <c r="I13" s="325">
        <f t="shared" si="2"/>
        <v>6.832298136645963</v>
      </c>
      <c r="J13" s="21">
        <f t="shared" si="3"/>
        <v>11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12" t="s">
        <v>322</v>
      </c>
      <c r="B14" s="15">
        <f>SUM(B15:B18)</f>
        <v>1105085</v>
      </c>
      <c r="C14" s="15">
        <f>SUM(C15:C18)</f>
        <v>348106</v>
      </c>
      <c r="D14" s="489">
        <f t="shared" si="0"/>
        <v>31.500382323531674</v>
      </c>
      <c r="E14" s="15">
        <f t="shared" si="1"/>
        <v>348106</v>
      </c>
      <c r="F14" s="12" t="s">
        <v>322</v>
      </c>
      <c r="G14" s="15">
        <f>SUM(G15:G18)</f>
        <v>1105</v>
      </c>
      <c r="H14" s="15">
        <f>SUM(H15:H18)</f>
        <v>348</v>
      </c>
      <c r="I14" s="489">
        <f t="shared" si="2"/>
        <v>31.493212669683256</v>
      </c>
      <c r="J14" s="15">
        <f t="shared" si="3"/>
        <v>348</v>
      </c>
    </row>
    <row r="15" spans="1:147" s="33" customFormat="1" ht="24">
      <c r="A15" s="25" t="s">
        <v>476</v>
      </c>
      <c r="B15" s="21">
        <v>167030</v>
      </c>
      <c r="C15" s="21">
        <v>4408</v>
      </c>
      <c r="D15" s="325">
        <f t="shared" si="0"/>
        <v>2.6390468778063823</v>
      </c>
      <c r="E15" s="21">
        <f t="shared" si="1"/>
        <v>4408</v>
      </c>
      <c r="F15" s="25" t="s">
        <v>476</v>
      </c>
      <c r="G15" s="21">
        <f aca="true" t="shared" si="4" ref="G15:H18">ROUND(B15/1000,0)</f>
        <v>167</v>
      </c>
      <c r="H15" s="21">
        <f t="shared" si="4"/>
        <v>4</v>
      </c>
      <c r="I15" s="325">
        <f t="shared" si="2"/>
        <v>2.3952095808383236</v>
      </c>
      <c r="J15" s="21">
        <f t="shared" si="3"/>
        <v>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33" customFormat="1" ht="24">
      <c r="A16" s="25" t="s">
        <v>477</v>
      </c>
      <c r="B16" s="21">
        <v>265000</v>
      </c>
      <c r="C16" s="21">
        <v>0</v>
      </c>
      <c r="D16" s="325">
        <f t="shared" si="0"/>
        <v>0</v>
      </c>
      <c r="E16" s="21">
        <f t="shared" si="1"/>
        <v>0</v>
      </c>
      <c r="F16" s="25" t="s">
        <v>477</v>
      </c>
      <c r="G16" s="21">
        <f t="shared" si="4"/>
        <v>265</v>
      </c>
      <c r="H16" s="103">
        <f t="shared" si="4"/>
        <v>0</v>
      </c>
      <c r="I16" s="325">
        <f t="shared" si="2"/>
        <v>0</v>
      </c>
      <c r="J16" s="21">
        <f t="shared" si="3"/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33" customFormat="1" ht="12.75">
      <c r="A17" s="24" t="s">
        <v>478</v>
      </c>
      <c r="B17" s="21">
        <v>530000</v>
      </c>
      <c r="C17" s="21">
        <v>331698</v>
      </c>
      <c r="D17" s="325">
        <f t="shared" si="0"/>
        <v>62.58452830188679</v>
      </c>
      <c r="E17" s="21">
        <f t="shared" si="1"/>
        <v>331698</v>
      </c>
      <c r="F17" s="24" t="s">
        <v>478</v>
      </c>
      <c r="G17" s="21">
        <f t="shared" si="4"/>
        <v>530</v>
      </c>
      <c r="H17" s="21">
        <f t="shared" si="4"/>
        <v>332</v>
      </c>
      <c r="I17" s="325">
        <f t="shared" si="2"/>
        <v>62.64150943396226</v>
      </c>
      <c r="J17" s="21">
        <f t="shared" si="3"/>
        <v>332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33" customFormat="1" ht="24">
      <c r="A18" s="25" t="s">
        <v>479</v>
      </c>
      <c r="B18" s="21">
        <v>143055</v>
      </c>
      <c r="C18" s="21">
        <v>12000</v>
      </c>
      <c r="D18" s="325">
        <f t="shared" si="0"/>
        <v>8.388382090804235</v>
      </c>
      <c r="E18" s="21">
        <f t="shared" si="1"/>
        <v>12000</v>
      </c>
      <c r="F18" s="25" t="s">
        <v>479</v>
      </c>
      <c r="G18" s="21">
        <f t="shared" si="4"/>
        <v>143</v>
      </c>
      <c r="H18" s="21">
        <f t="shared" si="4"/>
        <v>12</v>
      </c>
      <c r="I18" s="325">
        <f t="shared" si="2"/>
        <v>8.391608391608392</v>
      </c>
      <c r="J18" s="21">
        <f t="shared" si="3"/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12" t="s">
        <v>333</v>
      </c>
      <c r="B19" s="15">
        <f>SUM(B20)</f>
        <v>347522</v>
      </c>
      <c r="C19" s="15">
        <f>SUM(C20)</f>
        <v>15390</v>
      </c>
      <c r="D19" s="489">
        <f t="shared" si="0"/>
        <v>4.428496613164059</v>
      </c>
      <c r="E19" s="15">
        <f t="shared" si="1"/>
        <v>15390</v>
      </c>
      <c r="F19" s="12" t="s">
        <v>333</v>
      </c>
      <c r="G19" s="15">
        <f>SUM(G20)</f>
        <v>348</v>
      </c>
      <c r="H19" s="128">
        <f>SUM(H20)</f>
        <v>15</v>
      </c>
      <c r="I19" s="489">
        <f t="shared" si="2"/>
        <v>4.310344827586207</v>
      </c>
      <c r="J19" s="15">
        <f t="shared" si="3"/>
        <v>15</v>
      </c>
    </row>
    <row r="20" spans="1:147" s="33" customFormat="1" ht="12.75">
      <c r="A20" s="24" t="s">
        <v>480</v>
      </c>
      <c r="B20" s="21">
        <v>347522</v>
      </c>
      <c r="C20" s="21">
        <v>15390</v>
      </c>
      <c r="D20" s="325">
        <f t="shared" si="0"/>
        <v>4.428496613164059</v>
      </c>
      <c r="E20" s="21">
        <f t="shared" si="1"/>
        <v>15390</v>
      </c>
      <c r="F20" s="24" t="s">
        <v>480</v>
      </c>
      <c r="G20" s="21">
        <f>ROUND(B20/1000,0)</f>
        <v>348</v>
      </c>
      <c r="H20" s="103">
        <f>ROUND(C20/1000,0)</f>
        <v>15</v>
      </c>
      <c r="I20" s="325">
        <f t="shared" si="2"/>
        <v>4.310344827586207</v>
      </c>
      <c r="J20" s="21">
        <f t="shared" si="3"/>
        <v>15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12" t="s">
        <v>328</v>
      </c>
      <c r="B21" s="15">
        <f>SUM(B22)</f>
        <v>275000</v>
      </c>
      <c r="C21" s="15">
        <f>SUM(C22)</f>
        <v>0</v>
      </c>
      <c r="D21" s="489">
        <f t="shared" si="0"/>
        <v>0</v>
      </c>
      <c r="E21" s="15">
        <f t="shared" si="1"/>
        <v>0</v>
      </c>
      <c r="F21" s="12" t="s">
        <v>328</v>
      </c>
      <c r="G21" s="15">
        <f>SUM(G22)</f>
        <v>275</v>
      </c>
      <c r="H21" s="128">
        <f>SUM(H22)</f>
        <v>0</v>
      </c>
      <c r="I21" s="489">
        <f t="shared" si="2"/>
        <v>0</v>
      </c>
      <c r="J21" s="15">
        <f t="shared" si="3"/>
        <v>0</v>
      </c>
    </row>
    <row r="22" spans="1:147" s="33" customFormat="1" ht="36">
      <c r="A22" s="25" t="s">
        <v>481</v>
      </c>
      <c r="B22" s="21">
        <v>275000</v>
      </c>
      <c r="C22" s="21">
        <v>0</v>
      </c>
      <c r="D22" s="325">
        <f t="shared" si="0"/>
        <v>0</v>
      </c>
      <c r="E22" s="21">
        <f t="shared" si="1"/>
        <v>0</v>
      </c>
      <c r="F22" s="25" t="s">
        <v>481</v>
      </c>
      <c r="G22" s="21">
        <f>ROUND(B22/1000,0)</f>
        <v>275</v>
      </c>
      <c r="H22" s="103">
        <f>ROUND(C22/1000,0)</f>
        <v>0</v>
      </c>
      <c r="I22" s="325">
        <f t="shared" si="2"/>
        <v>0</v>
      </c>
      <c r="J22" s="21">
        <f t="shared" si="3"/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12" t="s">
        <v>325</v>
      </c>
      <c r="B23" s="15">
        <f>SUM(B24:B29)</f>
        <v>3192416</v>
      </c>
      <c r="C23" s="15">
        <f>SUM(C24:C29)</f>
        <v>198579</v>
      </c>
      <c r="D23" s="489">
        <f t="shared" si="0"/>
        <v>6.220335946192476</v>
      </c>
      <c r="E23" s="15">
        <f t="shared" si="1"/>
        <v>198579</v>
      </c>
      <c r="F23" s="12" t="s">
        <v>325</v>
      </c>
      <c r="G23" s="15">
        <f>SUM(G24:G29)</f>
        <v>3192</v>
      </c>
      <c r="H23" s="15">
        <f>SUM(H24:H29)</f>
        <v>199</v>
      </c>
      <c r="I23" s="489">
        <f t="shared" si="2"/>
        <v>6.234335839598997</v>
      </c>
      <c r="J23" s="15">
        <f t="shared" si="3"/>
        <v>199</v>
      </c>
    </row>
    <row r="24" spans="1:147" s="33" customFormat="1" ht="12.75">
      <c r="A24" s="24" t="s">
        <v>482</v>
      </c>
      <c r="B24" s="21">
        <v>1190814</v>
      </c>
      <c r="C24" s="21">
        <v>100183</v>
      </c>
      <c r="D24" s="325">
        <f t="shared" si="0"/>
        <v>8.412984731452603</v>
      </c>
      <c r="E24" s="21">
        <f t="shared" si="1"/>
        <v>100183</v>
      </c>
      <c r="F24" s="24" t="s">
        <v>482</v>
      </c>
      <c r="G24" s="21">
        <f aca="true" t="shared" si="5" ref="G24:H30">ROUND(B24/1000,0)</f>
        <v>1191</v>
      </c>
      <c r="H24" s="21">
        <f t="shared" si="5"/>
        <v>100</v>
      </c>
      <c r="I24" s="325">
        <f t="shared" si="2"/>
        <v>8.39630562552477</v>
      </c>
      <c r="J24" s="21">
        <f t="shared" si="3"/>
        <v>100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33" customFormat="1" ht="24">
      <c r="A25" s="25" t="s">
        <v>483</v>
      </c>
      <c r="B25" s="21">
        <v>919056</v>
      </c>
      <c r="C25" s="21">
        <v>33999</v>
      </c>
      <c r="D25" s="325">
        <f t="shared" si="0"/>
        <v>3.6993393220870114</v>
      </c>
      <c r="E25" s="21">
        <f t="shared" si="1"/>
        <v>33999</v>
      </c>
      <c r="F25" s="25" t="s">
        <v>483</v>
      </c>
      <c r="G25" s="21">
        <f t="shared" si="5"/>
        <v>919</v>
      </c>
      <c r="H25" s="21">
        <f t="shared" si="5"/>
        <v>34</v>
      </c>
      <c r="I25" s="325">
        <f t="shared" si="2"/>
        <v>3.6996735582154514</v>
      </c>
      <c r="J25" s="21">
        <f t="shared" si="3"/>
        <v>34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33" customFormat="1" ht="24">
      <c r="A26" s="25" t="s">
        <v>484</v>
      </c>
      <c r="B26" s="21">
        <v>150000</v>
      </c>
      <c r="C26" s="21"/>
      <c r="D26" s="325">
        <f t="shared" si="0"/>
        <v>0</v>
      </c>
      <c r="E26" s="21">
        <f t="shared" si="1"/>
        <v>0</v>
      </c>
      <c r="F26" s="25" t="s">
        <v>484</v>
      </c>
      <c r="G26" s="21">
        <f t="shared" si="5"/>
        <v>150</v>
      </c>
      <c r="H26" s="103">
        <f t="shared" si="5"/>
        <v>0</v>
      </c>
      <c r="I26" s="325">
        <f t="shared" si="2"/>
        <v>0</v>
      </c>
      <c r="J26" s="21">
        <f t="shared" si="3"/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33" customFormat="1" ht="60">
      <c r="A27" s="25" t="s">
        <v>485</v>
      </c>
      <c r="B27" s="21">
        <v>225466</v>
      </c>
      <c r="C27" s="21">
        <v>11779</v>
      </c>
      <c r="D27" s="325">
        <f t="shared" si="0"/>
        <v>5.224291023923785</v>
      </c>
      <c r="E27" s="21">
        <f t="shared" si="1"/>
        <v>11779</v>
      </c>
      <c r="F27" s="25" t="s">
        <v>485</v>
      </c>
      <c r="G27" s="21">
        <f t="shared" si="5"/>
        <v>225</v>
      </c>
      <c r="H27" s="21">
        <f t="shared" si="5"/>
        <v>12</v>
      </c>
      <c r="I27" s="325">
        <f t="shared" si="2"/>
        <v>5.333333333333334</v>
      </c>
      <c r="J27" s="21">
        <f t="shared" si="3"/>
        <v>12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33" customFormat="1" ht="36">
      <c r="A28" s="25" t="s">
        <v>486</v>
      </c>
      <c r="B28" s="21">
        <v>141288</v>
      </c>
      <c r="C28" s="21">
        <v>10854</v>
      </c>
      <c r="D28" s="325">
        <f t="shared" si="0"/>
        <v>7.68218107694921</v>
      </c>
      <c r="E28" s="21">
        <f t="shared" si="1"/>
        <v>10854</v>
      </c>
      <c r="F28" s="25" t="s">
        <v>486</v>
      </c>
      <c r="G28" s="21">
        <f t="shared" si="5"/>
        <v>141</v>
      </c>
      <c r="H28" s="21">
        <f t="shared" si="5"/>
        <v>11</v>
      </c>
      <c r="I28" s="325">
        <f t="shared" si="2"/>
        <v>7.801418439716312</v>
      </c>
      <c r="J28" s="21">
        <f t="shared" si="3"/>
        <v>11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33" customFormat="1" ht="24">
      <c r="A29" s="25" t="s">
        <v>487</v>
      </c>
      <c r="B29" s="21">
        <v>565792</v>
      </c>
      <c r="C29" s="21">
        <v>41764</v>
      </c>
      <c r="D29" s="325">
        <f t="shared" si="0"/>
        <v>7.381511226740568</v>
      </c>
      <c r="E29" s="21">
        <f t="shared" si="1"/>
        <v>41764</v>
      </c>
      <c r="F29" s="25" t="s">
        <v>487</v>
      </c>
      <c r="G29" s="21">
        <f t="shared" si="5"/>
        <v>566</v>
      </c>
      <c r="H29" s="21">
        <f t="shared" si="5"/>
        <v>42</v>
      </c>
      <c r="I29" s="325">
        <f t="shared" si="2"/>
        <v>7.420494699646643</v>
      </c>
      <c r="J29" s="21">
        <f t="shared" si="3"/>
        <v>42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12" t="s">
        <v>340</v>
      </c>
      <c r="B30" s="15">
        <v>1643907</v>
      </c>
      <c r="C30" s="15">
        <v>90997</v>
      </c>
      <c r="D30" s="489">
        <f t="shared" si="0"/>
        <v>5.535410458134189</v>
      </c>
      <c r="E30" s="15">
        <f t="shared" si="1"/>
        <v>90997</v>
      </c>
      <c r="F30" s="12" t="s">
        <v>340</v>
      </c>
      <c r="G30" s="15">
        <f t="shared" si="5"/>
        <v>1644</v>
      </c>
      <c r="H30" s="15">
        <f t="shared" si="5"/>
        <v>91</v>
      </c>
      <c r="I30" s="489">
        <f t="shared" si="2"/>
        <v>5.535279805352798</v>
      </c>
      <c r="J30" s="15">
        <f t="shared" si="3"/>
        <v>91</v>
      </c>
    </row>
    <row r="31" spans="1:147" s="43" customFormat="1" ht="17.25" customHeight="1">
      <c r="A31" s="45"/>
      <c r="B31" s="42"/>
      <c r="E31"/>
      <c r="F31" s="45"/>
      <c r="G31" s="4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43" customFormat="1" ht="17.25" customHeight="1">
      <c r="A32" s="45"/>
      <c r="B32" s="42"/>
      <c r="E32"/>
      <c r="F32" s="45"/>
      <c r="G32" s="4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9" ht="17.25" customHeight="1">
      <c r="A33" s="46"/>
      <c r="B33" s="4"/>
      <c r="C33" s="3"/>
      <c r="D33" s="3"/>
      <c r="F33" s="46"/>
      <c r="G33" s="4"/>
      <c r="H33" s="3"/>
      <c r="I33" s="3"/>
    </row>
    <row r="34" spans="1:10" ht="17.25" customHeight="1">
      <c r="A34" s="63" t="s">
        <v>408</v>
      </c>
      <c r="B34" s="3"/>
      <c r="C34" s="3"/>
      <c r="D34" s="3"/>
      <c r="E34" s="3"/>
      <c r="F34" s="63" t="s">
        <v>488</v>
      </c>
      <c r="G34" s="3"/>
      <c r="H34" s="3"/>
      <c r="I34" s="3"/>
      <c r="J34" s="3"/>
    </row>
    <row r="36" spans="1:9" ht="17.25" customHeight="1">
      <c r="A36" s="47"/>
      <c r="B36" s="6"/>
      <c r="C36" s="48"/>
      <c r="D36" s="48"/>
      <c r="F36" s="47"/>
      <c r="G36" s="6"/>
      <c r="H36" s="48"/>
      <c r="I36" s="48"/>
    </row>
    <row r="37" spans="1:9" ht="17.25" customHeight="1">
      <c r="A37" s="33"/>
      <c r="B37" s="4"/>
      <c r="C37" s="3"/>
      <c r="D37" s="3"/>
      <c r="F37" s="33"/>
      <c r="G37" s="4"/>
      <c r="H37" s="3"/>
      <c r="I37" s="3"/>
    </row>
    <row r="38" spans="1:9" ht="12.75">
      <c r="A38" s="33"/>
      <c r="B38" s="4"/>
      <c r="C38" s="8"/>
      <c r="D38" s="8"/>
      <c r="F38" s="8" t="s">
        <v>560</v>
      </c>
      <c r="G38" s="4"/>
      <c r="H38" s="8"/>
      <c r="I38" s="8"/>
    </row>
    <row r="39" spans="2:9" ht="12.75">
      <c r="B39" s="4"/>
      <c r="C39" s="3"/>
      <c r="D39" s="3"/>
      <c r="F39" s="8" t="s">
        <v>743</v>
      </c>
      <c r="G39" s="4"/>
      <c r="H39" s="3"/>
      <c r="I39" s="3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4">
    <mergeCell ref="A5:E5"/>
    <mergeCell ref="F5:J5"/>
    <mergeCell ref="A3:E3"/>
    <mergeCell ref="F3:J3"/>
  </mergeCells>
  <printOptions/>
  <pageMargins left="1.23" right="0.19" top="0.45" bottom="0.42" header="0.17" footer="0.16"/>
  <pageSetup firstPageNumber="59" useFirstPageNumber="1" horizontalDpi="300" verticalDpi="300" orientation="portrait" paperSize="9" r:id="rId1"/>
  <headerFooter alignWithMargins="0">
    <oddFooter>&amp;R&amp;8&amp;P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1">
      <selection activeCell="A1" sqref="A1"/>
    </sheetView>
  </sheetViews>
  <sheetFormatPr defaultColWidth="9.140625" defaultRowHeight="17.25" customHeight="1"/>
  <cols>
    <col min="1" max="1" width="19.57421875" style="0" customWidth="1"/>
    <col min="2" max="2" width="33.7109375" style="0" bestFit="1" customWidth="1"/>
    <col min="3" max="3" width="14.00390625" style="0" customWidth="1"/>
    <col min="4" max="4" width="17.140625" style="0" bestFit="1" customWidth="1"/>
    <col min="5" max="5" width="13.140625" style="0" bestFit="1" customWidth="1"/>
    <col min="6" max="6" width="14.00390625" style="0" customWidth="1"/>
    <col min="7" max="7" width="11.7109375" style="0" bestFit="1" customWidth="1"/>
    <col min="8" max="8" width="11.8515625" style="0" customWidth="1"/>
  </cols>
  <sheetData>
    <row r="1" ht="17.25" customHeight="1">
      <c r="G1" s="186" t="s">
        <v>489</v>
      </c>
    </row>
    <row r="2" spans="1:7" ht="17.25" customHeight="1">
      <c r="A2" s="617" t="s">
        <v>606</v>
      </c>
      <c r="B2" s="617"/>
      <c r="C2" s="617"/>
      <c r="D2" s="617"/>
      <c r="E2" s="617"/>
      <c r="F2" s="617"/>
      <c r="G2" s="617"/>
    </row>
    <row r="3" spans="2:8" ht="17.25" customHeight="1">
      <c r="B3" s="50"/>
      <c r="C3" s="50"/>
      <c r="D3" s="50"/>
      <c r="E3" s="50"/>
      <c r="F3" s="50"/>
      <c r="G3" s="50"/>
      <c r="H3" s="50"/>
    </row>
    <row r="4" spans="1:8" ht="17.25" customHeight="1">
      <c r="A4" s="653" t="s">
        <v>490</v>
      </c>
      <c r="B4" s="653"/>
      <c r="C4" s="653"/>
      <c r="D4" s="653"/>
      <c r="E4" s="653"/>
      <c r="F4" s="653"/>
      <c r="G4" s="653"/>
      <c r="H4" s="522"/>
    </row>
    <row r="5" spans="2:8" ht="17.25" customHeight="1">
      <c r="B5" s="652" t="s">
        <v>491</v>
      </c>
      <c r="C5" s="652"/>
      <c r="D5" s="652"/>
      <c r="E5" s="652"/>
      <c r="F5" s="652"/>
      <c r="G5" s="652"/>
      <c r="H5" s="652"/>
    </row>
    <row r="6" spans="2:7" ht="17.25" customHeight="1">
      <c r="B6" s="50"/>
      <c r="C6" s="50"/>
      <c r="D6" s="50"/>
      <c r="E6" s="50"/>
      <c r="F6" s="50"/>
      <c r="G6" s="186" t="s">
        <v>190</v>
      </c>
    </row>
    <row r="7" spans="1:7" ht="36" customHeight="1">
      <c r="A7" s="115" t="s">
        <v>492</v>
      </c>
      <c r="B7" s="523" t="s">
        <v>493</v>
      </c>
      <c r="C7" s="115" t="s">
        <v>192</v>
      </c>
      <c r="D7" s="115" t="s">
        <v>494</v>
      </c>
      <c r="E7" s="115" t="s">
        <v>747</v>
      </c>
      <c r="F7" s="115" t="s">
        <v>495</v>
      </c>
      <c r="G7" s="10" t="s">
        <v>613</v>
      </c>
    </row>
    <row r="8" spans="1:7" ht="17.25" customHeight="1">
      <c r="A8" s="524">
        <v>1</v>
      </c>
      <c r="B8" s="525">
        <v>2</v>
      </c>
      <c r="C8" s="526">
        <v>3</v>
      </c>
      <c r="D8" s="524">
        <v>4</v>
      </c>
      <c r="E8" s="524">
        <v>5</v>
      </c>
      <c r="F8" s="524">
        <v>6</v>
      </c>
      <c r="G8" s="526">
        <v>7</v>
      </c>
    </row>
    <row r="9" spans="1:7" ht="17.25" customHeight="1">
      <c r="A9" s="527" t="s">
        <v>327</v>
      </c>
      <c r="B9" s="528"/>
      <c r="C9" s="104"/>
      <c r="D9" s="104"/>
      <c r="E9" s="104"/>
      <c r="F9" s="104"/>
      <c r="G9" s="104"/>
    </row>
    <row r="10" spans="1:7" ht="17.25" customHeight="1">
      <c r="A10" s="102" t="s">
        <v>496</v>
      </c>
      <c r="B10" s="529" t="s">
        <v>497</v>
      </c>
      <c r="C10" s="104"/>
      <c r="D10" s="104"/>
      <c r="E10" s="104"/>
      <c r="F10" s="104"/>
      <c r="G10" s="104"/>
    </row>
    <row r="11" spans="1:7" ht="17.25" customHeight="1">
      <c r="A11" s="104"/>
      <c r="B11" s="530" t="s">
        <v>358</v>
      </c>
      <c r="C11" s="104">
        <f>SUM(C12:C13)</f>
        <v>17949</v>
      </c>
      <c r="D11" s="104"/>
      <c r="E11" s="104"/>
      <c r="F11" s="104"/>
      <c r="G11" s="104"/>
    </row>
    <row r="12" spans="1:7" ht="17.25" customHeight="1">
      <c r="A12" s="104"/>
      <c r="B12" s="531" t="s">
        <v>498</v>
      </c>
      <c r="C12" s="104">
        <f>ROUND(13545760/1000,0)</f>
        <v>13546</v>
      </c>
      <c r="D12" s="104"/>
      <c r="E12" s="104"/>
      <c r="F12" s="104"/>
      <c r="G12" s="104"/>
    </row>
    <row r="13" spans="1:7" ht="17.25" customHeight="1">
      <c r="A13" s="104"/>
      <c r="B13" s="531" t="s">
        <v>271</v>
      </c>
      <c r="C13" s="104">
        <f>C17</f>
        <v>4403</v>
      </c>
      <c r="D13" s="104"/>
      <c r="E13" s="104"/>
      <c r="F13" s="104"/>
      <c r="G13" s="104"/>
    </row>
    <row r="14" spans="1:7" ht="17.25" customHeight="1">
      <c r="A14" s="104"/>
      <c r="B14" s="532" t="s">
        <v>449</v>
      </c>
      <c r="C14" s="104">
        <f>SUM(C15,C17)</f>
        <v>17949</v>
      </c>
      <c r="D14" s="104"/>
      <c r="E14" s="104"/>
      <c r="F14" s="104"/>
      <c r="G14" s="104"/>
    </row>
    <row r="15" spans="1:7" ht="17.25" customHeight="1">
      <c r="A15" s="104"/>
      <c r="B15" s="531" t="s">
        <v>498</v>
      </c>
      <c r="C15" s="104">
        <f>C16</f>
        <v>13546</v>
      </c>
      <c r="D15" s="104"/>
      <c r="E15" s="104"/>
      <c r="F15" s="104"/>
      <c r="G15" s="104"/>
    </row>
    <row r="16" spans="1:7" ht="17.25" customHeight="1">
      <c r="A16" s="104"/>
      <c r="B16" s="528" t="s">
        <v>499</v>
      </c>
      <c r="C16" s="104">
        <f>ROUND(13545760/1000,0)</f>
        <v>13546</v>
      </c>
      <c r="D16" s="104"/>
      <c r="E16" s="104"/>
      <c r="F16" s="104"/>
      <c r="G16" s="104"/>
    </row>
    <row r="17" spans="1:7" ht="17.25" customHeight="1">
      <c r="A17" s="104"/>
      <c r="B17" s="531" t="s">
        <v>271</v>
      </c>
      <c r="C17" s="104">
        <f>C18</f>
        <v>4403</v>
      </c>
      <c r="D17" s="104"/>
      <c r="E17" s="104"/>
      <c r="F17" s="104"/>
      <c r="G17" s="104"/>
    </row>
    <row r="18" spans="1:8" ht="17.25" customHeight="1">
      <c r="A18" s="104"/>
      <c r="B18" s="528" t="s">
        <v>499</v>
      </c>
      <c r="C18" s="104">
        <v>4403</v>
      </c>
      <c r="D18" s="104"/>
      <c r="E18" s="104"/>
      <c r="F18" s="104"/>
      <c r="G18" s="104"/>
      <c r="H18" s="94"/>
    </row>
    <row r="19" ht="17.25" customHeight="1">
      <c r="H19" s="94"/>
    </row>
    <row r="20" s="315" customFormat="1" ht="17.25" customHeight="1"/>
    <row r="21" spans="3:6" ht="17.25" customHeight="1">
      <c r="C21" s="94"/>
      <c r="D21" s="94"/>
      <c r="E21" s="94"/>
      <c r="F21" s="94"/>
    </row>
    <row r="28" spans="1:7" ht="17.25" customHeight="1">
      <c r="A28" s="66" t="s">
        <v>295</v>
      </c>
      <c r="B28" s="50"/>
      <c r="C28" s="50"/>
      <c r="D28" s="50"/>
      <c r="E28" s="50"/>
      <c r="F28" s="67" t="s">
        <v>296</v>
      </c>
      <c r="G28" s="3"/>
    </row>
    <row r="35" ht="17.25" customHeight="1">
      <c r="A35" t="s">
        <v>684</v>
      </c>
    </row>
    <row r="36" ht="17.25" customHeight="1">
      <c r="A36" t="s">
        <v>562</v>
      </c>
    </row>
  </sheetData>
  <mergeCells count="3">
    <mergeCell ref="A2:G2"/>
    <mergeCell ref="B5:H5"/>
    <mergeCell ref="A4:G4"/>
  </mergeCells>
  <printOptions/>
  <pageMargins left="0.43" right="0.27" top="1.32" bottom="0.53" header="0.5" footer="0.5"/>
  <pageSetup firstPageNumber="60" useFirstPageNumber="1" horizontalDpi="600" verticalDpi="600" orientation="portrait" paperSize="9" scale="79" r:id="rId1"/>
  <headerFooter alignWithMargins="0">
    <oddFooter>&amp;R&amp;9&amp;P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102"/>
  <sheetViews>
    <sheetView zoomScale="75" zoomScaleNormal="75" workbookViewId="0" topLeftCell="A1">
      <selection activeCell="A21" sqref="A21"/>
    </sheetView>
  </sheetViews>
  <sheetFormatPr defaultColWidth="9.140625" defaultRowHeight="17.25" customHeight="1"/>
  <cols>
    <col min="1" max="1" width="22.28125" style="0" customWidth="1"/>
    <col min="2" max="2" width="43.57421875" style="0" customWidth="1"/>
    <col min="3" max="3" width="11.7109375" style="0" bestFit="1" customWidth="1"/>
    <col min="4" max="4" width="13.28125" style="0" customWidth="1"/>
    <col min="5" max="5" width="13.140625" style="0" bestFit="1" customWidth="1"/>
    <col min="6" max="6" width="13.421875" style="0" customWidth="1"/>
    <col min="7" max="7" width="11.7109375" style="0" bestFit="1" customWidth="1"/>
    <col min="8" max="8" width="11.8515625" style="0" customWidth="1"/>
  </cols>
  <sheetData>
    <row r="1" ht="17.25" customHeight="1">
      <c r="G1" s="186" t="s">
        <v>500</v>
      </c>
    </row>
    <row r="2" spans="1:7" ht="17.25" customHeight="1">
      <c r="A2" s="617" t="s">
        <v>685</v>
      </c>
      <c r="B2" s="617"/>
      <c r="C2" s="617"/>
      <c r="D2" s="617"/>
      <c r="E2" s="617"/>
      <c r="F2" s="617"/>
      <c r="G2" s="617"/>
    </row>
    <row r="3" spans="2:8" ht="17.25" customHeight="1">
      <c r="B3" s="50"/>
      <c r="C3" s="50"/>
      <c r="D3" s="50"/>
      <c r="E3" s="50"/>
      <c r="F3" s="50"/>
      <c r="G3" s="50"/>
      <c r="H3" s="50"/>
    </row>
    <row r="4" spans="1:8" ht="21" customHeight="1">
      <c r="A4" s="653" t="s">
        <v>501</v>
      </c>
      <c r="B4" s="653"/>
      <c r="C4" s="653"/>
      <c r="D4" s="653"/>
      <c r="E4" s="653"/>
      <c r="F4" s="653"/>
      <c r="G4" s="653"/>
      <c r="H4" s="522"/>
    </row>
    <row r="5" spans="1:8" ht="26.25" customHeight="1">
      <c r="A5" s="653" t="s">
        <v>301</v>
      </c>
      <c r="B5" s="653"/>
      <c r="C5" s="653"/>
      <c r="D5" s="653"/>
      <c r="E5" s="653"/>
      <c r="F5" s="653"/>
      <c r="G5" s="653"/>
      <c r="H5" s="522"/>
    </row>
    <row r="6" spans="2:7" ht="17.25" customHeight="1">
      <c r="B6" s="50"/>
      <c r="C6" s="50"/>
      <c r="D6" s="50"/>
      <c r="E6" s="50"/>
      <c r="F6" s="50"/>
      <c r="G6" s="186" t="s">
        <v>190</v>
      </c>
    </row>
    <row r="7" spans="1:7" ht="41.25" customHeight="1">
      <c r="A7" s="115" t="s">
        <v>492</v>
      </c>
      <c r="B7" s="523" t="s">
        <v>493</v>
      </c>
      <c r="C7" s="115" t="s">
        <v>192</v>
      </c>
      <c r="D7" s="115" t="s">
        <v>494</v>
      </c>
      <c r="E7" s="115" t="s">
        <v>747</v>
      </c>
      <c r="F7" s="115" t="s">
        <v>495</v>
      </c>
      <c r="G7" s="10" t="s">
        <v>440</v>
      </c>
    </row>
    <row r="8" spans="1:7" ht="15">
      <c r="A8" s="526">
        <v>1</v>
      </c>
      <c r="B8" s="525">
        <v>2</v>
      </c>
      <c r="C8" s="526">
        <v>3</v>
      </c>
      <c r="D8" s="524">
        <v>4</v>
      </c>
      <c r="E8" s="524">
        <v>5</v>
      </c>
      <c r="F8" s="524">
        <v>6</v>
      </c>
      <c r="G8" s="526">
        <v>7</v>
      </c>
    </row>
    <row r="9" spans="1:7" ht="17.25" customHeight="1">
      <c r="A9" s="104"/>
      <c r="B9" s="533" t="s">
        <v>502</v>
      </c>
      <c r="C9" s="104">
        <f>SUM(C10,C13)</f>
        <v>12319</v>
      </c>
      <c r="D9" s="104">
        <v>0</v>
      </c>
      <c r="E9" s="104"/>
      <c r="F9" s="104"/>
      <c r="G9" s="104"/>
    </row>
    <row r="10" spans="1:7" ht="17.25" customHeight="1">
      <c r="A10" s="104"/>
      <c r="B10" s="531" t="s">
        <v>503</v>
      </c>
      <c r="C10" s="104">
        <f>SUM(C11:C12)</f>
        <v>9629</v>
      </c>
      <c r="D10" s="104">
        <v>0</v>
      </c>
      <c r="E10" s="104"/>
      <c r="F10" s="104"/>
      <c r="G10" s="104"/>
    </row>
    <row r="11" spans="1:7" ht="17.25" customHeight="1">
      <c r="A11" s="104"/>
      <c r="B11" s="528" t="s">
        <v>499</v>
      </c>
      <c r="C11" s="104">
        <f>SUM(C28)</f>
        <v>191</v>
      </c>
      <c r="D11" s="104">
        <v>0</v>
      </c>
      <c r="E11" s="104"/>
      <c r="F11" s="104"/>
      <c r="G11" s="104"/>
    </row>
    <row r="12" spans="1:7" ht="17.25" customHeight="1">
      <c r="A12" s="104"/>
      <c r="B12" s="528" t="s">
        <v>314</v>
      </c>
      <c r="C12" s="104">
        <f>SUM(C20,C24,C33,C40,C48,C52,C57,C62,C67,C72,C77)</f>
        <v>9438</v>
      </c>
      <c r="D12" s="104">
        <v>0</v>
      </c>
      <c r="E12" s="104"/>
      <c r="F12" s="104"/>
      <c r="G12" s="104"/>
    </row>
    <row r="13" spans="1:7" ht="17.25" customHeight="1">
      <c r="A13" s="104"/>
      <c r="B13" s="531" t="s">
        <v>271</v>
      </c>
      <c r="C13" s="104">
        <f>C15</f>
        <v>2690</v>
      </c>
      <c r="D13" s="104">
        <v>0</v>
      </c>
      <c r="E13" s="104"/>
      <c r="F13" s="104"/>
      <c r="G13" s="104"/>
    </row>
    <row r="14" spans="1:7" ht="17.25" customHeight="1" hidden="1">
      <c r="A14" s="104"/>
      <c r="B14" s="528" t="s">
        <v>499</v>
      </c>
      <c r="C14" s="104"/>
      <c r="D14" s="104">
        <v>0</v>
      </c>
      <c r="E14" s="104"/>
      <c r="F14" s="104"/>
      <c r="G14" s="104"/>
    </row>
    <row r="15" spans="1:7" ht="17.25" customHeight="1">
      <c r="A15" s="104"/>
      <c r="B15" s="528" t="s">
        <v>314</v>
      </c>
      <c r="C15" s="104">
        <f>SUM(C35,C42)</f>
        <v>2690</v>
      </c>
      <c r="D15" s="104">
        <v>0</v>
      </c>
      <c r="E15" s="104"/>
      <c r="F15" s="104"/>
      <c r="G15" s="104"/>
    </row>
    <row r="16" spans="1:8" ht="17.25" customHeight="1">
      <c r="A16" s="534" t="s">
        <v>328</v>
      </c>
      <c r="B16" s="104"/>
      <c r="C16" s="104"/>
      <c r="D16" s="104"/>
      <c r="E16" s="104"/>
      <c r="F16" s="104"/>
      <c r="G16" s="104"/>
      <c r="H16" s="94"/>
    </row>
    <row r="17" spans="1:8" ht="31.5" customHeight="1">
      <c r="A17" s="535" t="s">
        <v>504</v>
      </c>
      <c r="B17" s="654" t="s">
        <v>505</v>
      </c>
      <c r="C17" s="654"/>
      <c r="D17" s="654"/>
      <c r="E17" s="654"/>
      <c r="F17" s="654"/>
      <c r="G17" s="654"/>
      <c r="H17" s="536"/>
    </row>
    <row r="18" spans="1:7" ht="17.25" customHeight="1">
      <c r="A18" s="104"/>
      <c r="B18" s="537" t="s">
        <v>416</v>
      </c>
      <c r="C18" s="104">
        <f>C19</f>
        <v>1879</v>
      </c>
      <c r="D18" s="104">
        <f>D19</f>
        <v>0</v>
      </c>
      <c r="E18" s="104"/>
      <c r="F18" s="104"/>
      <c r="G18" s="104"/>
    </row>
    <row r="19" spans="1:8" ht="17.25" customHeight="1">
      <c r="A19" s="104"/>
      <c r="B19" s="531" t="s">
        <v>498</v>
      </c>
      <c r="C19">
        <f>C20</f>
        <v>1879</v>
      </c>
      <c r="D19">
        <f>D20</f>
        <v>0</v>
      </c>
      <c r="H19" s="94"/>
    </row>
    <row r="20" spans="1:8" ht="17.25" customHeight="1">
      <c r="A20" s="104"/>
      <c r="B20" s="104" t="s">
        <v>314</v>
      </c>
      <c r="C20" s="104">
        <f>ROUND(1879198/1000,0)</f>
        <v>1879</v>
      </c>
      <c r="D20" s="104">
        <v>0</v>
      </c>
      <c r="E20" s="104"/>
      <c r="F20" s="104"/>
      <c r="G20" s="104"/>
      <c r="H20" s="94"/>
    </row>
    <row r="21" spans="1:9" ht="17.25" customHeight="1">
      <c r="A21" s="535" t="s">
        <v>506</v>
      </c>
      <c r="B21" s="654" t="s">
        <v>507</v>
      </c>
      <c r="C21" s="654"/>
      <c r="D21" s="654"/>
      <c r="E21" s="654"/>
      <c r="F21" s="654"/>
      <c r="G21" s="654"/>
      <c r="H21" s="538"/>
      <c r="I21" s="94"/>
    </row>
    <row r="22" spans="1:7" ht="17.25" customHeight="1">
      <c r="A22" s="104"/>
      <c r="B22" s="537" t="s">
        <v>416</v>
      </c>
      <c r="C22" s="104">
        <f>C23</f>
        <v>2320</v>
      </c>
      <c r="D22" s="104">
        <f>D23</f>
        <v>0</v>
      </c>
      <c r="E22" s="104"/>
      <c r="F22" s="104"/>
      <c r="G22" s="104"/>
    </row>
    <row r="23" spans="1:7" ht="17.25" customHeight="1">
      <c r="A23" s="104"/>
      <c r="B23" s="531" t="s">
        <v>498</v>
      </c>
      <c r="C23" s="104">
        <f>C24</f>
        <v>2320</v>
      </c>
      <c r="D23" s="104">
        <f>D24</f>
        <v>0</v>
      </c>
      <c r="E23" s="104"/>
      <c r="F23" s="104"/>
      <c r="G23" s="104"/>
    </row>
    <row r="24" spans="1:7" ht="17.25" customHeight="1">
      <c r="A24" s="104"/>
      <c r="B24" s="104" t="s">
        <v>314</v>
      </c>
      <c r="C24" s="104">
        <v>2320</v>
      </c>
      <c r="D24" s="104">
        <v>0</v>
      </c>
      <c r="E24" s="104"/>
      <c r="F24" s="104"/>
      <c r="G24" s="104"/>
    </row>
    <row r="25" spans="1:8" ht="48.75" customHeight="1">
      <c r="A25" s="539" t="s">
        <v>508</v>
      </c>
      <c r="B25" s="654" t="s">
        <v>509</v>
      </c>
      <c r="C25" s="654"/>
      <c r="D25" s="654"/>
      <c r="E25" s="654"/>
      <c r="F25" s="654"/>
      <c r="G25" s="654"/>
      <c r="H25" s="538"/>
    </row>
    <row r="26" spans="1:7" ht="17.25" customHeight="1">
      <c r="A26" s="104"/>
      <c r="B26" s="537" t="s">
        <v>416</v>
      </c>
      <c r="C26" s="104">
        <f>C27</f>
        <v>191</v>
      </c>
      <c r="D26" s="104">
        <f>D27</f>
        <v>0</v>
      </c>
      <c r="E26" s="104"/>
      <c r="F26" s="104"/>
      <c r="G26" s="104"/>
    </row>
    <row r="27" spans="1:7" ht="17.25" customHeight="1">
      <c r="A27" s="104"/>
      <c r="B27" s="531" t="s">
        <v>498</v>
      </c>
      <c r="C27" s="104">
        <f>C28</f>
        <v>191</v>
      </c>
      <c r="D27" s="104">
        <f>D28</f>
        <v>0</v>
      </c>
      <c r="E27" s="104"/>
      <c r="F27" s="104"/>
      <c r="G27" s="104"/>
    </row>
    <row r="28" spans="1:7" ht="17.25" customHeight="1">
      <c r="A28" s="104"/>
      <c r="B28" s="104" t="s">
        <v>499</v>
      </c>
      <c r="C28" s="104">
        <v>191</v>
      </c>
      <c r="D28" s="104">
        <v>0</v>
      </c>
      <c r="E28" s="104"/>
      <c r="F28" s="104"/>
      <c r="G28" s="104"/>
    </row>
    <row r="29" spans="1:7" ht="17.25" customHeight="1" hidden="1">
      <c r="A29" s="104"/>
      <c r="B29" s="104" t="s">
        <v>314</v>
      </c>
      <c r="C29" s="104"/>
      <c r="D29" s="104"/>
      <c r="E29" s="104"/>
      <c r="F29" s="104"/>
      <c r="G29" s="104"/>
    </row>
    <row r="30" spans="1:9" ht="17.25" customHeight="1">
      <c r="A30" s="104"/>
      <c r="B30" s="654" t="s">
        <v>510</v>
      </c>
      <c r="C30" s="654"/>
      <c r="D30" s="654"/>
      <c r="E30" s="654"/>
      <c r="F30" s="654"/>
      <c r="G30" s="654"/>
      <c r="H30" s="538"/>
      <c r="I30" s="94"/>
    </row>
    <row r="31" spans="1:7" ht="17.25" customHeight="1">
      <c r="A31" s="104"/>
      <c r="B31" s="537" t="s">
        <v>416</v>
      </c>
      <c r="C31" s="104">
        <f>SUM(C32,C34)</f>
        <v>4690</v>
      </c>
      <c r="D31" s="104">
        <f>SUM(D32,D34)</f>
        <v>0</v>
      </c>
      <c r="E31" s="104"/>
      <c r="F31" s="104"/>
      <c r="G31" s="104"/>
    </row>
    <row r="32" spans="1:7" ht="17.25" customHeight="1">
      <c r="A32" s="104"/>
      <c r="B32" s="531" t="s">
        <v>498</v>
      </c>
      <c r="C32" s="104">
        <f>C33</f>
        <v>2250</v>
      </c>
      <c r="D32" s="104">
        <f>D33</f>
        <v>0</v>
      </c>
      <c r="E32" s="104"/>
      <c r="F32" s="104"/>
      <c r="G32" s="104"/>
    </row>
    <row r="33" spans="1:7" ht="17.25" customHeight="1">
      <c r="A33" s="104"/>
      <c r="B33" s="104" t="s">
        <v>314</v>
      </c>
      <c r="C33" s="104">
        <v>2250</v>
      </c>
      <c r="D33" s="104">
        <v>0</v>
      </c>
      <c r="E33" s="104"/>
      <c r="F33" s="104"/>
      <c r="G33" s="104"/>
    </row>
    <row r="34" spans="1:7" ht="17.25" customHeight="1">
      <c r="A34" s="104"/>
      <c r="B34" s="531" t="s">
        <v>271</v>
      </c>
      <c r="C34" s="104">
        <f>C35</f>
        <v>2440</v>
      </c>
      <c r="D34" s="104">
        <f>D35</f>
        <v>0</v>
      </c>
      <c r="E34" s="104"/>
      <c r="F34" s="104"/>
      <c r="G34" s="104"/>
    </row>
    <row r="35" spans="1:7" ht="17.25" customHeight="1">
      <c r="A35" s="104"/>
      <c r="B35" s="104" t="s">
        <v>314</v>
      </c>
      <c r="C35" s="104">
        <v>2440</v>
      </c>
      <c r="D35" s="104">
        <v>0</v>
      </c>
      <c r="E35" s="104"/>
      <c r="F35" s="104"/>
      <c r="G35" s="104"/>
    </row>
    <row r="36" spans="1:7" ht="17.25" customHeight="1">
      <c r="A36" s="534" t="s">
        <v>331</v>
      </c>
      <c r="B36" s="104"/>
      <c r="C36" s="104"/>
      <c r="D36" s="104"/>
      <c r="E36" s="104"/>
      <c r="F36" s="104"/>
      <c r="G36" s="104"/>
    </row>
    <row r="37" spans="1:8" ht="17.25" customHeight="1">
      <c r="A37" s="104" t="s">
        <v>511</v>
      </c>
      <c r="B37" s="654" t="s">
        <v>512</v>
      </c>
      <c r="C37" s="654"/>
      <c r="D37" s="654"/>
      <c r="E37" s="654"/>
      <c r="F37" s="654"/>
      <c r="G37" s="654"/>
      <c r="H37" s="538"/>
    </row>
    <row r="38" spans="1:7" ht="17.25" customHeight="1">
      <c r="A38" s="104"/>
      <c r="B38" s="537" t="s">
        <v>416</v>
      </c>
      <c r="C38" s="104">
        <f>SUM(C39,C41)</f>
        <v>300</v>
      </c>
      <c r="D38" s="104">
        <f>SUM(D39,D41)</f>
        <v>0</v>
      </c>
      <c r="E38" s="104"/>
      <c r="F38" s="104"/>
      <c r="G38" s="104"/>
    </row>
    <row r="39" spans="1:7" ht="17.25" customHeight="1">
      <c r="A39" s="104"/>
      <c r="B39" s="531" t="s">
        <v>503</v>
      </c>
      <c r="C39" s="104">
        <f>C40</f>
        <v>50</v>
      </c>
      <c r="D39" s="104">
        <f>D40</f>
        <v>0</v>
      </c>
      <c r="E39" s="104"/>
      <c r="F39" s="104"/>
      <c r="G39" s="104"/>
    </row>
    <row r="40" spans="1:7" ht="17.25" customHeight="1">
      <c r="A40" s="104"/>
      <c r="B40" s="540" t="s">
        <v>314</v>
      </c>
      <c r="C40" s="104">
        <v>50</v>
      </c>
      <c r="D40" s="104">
        <v>0</v>
      </c>
      <c r="E40" s="104"/>
      <c r="F40" s="104"/>
      <c r="G40" s="104"/>
    </row>
    <row r="41" spans="1:7" ht="17.25" customHeight="1">
      <c r="A41" s="104"/>
      <c r="B41" s="531" t="s">
        <v>271</v>
      </c>
      <c r="C41" s="104">
        <f>C42</f>
        <v>250</v>
      </c>
      <c r="D41" s="104">
        <f>D42</f>
        <v>0</v>
      </c>
      <c r="E41" s="104"/>
      <c r="F41" s="104"/>
      <c r="G41" s="104"/>
    </row>
    <row r="42" spans="1:7" ht="17.25" customHeight="1">
      <c r="A42" s="104"/>
      <c r="B42" s="540" t="s">
        <v>314</v>
      </c>
      <c r="C42" s="104">
        <v>250</v>
      </c>
      <c r="D42" s="104">
        <v>0</v>
      </c>
      <c r="E42" s="104"/>
      <c r="F42" s="104"/>
      <c r="G42" s="104"/>
    </row>
    <row r="43" spans="1:7" ht="17.25" customHeight="1">
      <c r="A43" s="655" t="s">
        <v>513</v>
      </c>
      <c r="B43" s="655"/>
      <c r="C43" s="655"/>
      <c r="D43" s="655"/>
      <c r="E43" s="655"/>
      <c r="F43" s="655"/>
      <c r="G43" s="656"/>
    </row>
    <row r="44" spans="1:3" ht="17.25" customHeight="1">
      <c r="A44" s="104" t="s">
        <v>514</v>
      </c>
      <c r="B44" s="654" t="s">
        <v>515</v>
      </c>
      <c r="C44" s="654"/>
    </row>
    <row r="45" spans="1:7" ht="17.25" customHeight="1">
      <c r="A45" s="104"/>
      <c r="B45" s="537" t="s">
        <v>416</v>
      </c>
      <c r="C45" s="104">
        <f>C46</f>
        <v>531</v>
      </c>
      <c r="D45" s="104">
        <f>D46</f>
        <v>0</v>
      </c>
      <c r="E45" s="104"/>
      <c r="F45" s="104"/>
      <c r="G45" s="104"/>
    </row>
    <row r="46" spans="1:7" ht="17.25" customHeight="1">
      <c r="A46" s="104"/>
      <c r="B46" s="531" t="s">
        <v>503</v>
      </c>
      <c r="C46" s="104">
        <f>C48</f>
        <v>531</v>
      </c>
      <c r="D46" s="104">
        <f>D48</f>
        <v>0</v>
      </c>
      <c r="E46" s="104"/>
      <c r="F46" s="104"/>
      <c r="G46" s="104"/>
    </row>
    <row r="47" spans="1:7" ht="17.25" customHeight="1" hidden="1">
      <c r="A47" s="104"/>
      <c r="B47" s="104" t="s">
        <v>499</v>
      </c>
      <c r="C47" s="104"/>
      <c r="D47" s="104"/>
      <c r="E47" s="104"/>
      <c r="F47" s="104"/>
      <c r="G47" s="104"/>
    </row>
    <row r="48" spans="1:7" ht="17.25" customHeight="1">
      <c r="A48" s="104"/>
      <c r="B48" s="104" t="s">
        <v>314</v>
      </c>
      <c r="C48" s="104">
        <v>531</v>
      </c>
      <c r="D48" s="104">
        <v>0</v>
      </c>
      <c r="E48" s="104"/>
      <c r="F48" s="104"/>
      <c r="G48" s="104"/>
    </row>
    <row r="49" spans="1:7" ht="17.25" customHeight="1">
      <c r="A49" s="104" t="s">
        <v>516</v>
      </c>
      <c r="B49" s="541" t="s">
        <v>517</v>
      </c>
      <c r="C49" s="104"/>
      <c r="D49" s="104"/>
      <c r="E49" s="104"/>
      <c r="F49" s="104"/>
      <c r="G49" s="104"/>
    </row>
    <row r="50" spans="1:7" ht="17.25" customHeight="1">
      <c r="A50" s="104"/>
      <c r="B50" s="104" t="s">
        <v>416</v>
      </c>
      <c r="C50" s="104">
        <f>C51</f>
        <v>177</v>
      </c>
      <c r="D50" s="104">
        <f>D51</f>
        <v>0</v>
      </c>
      <c r="E50" s="104"/>
      <c r="F50" s="104"/>
      <c r="G50" s="104"/>
    </row>
    <row r="51" spans="1:7" ht="17.25" customHeight="1">
      <c r="A51" s="104"/>
      <c r="B51" s="104" t="s">
        <v>503</v>
      </c>
      <c r="C51" s="104">
        <f>C52</f>
        <v>177</v>
      </c>
      <c r="D51" s="104">
        <f>D52</f>
        <v>0</v>
      </c>
      <c r="E51" s="104"/>
      <c r="F51" s="104"/>
      <c r="G51" s="104"/>
    </row>
    <row r="52" spans="1:7" ht="17.25" customHeight="1">
      <c r="A52" s="104"/>
      <c r="B52" s="104" t="s">
        <v>314</v>
      </c>
      <c r="C52" s="104">
        <v>177</v>
      </c>
      <c r="D52" s="104">
        <v>0</v>
      </c>
      <c r="E52" s="104"/>
      <c r="F52" s="104"/>
      <c r="G52" s="104"/>
    </row>
    <row r="53" spans="1:7" ht="17.25" customHeight="1">
      <c r="A53" s="104" t="s">
        <v>518</v>
      </c>
      <c r="B53" s="541" t="s">
        <v>519</v>
      </c>
      <c r="C53" s="104"/>
      <c r="D53" s="104"/>
      <c r="E53" s="104"/>
      <c r="F53" s="104"/>
      <c r="G53" s="104"/>
    </row>
    <row r="54" spans="1:7" ht="17.25" customHeight="1">
      <c r="A54" s="104"/>
      <c r="B54" s="104" t="s">
        <v>416</v>
      </c>
      <c r="C54" s="104">
        <f>C55</f>
        <v>1180</v>
      </c>
      <c r="D54" s="104">
        <f>D55</f>
        <v>0</v>
      </c>
      <c r="E54" s="104"/>
      <c r="F54" s="104"/>
      <c r="G54" s="104"/>
    </row>
    <row r="55" spans="1:7" ht="17.25" customHeight="1">
      <c r="A55" s="104"/>
      <c r="B55" s="104" t="s">
        <v>503</v>
      </c>
      <c r="C55" s="104">
        <f>C56</f>
        <v>1180</v>
      </c>
      <c r="D55" s="104">
        <f>D56+D57</f>
        <v>0</v>
      </c>
      <c r="E55" s="104"/>
      <c r="F55" s="104"/>
      <c r="G55" s="104"/>
    </row>
    <row r="56" spans="1:7" ht="17.25" customHeight="1" hidden="1">
      <c r="A56" s="104"/>
      <c r="B56" s="104" t="s">
        <v>499</v>
      </c>
      <c r="C56" s="104">
        <f>C57</f>
        <v>1180</v>
      </c>
      <c r="D56" s="104"/>
      <c r="E56" s="104"/>
      <c r="F56" s="104"/>
      <c r="G56" s="104"/>
    </row>
    <row r="57" spans="1:7" ht="17.25" customHeight="1">
      <c r="A57" s="104"/>
      <c r="B57" s="104" t="s">
        <v>314</v>
      </c>
      <c r="C57" s="104">
        <v>1180</v>
      </c>
      <c r="D57" s="104">
        <v>0</v>
      </c>
      <c r="E57" s="104"/>
      <c r="F57" s="104"/>
      <c r="G57" s="104"/>
    </row>
    <row r="58" spans="1:7" ht="17.25" customHeight="1">
      <c r="A58" s="104" t="s">
        <v>520</v>
      </c>
      <c r="B58" s="541" t="s">
        <v>521</v>
      </c>
      <c r="C58" s="104"/>
      <c r="D58" s="104"/>
      <c r="E58" s="104"/>
      <c r="F58" s="104"/>
      <c r="G58" s="104"/>
    </row>
    <row r="59" spans="1:7" ht="17.25" customHeight="1">
      <c r="A59" s="104"/>
      <c r="B59" s="104" t="s">
        <v>416</v>
      </c>
      <c r="C59" s="104">
        <f>C60</f>
        <v>83</v>
      </c>
      <c r="D59" s="104">
        <f>D60</f>
        <v>0</v>
      </c>
      <c r="E59" s="104"/>
      <c r="F59" s="104"/>
      <c r="G59" s="104"/>
    </row>
    <row r="60" spans="1:7" ht="17.25" customHeight="1">
      <c r="A60" s="104"/>
      <c r="B60" s="104" t="s">
        <v>503</v>
      </c>
      <c r="C60" s="104">
        <f>C62</f>
        <v>83</v>
      </c>
      <c r="D60" s="104">
        <f>D62</f>
        <v>0</v>
      </c>
      <c r="E60" s="104"/>
      <c r="F60" s="104"/>
      <c r="G60" s="104"/>
    </row>
    <row r="61" spans="1:7" ht="17.25" customHeight="1" hidden="1">
      <c r="A61" s="104"/>
      <c r="B61" s="104" t="s">
        <v>499</v>
      </c>
      <c r="C61" s="104"/>
      <c r="D61" s="104"/>
      <c r="E61" s="104"/>
      <c r="F61" s="104"/>
      <c r="G61" s="104"/>
    </row>
    <row r="62" spans="1:7" ht="17.25" customHeight="1">
      <c r="A62" s="104"/>
      <c r="B62" s="104" t="s">
        <v>314</v>
      </c>
      <c r="C62" s="104">
        <v>83</v>
      </c>
      <c r="D62" s="104">
        <v>0</v>
      </c>
      <c r="E62" s="104"/>
      <c r="F62" s="104"/>
      <c r="G62" s="104"/>
    </row>
    <row r="63" spans="1:7" ht="17.25" customHeight="1">
      <c r="A63" s="104" t="s">
        <v>520</v>
      </c>
      <c r="B63" s="541" t="s">
        <v>522</v>
      </c>
      <c r="C63" s="104"/>
      <c r="D63" s="104"/>
      <c r="E63" s="104"/>
      <c r="F63" s="104"/>
      <c r="G63" s="104"/>
    </row>
    <row r="64" spans="1:7" ht="17.25" customHeight="1">
      <c r="A64" s="104"/>
      <c r="B64" s="104" t="s">
        <v>416</v>
      </c>
      <c r="C64" s="104">
        <f>C65</f>
        <v>354</v>
      </c>
      <c r="D64" s="104">
        <f>D65</f>
        <v>0</v>
      </c>
      <c r="E64" s="104"/>
      <c r="F64" s="104"/>
      <c r="G64" s="104"/>
    </row>
    <row r="65" spans="1:7" ht="17.25" customHeight="1">
      <c r="A65" s="104"/>
      <c r="B65" s="104" t="s">
        <v>503</v>
      </c>
      <c r="C65" s="104">
        <f>C67</f>
        <v>354</v>
      </c>
      <c r="D65" s="104">
        <f>D67</f>
        <v>0</v>
      </c>
      <c r="E65" s="104"/>
      <c r="F65" s="104"/>
      <c r="G65" s="104"/>
    </row>
    <row r="66" spans="1:7" ht="17.25" customHeight="1" hidden="1">
      <c r="A66" s="104"/>
      <c r="B66" s="104" t="s">
        <v>499</v>
      </c>
      <c r="C66" s="104"/>
      <c r="D66" s="104"/>
      <c r="E66" s="104"/>
      <c r="F66" s="104"/>
      <c r="G66" s="104"/>
    </row>
    <row r="67" spans="1:7" ht="17.25" customHeight="1">
      <c r="A67" s="104"/>
      <c r="B67" s="104" t="s">
        <v>314</v>
      </c>
      <c r="C67" s="104">
        <v>354</v>
      </c>
      <c r="D67" s="104">
        <v>0</v>
      </c>
      <c r="E67" s="104"/>
      <c r="F67" s="104"/>
      <c r="G67" s="104"/>
    </row>
    <row r="68" spans="1:7" ht="17.25" customHeight="1">
      <c r="A68" s="104" t="s">
        <v>523</v>
      </c>
      <c r="B68" s="541" t="s">
        <v>524</v>
      </c>
      <c r="C68" s="104"/>
      <c r="D68" s="104"/>
      <c r="E68" s="104"/>
      <c r="F68" s="104"/>
      <c r="G68" s="104"/>
    </row>
    <row r="69" spans="1:7" ht="17.25" customHeight="1">
      <c r="A69" s="104"/>
      <c r="B69" s="104" t="s">
        <v>416</v>
      </c>
      <c r="C69" s="104">
        <f>C70</f>
        <v>260</v>
      </c>
      <c r="D69" s="104">
        <f>D70</f>
        <v>0</v>
      </c>
      <c r="E69" s="104"/>
      <c r="F69" s="104"/>
      <c r="G69" s="104"/>
    </row>
    <row r="70" spans="1:7" ht="17.25" customHeight="1">
      <c r="A70" s="104"/>
      <c r="B70" s="104" t="s">
        <v>503</v>
      </c>
      <c r="C70" s="104">
        <f>C72</f>
        <v>260</v>
      </c>
      <c r="D70" s="104">
        <f>D72</f>
        <v>0</v>
      </c>
      <c r="E70" s="104"/>
      <c r="F70" s="104"/>
      <c r="G70" s="104"/>
    </row>
    <row r="71" spans="1:7" ht="17.25" customHeight="1" hidden="1">
      <c r="A71" s="104"/>
      <c r="B71" s="104" t="s">
        <v>499</v>
      </c>
      <c r="C71" s="104"/>
      <c r="D71" s="104"/>
      <c r="E71" s="104"/>
      <c r="F71" s="104"/>
      <c r="G71" s="104"/>
    </row>
    <row r="72" spans="1:7" ht="17.25" customHeight="1">
      <c r="A72" s="104"/>
      <c r="B72" s="104" t="s">
        <v>314</v>
      </c>
      <c r="C72" s="104">
        <v>260</v>
      </c>
      <c r="D72" s="104">
        <v>0</v>
      </c>
      <c r="E72" s="104"/>
      <c r="F72" s="104"/>
      <c r="G72" s="104"/>
    </row>
    <row r="73" spans="1:7" ht="17.25" customHeight="1">
      <c r="A73" s="104" t="s">
        <v>520</v>
      </c>
      <c r="B73" s="541" t="s">
        <v>525</v>
      </c>
      <c r="C73" s="104"/>
      <c r="D73" s="104"/>
      <c r="E73" s="104"/>
      <c r="F73" s="104"/>
      <c r="G73" s="104"/>
    </row>
    <row r="74" spans="1:7" ht="17.25" customHeight="1">
      <c r="A74" s="104"/>
      <c r="B74" s="104" t="s">
        <v>416</v>
      </c>
      <c r="C74" s="104">
        <f>C75</f>
        <v>354</v>
      </c>
      <c r="D74" s="104">
        <f>D75</f>
        <v>0</v>
      </c>
      <c r="E74" s="104"/>
      <c r="F74" s="104"/>
      <c r="G74" s="104"/>
    </row>
    <row r="75" spans="1:7" ht="17.25" customHeight="1">
      <c r="A75" s="104"/>
      <c r="B75" s="104" t="s">
        <v>503</v>
      </c>
      <c r="C75" s="104">
        <f>C77</f>
        <v>354</v>
      </c>
      <c r="D75" s="104">
        <f>D77</f>
        <v>0</v>
      </c>
      <c r="E75" s="104"/>
      <c r="F75" s="104"/>
      <c r="G75" s="104"/>
    </row>
    <row r="76" spans="1:7" ht="17.25" customHeight="1" hidden="1">
      <c r="A76" s="104"/>
      <c r="B76" s="104" t="s">
        <v>499</v>
      </c>
      <c r="C76" s="104"/>
      <c r="D76" s="104">
        <f>D78</f>
        <v>0</v>
      </c>
      <c r="E76" s="104"/>
      <c r="F76" s="104"/>
      <c r="G76" s="104"/>
    </row>
    <row r="77" spans="1:7" ht="17.25" customHeight="1">
      <c r="A77" s="104"/>
      <c r="B77" s="104" t="s">
        <v>314</v>
      </c>
      <c r="C77" s="104">
        <v>354</v>
      </c>
      <c r="D77" s="104">
        <f>D79</f>
        <v>0</v>
      </c>
      <c r="E77" s="104"/>
      <c r="F77" s="104"/>
      <c r="G77" s="104"/>
    </row>
    <row r="78" spans="1:7" ht="17.25" customHeight="1">
      <c r="A78" s="94"/>
      <c r="B78" s="94"/>
      <c r="C78" s="94"/>
      <c r="D78" s="94"/>
      <c r="E78" s="94"/>
      <c r="F78" s="94"/>
      <c r="G78" s="94"/>
    </row>
    <row r="79" spans="6:7" ht="17.25" customHeight="1">
      <c r="F79" s="94"/>
      <c r="G79" s="94"/>
    </row>
    <row r="80" spans="1:7" ht="17.25" customHeight="1">
      <c r="A80" s="94"/>
      <c r="B80" s="94"/>
      <c r="C80" s="94"/>
      <c r="D80" s="94"/>
      <c r="E80" s="94"/>
      <c r="F80" s="94"/>
      <c r="G80" s="94"/>
    </row>
    <row r="81" spans="1:7" ht="17.25" customHeight="1">
      <c r="A81" s="94"/>
      <c r="B81" s="94"/>
      <c r="C81" s="94"/>
      <c r="D81" s="94"/>
      <c r="E81" s="94"/>
      <c r="F81" s="94"/>
      <c r="G81" s="94"/>
    </row>
    <row r="85" spans="1:7" ht="17.25" customHeight="1">
      <c r="A85" s="63" t="s">
        <v>770</v>
      </c>
      <c r="B85" s="3"/>
      <c r="C85" s="3"/>
      <c r="D85" s="3"/>
      <c r="E85" s="3"/>
      <c r="F85" s="62" t="s">
        <v>296</v>
      </c>
      <c r="G85" s="3"/>
    </row>
    <row r="101" ht="17.25" customHeight="1">
      <c r="A101" t="s">
        <v>684</v>
      </c>
    </row>
    <row r="102" ht="17.25" customHeight="1">
      <c r="A102" t="s">
        <v>562</v>
      </c>
    </row>
  </sheetData>
  <mergeCells count="10">
    <mergeCell ref="B21:G21"/>
    <mergeCell ref="B44:C44"/>
    <mergeCell ref="B25:G25"/>
    <mergeCell ref="B30:G30"/>
    <mergeCell ref="B37:G37"/>
    <mergeCell ref="A43:G43"/>
    <mergeCell ref="A2:G2"/>
    <mergeCell ref="A4:G4"/>
    <mergeCell ref="A5:G5"/>
    <mergeCell ref="B17:G17"/>
  </mergeCells>
  <printOptions horizontalCentered="1"/>
  <pageMargins left="0.68" right="0.2755905511811024" top="0.7874015748031497" bottom="0.984251968503937" header="0.5118110236220472" footer="0.5118110236220472"/>
  <pageSetup firstPageNumber="61" useFirstPageNumber="1" horizontalDpi="600" verticalDpi="600" orientation="portrait" paperSize="9" scale="73" r:id="rId1"/>
  <headerFooter alignWithMargins="0">
    <oddFooter>&amp;R&amp;P</oddFooter>
  </headerFooter>
  <rowBreaks count="1" manualBreakCount="1">
    <brk id="52" max="6" man="1"/>
  </rowBreaks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bestFit="1" customWidth="1"/>
    <col min="2" max="2" width="8.8515625" style="0" bestFit="1" customWidth="1"/>
    <col min="4" max="4" width="8.57421875" style="0" bestFit="1" customWidth="1"/>
  </cols>
  <sheetData>
    <row r="1" spans="1:4" ht="12.75">
      <c r="A1" s="3"/>
      <c r="B1" s="4"/>
      <c r="C1" s="3"/>
      <c r="D1" s="189" t="s">
        <v>469</v>
      </c>
    </row>
    <row r="2" spans="1:4" ht="12.75">
      <c r="A2" s="3"/>
      <c r="B2" s="4"/>
      <c r="C2" s="3"/>
      <c r="D2" s="189"/>
    </row>
    <row r="3" spans="1:4" ht="12.75">
      <c r="A3" s="625" t="s">
        <v>606</v>
      </c>
      <c r="B3" s="625"/>
      <c r="C3" s="625"/>
      <c r="D3" s="625"/>
    </row>
    <row r="4" spans="1:4" ht="12.75">
      <c r="A4" s="3"/>
      <c r="B4" s="4"/>
      <c r="C4" s="3"/>
      <c r="D4" s="189"/>
    </row>
    <row r="5" spans="1:4" ht="15">
      <c r="A5" s="657" t="s">
        <v>526</v>
      </c>
      <c r="B5" s="657"/>
      <c r="C5" s="657"/>
      <c r="D5" s="657"/>
    </row>
    <row r="6" spans="1:4" ht="12.75">
      <c r="A6" s="658" t="s">
        <v>189</v>
      </c>
      <c r="B6" s="658"/>
      <c r="C6" s="658"/>
      <c r="D6" s="658"/>
    </row>
    <row r="7" spans="1:4" ht="12.75">
      <c r="A7" s="542"/>
      <c r="B7" s="542"/>
      <c r="C7" s="542"/>
      <c r="D7" s="542"/>
    </row>
    <row r="8" ht="12.75">
      <c r="D8" s="9" t="s">
        <v>190</v>
      </c>
    </row>
    <row r="9" spans="1:5" ht="63.75">
      <c r="A9" s="543" t="s">
        <v>191</v>
      </c>
      <c r="B9" s="114" t="s">
        <v>527</v>
      </c>
      <c r="C9" s="114" t="s">
        <v>528</v>
      </c>
      <c r="D9" s="114" t="s">
        <v>529</v>
      </c>
      <c r="E9" s="544"/>
    </row>
    <row r="10" spans="1:5" ht="12.75">
      <c r="A10" s="545">
        <v>1</v>
      </c>
      <c r="B10" s="545">
        <v>2</v>
      </c>
      <c r="C10" s="52">
        <v>3</v>
      </c>
      <c r="D10" s="52" t="s">
        <v>530</v>
      </c>
      <c r="E10" s="546"/>
    </row>
    <row r="11" spans="1:5" ht="15">
      <c r="A11" s="547" t="s">
        <v>531</v>
      </c>
      <c r="B11" s="548">
        <v>49536</v>
      </c>
      <c r="C11" s="548">
        <v>122171</v>
      </c>
      <c r="D11" s="548">
        <v>72635</v>
      </c>
      <c r="E11" s="549"/>
    </row>
    <row r="12" spans="1:5" ht="12.75">
      <c r="A12" s="122" t="s">
        <v>532</v>
      </c>
      <c r="B12" s="141">
        <v>47998</v>
      </c>
      <c r="C12" s="141">
        <v>120794</v>
      </c>
      <c r="D12" s="141">
        <v>72796</v>
      </c>
      <c r="E12" s="68"/>
    </row>
    <row r="13" spans="1:5" ht="12.75">
      <c r="A13" s="32" t="s">
        <v>533</v>
      </c>
      <c r="B13" s="128">
        <v>23184</v>
      </c>
      <c r="C13" s="128">
        <v>36584</v>
      </c>
      <c r="D13" s="128">
        <v>13400</v>
      </c>
      <c r="E13" s="470"/>
    </row>
    <row r="14" spans="1:5" ht="12.75">
      <c r="A14" s="23" t="s">
        <v>594</v>
      </c>
      <c r="B14" s="387">
        <v>21465</v>
      </c>
      <c r="C14" s="387">
        <v>35257</v>
      </c>
      <c r="D14" s="387">
        <v>13792</v>
      </c>
      <c r="E14" s="8"/>
    </row>
    <row r="15" spans="1:5" ht="12.75">
      <c r="A15" s="23" t="s">
        <v>534</v>
      </c>
      <c r="B15" s="387">
        <v>49</v>
      </c>
      <c r="C15" s="387">
        <v>65</v>
      </c>
      <c r="D15" s="387">
        <v>16</v>
      </c>
      <c r="E15" s="8"/>
    </row>
    <row r="16" spans="1:5" ht="12.75">
      <c r="A16" s="23" t="s">
        <v>535</v>
      </c>
      <c r="B16" s="387">
        <v>1079</v>
      </c>
      <c r="C16" s="387">
        <v>1240</v>
      </c>
      <c r="D16" s="387">
        <v>161</v>
      </c>
      <c r="E16" s="8"/>
    </row>
    <row r="17" spans="1:5" ht="12.75">
      <c r="A17" s="23" t="s">
        <v>536</v>
      </c>
      <c r="B17" s="387">
        <v>11</v>
      </c>
      <c r="C17" s="387">
        <v>18</v>
      </c>
      <c r="D17" s="387">
        <v>7</v>
      </c>
      <c r="E17" s="8"/>
    </row>
    <row r="18" spans="1:5" ht="12.75">
      <c r="A18" s="23" t="s">
        <v>537</v>
      </c>
      <c r="B18" s="387">
        <v>1</v>
      </c>
      <c r="C18" s="387">
        <v>1</v>
      </c>
      <c r="D18" s="387">
        <v>0</v>
      </c>
      <c r="E18" s="8"/>
    </row>
    <row r="19" spans="1:5" ht="12.75">
      <c r="A19" s="23" t="s">
        <v>538</v>
      </c>
      <c r="B19" s="387">
        <v>0</v>
      </c>
      <c r="C19" s="387">
        <v>0</v>
      </c>
      <c r="D19" s="387">
        <v>0</v>
      </c>
      <c r="E19" s="8"/>
    </row>
    <row r="20" spans="1:5" ht="12.75">
      <c r="A20" s="23" t="s">
        <v>539</v>
      </c>
      <c r="B20" s="387">
        <v>43</v>
      </c>
      <c r="C20" s="387">
        <v>3</v>
      </c>
      <c r="D20" s="387">
        <v>-40</v>
      </c>
      <c r="E20" s="8"/>
    </row>
    <row r="21" spans="1:5" ht="12.75">
      <c r="A21" s="23" t="s">
        <v>540</v>
      </c>
      <c r="B21" s="387">
        <v>536</v>
      </c>
      <c r="C21" s="387">
        <v>0</v>
      </c>
      <c r="D21" s="387">
        <v>-536</v>
      </c>
      <c r="E21" s="8"/>
    </row>
    <row r="22" spans="1:5" ht="12.75">
      <c r="A22" s="32" t="s">
        <v>541</v>
      </c>
      <c r="B22" s="128">
        <v>24814</v>
      </c>
      <c r="C22" s="128">
        <v>84210</v>
      </c>
      <c r="D22" s="128">
        <v>59396</v>
      </c>
      <c r="E22" s="470"/>
    </row>
    <row r="23" spans="1:5" ht="12.75">
      <c r="A23" s="23" t="s">
        <v>594</v>
      </c>
      <c r="B23" s="387">
        <v>24805</v>
      </c>
      <c r="C23" s="387">
        <v>45201</v>
      </c>
      <c r="D23" s="387">
        <v>20396</v>
      </c>
      <c r="E23" s="8"/>
    </row>
    <row r="24" spans="1:5" ht="12.75">
      <c r="A24" s="23" t="s">
        <v>534</v>
      </c>
      <c r="B24" s="387">
        <v>0</v>
      </c>
      <c r="C24" s="387">
        <v>4000</v>
      </c>
      <c r="D24" s="387">
        <v>4000</v>
      </c>
      <c r="E24" s="8"/>
    </row>
    <row r="25" spans="1:5" ht="12.75">
      <c r="A25" s="23" t="s">
        <v>535</v>
      </c>
      <c r="B25" s="387">
        <v>0</v>
      </c>
      <c r="C25" s="387">
        <v>13000</v>
      </c>
      <c r="D25" s="387">
        <v>13000</v>
      </c>
      <c r="E25" s="8"/>
    </row>
    <row r="26" spans="1:5" ht="12.75">
      <c r="A26" s="23" t="s">
        <v>542</v>
      </c>
      <c r="B26" s="387">
        <v>0</v>
      </c>
      <c r="C26" s="387">
        <v>0</v>
      </c>
      <c r="D26" s="387">
        <v>0</v>
      </c>
      <c r="E26" s="8"/>
    </row>
    <row r="27" spans="1:5" ht="12.75">
      <c r="A27" s="23" t="s">
        <v>536</v>
      </c>
      <c r="B27" s="387">
        <v>0</v>
      </c>
      <c r="C27" s="387">
        <v>0</v>
      </c>
      <c r="D27" s="387">
        <v>0</v>
      </c>
      <c r="E27" s="8"/>
    </row>
    <row r="28" spans="1:5" ht="12.75">
      <c r="A28" s="23" t="s">
        <v>543</v>
      </c>
      <c r="B28" s="387">
        <v>0</v>
      </c>
      <c r="C28" s="387">
        <v>5000</v>
      </c>
      <c r="D28" s="387">
        <v>5000</v>
      </c>
      <c r="E28" s="8"/>
    </row>
    <row r="29" spans="1:5" ht="12.75">
      <c r="A29" s="23" t="s">
        <v>538</v>
      </c>
      <c r="B29" s="387">
        <v>9</v>
      </c>
      <c r="C29" s="387">
        <v>3009</v>
      </c>
      <c r="D29" s="387">
        <v>3000</v>
      </c>
      <c r="E29" s="8"/>
    </row>
    <row r="30" spans="1:5" ht="12.75">
      <c r="A30" s="23" t="s">
        <v>539</v>
      </c>
      <c r="B30" s="387">
        <v>0</v>
      </c>
      <c r="C30" s="387">
        <v>10000</v>
      </c>
      <c r="D30" s="387">
        <v>10000</v>
      </c>
      <c r="E30" s="8"/>
    </row>
    <row r="31" spans="1:5" ht="12.75">
      <c r="A31" s="23" t="s">
        <v>537</v>
      </c>
      <c r="B31" s="387">
        <v>0</v>
      </c>
      <c r="C31" s="387">
        <v>0</v>
      </c>
      <c r="D31" s="387">
        <v>0</v>
      </c>
      <c r="E31" s="8"/>
    </row>
    <row r="32" spans="1:5" ht="12.75">
      <c r="A32" s="23" t="s">
        <v>544</v>
      </c>
      <c r="B32" s="387">
        <v>0</v>
      </c>
      <c r="C32" s="387">
        <v>0</v>
      </c>
      <c r="D32" s="387">
        <v>0</v>
      </c>
      <c r="E32" s="8"/>
    </row>
    <row r="33" spans="1:5" ht="12.75">
      <c r="A33" s="23" t="s">
        <v>545</v>
      </c>
      <c r="B33" s="387">
        <v>0</v>
      </c>
      <c r="C33" s="387">
        <v>4000</v>
      </c>
      <c r="D33" s="387">
        <v>4000</v>
      </c>
      <c r="E33" s="8"/>
    </row>
    <row r="34" spans="1:5" ht="12.75">
      <c r="A34" s="23" t="s">
        <v>540</v>
      </c>
      <c r="B34" s="387">
        <v>0</v>
      </c>
      <c r="C34" s="387">
        <v>0</v>
      </c>
      <c r="D34" s="387">
        <v>0</v>
      </c>
      <c r="E34" s="8"/>
    </row>
    <row r="35" spans="1:5" ht="12.75">
      <c r="A35" s="122" t="s">
        <v>546</v>
      </c>
      <c r="B35" s="141">
        <v>1538</v>
      </c>
      <c r="C35" s="141">
        <v>1377</v>
      </c>
      <c r="D35" s="141">
        <v>-161</v>
      </c>
      <c r="E35" s="68"/>
    </row>
    <row r="36" spans="1:5" ht="12.75">
      <c r="A36" s="32" t="s">
        <v>547</v>
      </c>
      <c r="B36" s="128">
        <v>1538</v>
      </c>
      <c r="C36" s="128">
        <v>1377</v>
      </c>
      <c r="D36" s="128">
        <v>-161</v>
      </c>
      <c r="E36" s="470"/>
    </row>
    <row r="37" spans="1:5" ht="12.75">
      <c r="A37" s="23" t="s">
        <v>548</v>
      </c>
      <c r="B37" s="387">
        <v>159</v>
      </c>
      <c r="C37" s="387">
        <v>118</v>
      </c>
      <c r="D37" s="387">
        <v>-41</v>
      </c>
      <c r="E37" s="8"/>
    </row>
    <row r="38" spans="1:5" ht="12.75">
      <c r="A38" s="23" t="s">
        <v>549</v>
      </c>
      <c r="B38" s="387">
        <v>731</v>
      </c>
      <c r="C38" s="387">
        <v>692</v>
      </c>
      <c r="D38" s="387">
        <v>-39</v>
      </c>
      <c r="E38" s="8"/>
    </row>
    <row r="39" spans="1:5" ht="12.75">
      <c r="A39" s="23" t="s">
        <v>550</v>
      </c>
      <c r="B39" s="387">
        <v>121</v>
      </c>
      <c r="C39" s="387">
        <v>121</v>
      </c>
      <c r="D39" s="387">
        <v>0</v>
      </c>
      <c r="E39" s="8"/>
    </row>
    <row r="40" spans="1:5" ht="12.75">
      <c r="A40" s="23" t="s">
        <v>551</v>
      </c>
      <c r="B40" s="387">
        <v>36</v>
      </c>
      <c r="C40" s="387">
        <v>37</v>
      </c>
      <c r="D40" s="387">
        <v>1</v>
      </c>
      <c r="E40" s="8"/>
    </row>
    <row r="41" spans="1:5" ht="12.75">
      <c r="A41" s="23" t="s">
        <v>552</v>
      </c>
      <c r="B41" s="387">
        <v>491</v>
      </c>
      <c r="C41" s="387">
        <v>409</v>
      </c>
      <c r="D41" s="387">
        <v>-82</v>
      </c>
      <c r="E41" s="8"/>
    </row>
    <row r="44" spans="1:5" ht="12.75">
      <c r="A44" s="3" t="s">
        <v>553</v>
      </c>
      <c r="B44" s="43"/>
      <c r="C44" s="43"/>
      <c r="D44" s="237" t="s">
        <v>296</v>
      </c>
      <c r="E44" s="3"/>
    </row>
    <row r="49" ht="12.75">
      <c r="A49" s="8" t="s">
        <v>560</v>
      </c>
    </row>
    <row r="50" ht="12.75">
      <c r="A50" s="8" t="s">
        <v>743</v>
      </c>
    </row>
  </sheetData>
  <mergeCells count="3">
    <mergeCell ref="A3:D3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8"/>
  <sheetViews>
    <sheetView workbookViewId="0" topLeftCell="A1">
      <selection activeCell="E10" sqref="E10"/>
    </sheetView>
  </sheetViews>
  <sheetFormatPr defaultColWidth="9.140625" defaultRowHeight="12.75"/>
  <cols>
    <col min="1" max="1" width="39.140625" style="3" customWidth="1"/>
    <col min="2" max="2" width="11.57421875" style="3" customWidth="1"/>
    <col min="3" max="3" width="9.7109375" style="3" customWidth="1"/>
    <col min="4" max="4" width="8.00390625" style="3" customWidth="1"/>
    <col min="5" max="5" width="8.8515625" style="3" customWidth="1"/>
    <col min="6" max="6" width="11.140625" style="3" customWidth="1"/>
    <col min="7" max="7" width="8.28125" style="3" customWidth="1"/>
    <col min="8" max="16384" width="9.140625" style="3" customWidth="1"/>
  </cols>
  <sheetData>
    <row r="1" spans="2:7" ht="12.75">
      <c r="B1" s="5"/>
      <c r="C1" s="5"/>
      <c r="D1" s="5"/>
      <c r="E1" s="5"/>
      <c r="F1" s="5"/>
      <c r="G1" s="33" t="s">
        <v>298</v>
      </c>
    </row>
    <row r="2" spans="1:6" ht="12.75">
      <c r="A2" s="5" t="s">
        <v>299</v>
      </c>
      <c r="B2" s="105"/>
      <c r="C2" s="5"/>
      <c r="D2" s="5"/>
      <c r="E2" s="5"/>
      <c r="F2" s="5"/>
    </row>
    <row r="3" spans="1:7" ht="34.5" customHeight="1">
      <c r="A3" s="618" t="s">
        <v>300</v>
      </c>
      <c r="B3" s="618"/>
      <c r="C3" s="618"/>
      <c r="D3" s="618"/>
      <c r="E3" s="618"/>
      <c r="F3" s="618"/>
      <c r="G3" s="618"/>
    </row>
    <row r="4" spans="1:6" ht="15" customHeight="1">
      <c r="A4" s="619" t="s">
        <v>301</v>
      </c>
      <c r="B4" s="619"/>
      <c r="C4" s="619"/>
      <c r="D4" s="619"/>
      <c r="E4" s="619"/>
      <c r="F4" s="619"/>
    </row>
    <row r="5" spans="1:6" ht="15" customHeight="1">
      <c r="A5" s="620" t="s">
        <v>302</v>
      </c>
      <c r="B5" s="620"/>
      <c r="C5" s="620"/>
      <c r="D5" s="620"/>
      <c r="E5" s="620"/>
      <c r="F5" s="620"/>
    </row>
    <row r="6" spans="1:6" ht="12.75">
      <c r="A6" s="107"/>
      <c r="B6" s="107"/>
      <c r="C6" s="107"/>
      <c r="D6" s="107"/>
      <c r="E6" s="107"/>
      <c r="F6" s="107"/>
    </row>
    <row r="7" spans="1:7" ht="12.75">
      <c r="A7" s="621"/>
      <c r="B7" s="621"/>
      <c r="C7" s="621"/>
      <c r="D7" s="621"/>
      <c r="E7" s="621"/>
      <c r="F7" s="621"/>
      <c r="G7" s="97" t="s">
        <v>190</v>
      </c>
    </row>
    <row r="8" spans="1:7" ht="93.75" customHeight="1">
      <c r="A8" s="115" t="s">
        <v>191</v>
      </c>
      <c r="B8" s="115" t="s">
        <v>192</v>
      </c>
      <c r="C8" s="115" t="s">
        <v>303</v>
      </c>
      <c r="D8" s="115" t="s">
        <v>193</v>
      </c>
      <c r="E8" s="115" t="s">
        <v>304</v>
      </c>
      <c r="F8" s="115" t="s">
        <v>305</v>
      </c>
      <c r="G8" s="115" t="s">
        <v>613</v>
      </c>
    </row>
    <row r="9" spans="1:7" ht="13.5" customHeight="1">
      <c r="A9" s="114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6">
        <v>7</v>
      </c>
    </row>
    <row r="10" spans="1:7" ht="15" customHeight="1">
      <c r="A10" s="117" t="s">
        <v>306</v>
      </c>
      <c r="B10" s="75">
        <v>784824</v>
      </c>
      <c r="C10" s="75"/>
      <c r="D10" s="75">
        <f>64478-13</f>
        <v>64465</v>
      </c>
      <c r="E10" s="118"/>
      <c r="F10" s="118"/>
      <c r="G10" s="75">
        <f>64478-13</f>
        <v>64465</v>
      </c>
    </row>
    <row r="11" spans="1:7" ht="15" customHeight="1">
      <c r="A11" s="119" t="s">
        <v>307</v>
      </c>
      <c r="B11" s="120">
        <f>SUM(B12:B15)</f>
        <v>812008</v>
      </c>
      <c r="C11" s="120">
        <f>SUM(C12:C15)</f>
        <v>63081</v>
      </c>
      <c r="D11" s="120">
        <f>SUM(D12:D15)</f>
        <v>60763</v>
      </c>
      <c r="E11" s="121">
        <v>7.483109544670713</v>
      </c>
      <c r="F11" s="121">
        <v>96.32560765050998</v>
      </c>
      <c r="G11" s="120">
        <f>SUM(G12:G15)</f>
        <v>60763</v>
      </c>
    </row>
    <row r="12" spans="1:7" ht="15" customHeight="1">
      <c r="A12" s="119" t="s">
        <v>308</v>
      </c>
      <c r="B12" s="120">
        <f>B23+B29+B36+B44+B51+B58+B67+B78+B86+B95+B103+B111+B120+B128+B136+B144+B151+B159+B164+B171+B178+B184+B189+B194+B201+B206+B213+B228+B234</f>
        <v>702268</v>
      </c>
      <c r="C12" s="120">
        <f>C23+C29+C36+C44+C51+C58+C67+C78+C86+C95+C103+C111+C120+C128+C136+C144+C151+C159+C164+C171+C178+C184+C189+C194+C201+C206+C213+C228+C234</f>
        <v>54604</v>
      </c>
      <c r="D12" s="120">
        <f>D23+D29+D36+D44+D51+D58+D67+D78+D86+D95+D103+D111+D120+D128+D136+D144+D151+D159+D164+D171+D178+D184+D189+D194+D201+D206+D213+D228+D234</f>
        <v>54604</v>
      </c>
      <c r="E12" s="121">
        <v>7.775308603064364</v>
      </c>
      <c r="F12" s="121">
        <v>100</v>
      </c>
      <c r="G12" s="120">
        <f>G23+G29+G36+G44+G51+G58+G67+G78+G86+G95+G103+G111+G120+G128+G136+G144+G151+G159+G164+G171+G178+G184+G189+G194+G201+G206+G213+G228+G234</f>
        <v>54604</v>
      </c>
    </row>
    <row r="13" spans="1:7" ht="15" customHeight="1">
      <c r="A13" s="119" t="s">
        <v>309</v>
      </c>
      <c r="B13" s="120">
        <f>B59+B68+B87+B112</f>
        <v>3480</v>
      </c>
      <c r="C13" s="120">
        <f>C59+C68+C87+C112</f>
        <v>220</v>
      </c>
      <c r="D13" s="120">
        <f>D59+D68+D87+D112</f>
        <v>55</v>
      </c>
      <c r="E13" s="121">
        <v>1.5783520458479596</v>
      </c>
      <c r="F13" s="121">
        <v>25.006159687508532</v>
      </c>
      <c r="G13" s="120">
        <f>G59+G68+G87+G112</f>
        <v>55</v>
      </c>
    </row>
    <row r="14" spans="1:7" ht="15" customHeight="1">
      <c r="A14" s="119" t="s">
        <v>310</v>
      </c>
      <c r="B14" s="120">
        <f>B30+B37+B45+B52+B60+B69+B79+B88+B96+B104+B113+B121+B129+B137+B145+B152+B165+B172+B195+B214+B221</f>
        <v>60659</v>
      </c>
      <c r="C14" s="120">
        <f>C30+C37+C45+C52+C60+C69+C79+C88+C96+C104+C113+C121+C129+C137+C145+C152+C165+C172+C195+C214+C221</f>
        <v>4897</v>
      </c>
      <c r="D14" s="120">
        <f>D30+D37+D45+D52+D60+D69+D79+D88+D96+D104+D113+D121+D129+D137+D145+D152+D165+D172+D195+D214+D221</f>
        <v>5202</v>
      </c>
      <c r="E14" s="121">
        <v>8.5762339540189</v>
      </c>
      <c r="F14" s="121">
        <v>106.20549817529125</v>
      </c>
      <c r="G14" s="120">
        <f>G30+G37+G45+G52+G60+G69+G79+G88+G96+G104+G113+G121+G129+G137+G145+G152+G165+G172+G195+G214+G221</f>
        <v>5202</v>
      </c>
    </row>
    <row r="15" spans="1:7" ht="15" customHeight="1">
      <c r="A15" s="119" t="s">
        <v>311</v>
      </c>
      <c r="B15" s="120">
        <f>B38+B61+B70+B80+B89+B97+B105+B114+B122+B130+B138+B153+B207+B215</f>
        <v>45601</v>
      </c>
      <c r="C15" s="120">
        <f>C38+C61+C70+C80+C89+C97+C105+C114+C122+C130+C138+C153+C207+C215</f>
        <v>3360</v>
      </c>
      <c r="D15" s="120">
        <f>D38+D61+D70+D80+D89+D97+D105+D114+D122+D130+D138+D153+D207+D215</f>
        <v>902</v>
      </c>
      <c r="E15" s="121">
        <v>1.979052784868102</v>
      </c>
      <c r="F15" s="121">
        <v>26.860380185494236</v>
      </c>
      <c r="G15" s="120">
        <f>G38+G61+G70+G80+G89+G97+G105+G114+G122+G130+G138+G153+G207+G215</f>
        <v>902</v>
      </c>
    </row>
    <row r="16" spans="1:7" ht="15" customHeight="1">
      <c r="A16" s="122" t="s">
        <v>312</v>
      </c>
      <c r="B16" s="75">
        <f>B17+B18</f>
        <v>812005</v>
      </c>
      <c r="C16" s="75">
        <f>C17+C18</f>
        <v>63004</v>
      </c>
      <c r="D16" s="75">
        <f>D17+D18</f>
        <v>55533</v>
      </c>
      <c r="E16" s="118">
        <v>6.839049814106264</v>
      </c>
      <c r="F16" s="118">
        <v>88.14167455562651</v>
      </c>
      <c r="G16" s="123">
        <f>G17+G18</f>
        <v>55533</v>
      </c>
    </row>
    <row r="17" spans="1:7" ht="15" customHeight="1">
      <c r="A17" s="124" t="s">
        <v>313</v>
      </c>
      <c r="B17" s="120">
        <v>736102</v>
      </c>
      <c r="C17" s="120">
        <f>C25+C32+C40+C47+C54+C63+C72+C82+C91+C99+C107+C116+C124+C132+C140+C147+C155+C161+C174+C180+C186+C191+C197+C203+C209+C217+C223+C230+C236+C167</f>
        <v>58763</v>
      </c>
      <c r="D17" s="125">
        <f>D25+D32+D40+D47+D54+D63+D72+D82+D91+D99+D107+D116+D124+D132+D140+D147+D155+D161+D174+D180+D186+D191+D197+D203+D209+D217+D223+D230+D236+D167</f>
        <v>53375</v>
      </c>
      <c r="E17" s="121">
        <v>7.251044537260079</v>
      </c>
      <c r="F17" s="121">
        <v>90.83044848826846</v>
      </c>
      <c r="G17" s="125">
        <f>G25+G32+G40+G47+G54+G63+G72+G82+G91+G99+G107+G116+G124+G132+G140+G147+G155+G161+G174+G180+G186+G191+G197+G203+G209+G217+G223+G230+G236+G167</f>
        <v>53375</v>
      </c>
    </row>
    <row r="18" spans="1:7" ht="15" customHeight="1">
      <c r="A18" s="124" t="s">
        <v>314</v>
      </c>
      <c r="B18" s="120">
        <v>75903</v>
      </c>
      <c r="C18" s="120">
        <f>C26+C33+C41+C48+C55+C64+C73+C83+C92+C100+C108+C117+C125+C133+C141+C148+C156+C168+C175+C181+C198+C210+C218+C224+C231</f>
        <v>4241</v>
      </c>
      <c r="D18" s="125">
        <f>D26+D33+D41+D48+D55+D64+D73+D83+D92+D100+D108+D117+D125+D133+D141+D148+D156+D168+D175+D181+D198+D210+D218+D224+D231</f>
        <v>2158</v>
      </c>
      <c r="E18" s="121">
        <v>2.843553742469054</v>
      </c>
      <c r="F18" s="121">
        <v>50.888629796725304</v>
      </c>
      <c r="G18" s="125">
        <f>G26+G33+G41+G48+G55+G64+G73+G83+G92+G100+G108+G117+G125+G133+G141+G148+G156+G168+G175+G181+G198+G210+G218+G224+G231</f>
        <v>2158</v>
      </c>
    </row>
    <row r="19" spans="1:7" ht="15" customHeight="1">
      <c r="A19" s="18" t="s">
        <v>315</v>
      </c>
      <c r="B19" s="120">
        <v>48899</v>
      </c>
      <c r="C19" s="120"/>
      <c r="D19" s="120">
        <v>7906</v>
      </c>
      <c r="E19" s="121">
        <v>2.843553742469054</v>
      </c>
      <c r="F19" s="121"/>
      <c r="G19" s="120">
        <v>7906</v>
      </c>
    </row>
    <row r="20" spans="1:7" ht="15" customHeight="1">
      <c r="A20" s="18" t="s">
        <v>316</v>
      </c>
      <c r="B20" s="120">
        <v>-76080</v>
      </c>
      <c r="C20" s="120"/>
      <c r="D20" s="120">
        <v>1026</v>
      </c>
      <c r="E20" s="121"/>
      <c r="F20" s="121"/>
      <c r="G20" s="120">
        <v>1026</v>
      </c>
    </row>
    <row r="21" spans="1:7" ht="15" customHeight="1">
      <c r="A21" s="74" t="s">
        <v>317</v>
      </c>
      <c r="B21" s="103"/>
      <c r="C21" s="103"/>
      <c r="D21" s="103"/>
      <c r="E21" s="126"/>
      <c r="F21" s="126"/>
      <c r="G21" s="103"/>
    </row>
    <row r="22" spans="1:7" ht="15" customHeight="1">
      <c r="A22" s="119" t="s">
        <v>307</v>
      </c>
      <c r="B22" s="120">
        <f>B23</f>
        <v>1179</v>
      </c>
      <c r="C22" s="120">
        <f>C23</f>
        <v>85</v>
      </c>
      <c r="D22" s="120">
        <f>D23</f>
        <v>85</v>
      </c>
      <c r="E22" s="121">
        <v>7.196347760009228</v>
      </c>
      <c r="F22" s="121">
        <v>100</v>
      </c>
      <c r="G22" s="120">
        <f>G23</f>
        <v>85</v>
      </c>
    </row>
    <row r="23" spans="1:7" ht="15" customHeight="1">
      <c r="A23" s="119" t="s">
        <v>308</v>
      </c>
      <c r="B23" s="120">
        <v>1179</v>
      </c>
      <c r="C23" s="120">
        <v>85</v>
      </c>
      <c r="D23" s="120">
        <v>85</v>
      </c>
      <c r="E23" s="121">
        <v>7.196347760009228</v>
      </c>
      <c r="F23" s="121">
        <v>100</v>
      </c>
      <c r="G23" s="120">
        <v>85</v>
      </c>
    </row>
    <row r="24" spans="1:7" ht="15" customHeight="1">
      <c r="A24" s="122" t="s">
        <v>318</v>
      </c>
      <c r="B24" s="75">
        <f>B25+B26</f>
        <v>1179</v>
      </c>
      <c r="C24" s="75">
        <f>C25+C26</f>
        <v>85</v>
      </c>
      <c r="D24" s="75">
        <f>D25+D26</f>
        <v>85</v>
      </c>
      <c r="E24" s="118">
        <v>7.1952452353974845</v>
      </c>
      <c r="F24" s="118">
        <v>99.98467938670407</v>
      </c>
      <c r="G24" s="75">
        <f>G25+G26</f>
        <v>85</v>
      </c>
    </row>
    <row r="25" spans="1:7" ht="15" customHeight="1">
      <c r="A25" s="124" t="s">
        <v>313</v>
      </c>
      <c r="B25" s="120">
        <v>1123</v>
      </c>
      <c r="C25" s="120">
        <v>84</v>
      </c>
      <c r="D25" s="120">
        <v>84</v>
      </c>
      <c r="E25" s="121">
        <v>7.4828625406423726</v>
      </c>
      <c r="F25" s="121">
        <v>99.99453915981583</v>
      </c>
      <c r="G25" s="120">
        <v>84</v>
      </c>
    </row>
    <row r="26" spans="1:7" ht="15" customHeight="1">
      <c r="A26" s="124" t="s">
        <v>314</v>
      </c>
      <c r="B26" s="120">
        <v>56</v>
      </c>
      <c r="C26" s="120">
        <v>1</v>
      </c>
      <c r="D26" s="120">
        <v>1</v>
      </c>
      <c r="E26" s="121">
        <v>1.4160822898032202</v>
      </c>
      <c r="F26" s="127">
        <v>100</v>
      </c>
      <c r="G26" s="120">
        <v>1</v>
      </c>
    </row>
    <row r="27" spans="1:7" s="68" customFormat="1" ht="15" customHeight="1">
      <c r="A27" s="122" t="s">
        <v>319</v>
      </c>
      <c r="B27" s="128"/>
      <c r="C27" s="128"/>
      <c r="D27" s="128"/>
      <c r="E27" s="129"/>
      <c r="F27" s="129"/>
      <c r="G27" s="128"/>
    </row>
    <row r="28" spans="1:7" ht="15" customHeight="1">
      <c r="A28" s="119" t="s">
        <v>307</v>
      </c>
      <c r="B28" s="120">
        <f>B29+B30</f>
        <v>7213</v>
      </c>
      <c r="C28" s="120">
        <f>C29+C30</f>
        <v>527</v>
      </c>
      <c r="D28" s="120">
        <f>D29+D30</f>
        <v>535</v>
      </c>
      <c r="E28" s="121">
        <v>7.415822968472773</v>
      </c>
      <c r="F28" s="121">
        <v>101.38407531877225</v>
      </c>
      <c r="G28" s="120">
        <f>G29+G30</f>
        <v>535</v>
      </c>
    </row>
    <row r="29" spans="1:7" ht="15" customHeight="1">
      <c r="A29" s="119" t="s">
        <v>308</v>
      </c>
      <c r="B29" s="120">
        <v>6973</v>
      </c>
      <c r="C29" s="120">
        <v>499</v>
      </c>
      <c r="D29" s="120">
        <v>499</v>
      </c>
      <c r="E29" s="121">
        <v>7.160006947202267</v>
      </c>
      <c r="F29" s="121">
        <v>100</v>
      </c>
      <c r="G29" s="120">
        <v>499</v>
      </c>
    </row>
    <row r="30" spans="1:7" ht="15" customHeight="1">
      <c r="A30" s="119" t="s">
        <v>310</v>
      </c>
      <c r="B30" s="120">
        <v>240</v>
      </c>
      <c r="C30" s="120">
        <v>28</v>
      </c>
      <c r="D30" s="120">
        <v>36</v>
      </c>
      <c r="E30" s="121">
        <v>14.847908333333335</v>
      </c>
      <c r="F30" s="121">
        <v>125.7719973176155</v>
      </c>
      <c r="G30" s="120">
        <v>36</v>
      </c>
    </row>
    <row r="31" spans="1:7" ht="15" customHeight="1">
      <c r="A31" s="122" t="s">
        <v>312</v>
      </c>
      <c r="B31" s="75">
        <f>B32+B33</f>
        <v>7213</v>
      </c>
      <c r="C31" s="75">
        <f>C32+C33</f>
        <v>528</v>
      </c>
      <c r="D31" s="75">
        <f>D32+D33</f>
        <v>385</v>
      </c>
      <c r="E31" s="118">
        <v>5.336472704469171</v>
      </c>
      <c r="F31" s="118">
        <v>72.95661626586754</v>
      </c>
      <c r="G31" s="75">
        <f>G32+G33</f>
        <v>385</v>
      </c>
    </row>
    <row r="32" spans="1:7" ht="15" customHeight="1">
      <c r="A32" s="124" t="s">
        <v>313</v>
      </c>
      <c r="B32" s="120">
        <v>5999</v>
      </c>
      <c r="C32" s="120">
        <v>429</v>
      </c>
      <c r="D32" s="120">
        <v>381</v>
      </c>
      <c r="E32" s="121">
        <v>6.345349066912723</v>
      </c>
      <c r="F32" s="121">
        <v>88.78431276503436</v>
      </c>
      <c r="G32" s="120">
        <v>381</v>
      </c>
    </row>
    <row r="33" spans="1:7" ht="15" customHeight="1">
      <c r="A33" s="124" t="s">
        <v>314</v>
      </c>
      <c r="B33" s="120">
        <v>1214</v>
      </c>
      <c r="C33" s="120">
        <v>99</v>
      </c>
      <c r="D33" s="120">
        <v>4</v>
      </c>
      <c r="E33" s="121">
        <v>0.35121701280771295</v>
      </c>
      <c r="F33" s="121">
        <v>4.313091155554207</v>
      </c>
      <c r="G33" s="120">
        <v>4</v>
      </c>
    </row>
    <row r="34" spans="1:7" ht="15" customHeight="1">
      <c r="A34" s="122" t="s">
        <v>320</v>
      </c>
      <c r="B34" s="103"/>
      <c r="C34" s="103"/>
      <c r="D34" s="103"/>
      <c r="E34" s="126"/>
      <c r="F34" s="126"/>
      <c r="G34" s="103"/>
    </row>
    <row r="35" spans="1:7" ht="15" customHeight="1">
      <c r="A35" s="119" t="s">
        <v>307</v>
      </c>
      <c r="B35" s="120">
        <v>3623</v>
      </c>
      <c r="C35" s="120">
        <v>510</v>
      </c>
      <c r="D35" s="120">
        <v>219</v>
      </c>
      <c r="E35" s="121">
        <v>6.039950291246699</v>
      </c>
      <c r="F35" s="121">
        <v>42.89135701796341</v>
      </c>
      <c r="G35" s="120">
        <v>219</v>
      </c>
    </row>
    <row r="36" spans="1:7" ht="15" customHeight="1">
      <c r="A36" s="119" t="s">
        <v>308</v>
      </c>
      <c r="B36" s="120">
        <v>3049</v>
      </c>
      <c r="C36" s="120">
        <v>218</v>
      </c>
      <c r="D36" s="120">
        <v>218</v>
      </c>
      <c r="E36" s="121">
        <v>7.159988139502542</v>
      </c>
      <c r="F36" s="121">
        <v>100</v>
      </c>
      <c r="G36" s="120">
        <v>218</v>
      </c>
    </row>
    <row r="37" spans="1:7" ht="15" customHeight="1">
      <c r="A37" s="119" t="s">
        <v>310</v>
      </c>
      <c r="B37" s="120">
        <v>312</v>
      </c>
      <c r="C37" s="120">
        <v>30</v>
      </c>
      <c r="D37" s="120">
        <v>1</v>
      </c>
      <c r="E37" s="121">
        <v>0.16583333333333333</v>
      </c>
      <c r="F37" s="121">
        <v>1.7287003007016373</v>
      </c>
      <c r="G37" s="120">
        <v>1</v>
      </c>
    </row>
    <row r="38" spans="1:7" ht="15" customHeight="1">
      <c r="A38" s="119" t="s">
        <v>311</v>
      </c>
      <c r="B38" s="120">
        <v>262</v>
      </c>
      <c r="C38" s="120">
        <v>262</v>
      </c>
      <c r="D38" s="120"/>
      <c r="E38" s="121"/>
      <c r="F38" s="121"/>
      <c r="G38" s="120"/>
    </row>
    <row r="39" spans="1:7" ht="15" customHeight="1">
      <c r="A39" s="122" t="s">
        <v>312</v>
      </c>
      <c r="B39" s="75">
        <f>B40+B41</f>
        <v>3622</v>
      </c>
      <c r="C39" s="75">
        <f>C40+C41</f>
        <v>510</v>
      </c>
      <c r="D39" s="75">
        <f>D40+D41</f>
        <v>218</v>
      </c>
      <c r="E39" s="118">
        <v>6.006916384510788</v>
      </c>
      <c r="F39" s="118">
        <v>42.656774112610464</v>
      </c>
      <c r="G39" s="75">
        <f>G40+G41</f>
        <v>218</v>
      </c>
    </row>
    <row r="40" spans="1:7" ht="15" customHeight="1">
      <c r="A40" s="124" t="s">
        <v>313</v>
      </c>
      <c r="B40" s="120">
        <v>3494</v>
      </c>
      <c r="C40" s="120">
        <v>500</v>
      </c>
      <c r="D40" s="120">
        <v>213</v>
      </c>
      <c r="E40" s="121">
        <v>6.093078873008887</v>
      </c>
      <c r="F40" s="121">
        <v>42.57073306301335</v>
      </c>
      <c r="G40" s="120">
        <v>213</v>
      </c>
    </row>
    <row r="41" spans="1:7" ht="15" customHeight="1">
      <c r="A41" s="124" t="s">
        <v>314</v>
      </c>
      <c r="B41" s="120">
        <v>128</v>
      </c>
      <c r="C41" s="120">
        <v>10</v>
      </c>
      <c r="D41" s="120">
        <v>5</v>
      </c>
      <c r="E41" s="121">
        <v>3.6601792673421665</v>
      </c>
      <c r="F41" s="121">
        <v>46.960100000000004</v>
      </c>
      <c r="G41" s="120">
        <v>5</v>
      </c>
    </row>
    <row r="42" spans="1:7" ht="15" customHeight="1">
      <c r="A42" s="122" t="s">
        <v>321</v>
      </c>
      <c r="B42" s="103"/>
      <c r="C42" s="103"/>
      <c r="D42" s="103"/>
      <c r="E42" s="126"/>
      <c r="F42" s="126"/>
      <c r="G42" s="103"/>
    </row>
    <row r="43" spans="1:7" ht="15" customHeight="1">
      <c r="A43" s="119" t="s">
        <v>307</v>
      </c>
      <c r="B43" s="120">
        <v>48425</v>
      </c>
      <c r="C43" s="120">
        <v>3734</v>
      </c>
      <c r="D43" s="120">
        <v>3681</v>
      </c>
      <c r="E43" s="121">
        <v>7.6019487110376485</v>
      </c>
      <c r="F43" s="121">
        <v>98.59859490109267</v>
      </c>
      <c r="G43" s="120">
        <v>3681</v>
      </c>
    </row>
    <row r="44" spans="1:7" ht="15" customHeight="1">
      <c r="A44" s="119" t="s">
        <v>308</v>
      </c>
      <c r="B44" s="120">
        <v>46215</v>
      </c>
      <c r="C44" s="120">
        <v>3549</v>
      </c>
      <c r="D44" s="120">
        <v>3549</v>
      </c>
      <c r="E44" s="121">
        <v>7.67999941836677</v>
      </c>
      <c r="F44" s="121">
        <v>100</v>
      </c>
      <c r="G44" s="120">
        <v>3549</v>
      </c>
    </row>
    <row r="45" spans="1:7" ht="15" customHeight="1">
      <c r="A45" s="119" t="s">
        <v>310</v>
      </c>
      <c r="B45" s="120">
        <v>2210</v>
      </c>
      <c r="C45" s="120">
        <v>184</v>
      </c>
      <c r="D45" s="120">
        <v>132</v>
      </c>
      <c r="E45" s="121">
        <v>5.969808184120078</v>
      </c>
      <c r="F45" s="121">
        <v>71.60374368409342</v>
      </c>
      <c r="G45" s="120">
        <v>132</v>
      </c>
    </row>
    <row r="46" spans="1:7" ht="15" customHeight="1">
      <c r="A46" s="122" t="s">
        <v>312</v>
      </c>
      <c r="B46" s="75">
        <f>B47+B48</f>
        <v>48425</v>
      </c>
      <c r="C46" s="75">
        <f>C47+C48</f>
        <v>3733</v>
      </c>
      <c r="D46" s="75">
        <f>D47+D48</f>
        <v>2929</v>
      </c>
      <c r="E46" s="118">
        <v>6.047795230729953</v>
      </c>
      <c r="F46" s="118">
        <v>78.4409543744618</v>
      </c>
      <c r="G46" s="75">
        <v>2929</v>
      </c>
    </row>
    <row r="47" spans="1:7" ht="15" customHeight="1">
      <c r="A47" s="131" t="s">
        <v>313</v>
      </c>
      <c r="B47" s="120">
        <v>43902</v>
      </c>
      <c r="C47" s="120">
        <v>3472</v>
      </c>
      <c r="D47" s="120">
        <v>2806</v>
      </c>
      <c r="E47" s="121">
        <v>6.391475896465434</v>
      </c>
      <c r="F47" s="121">
        <v>80.81646618871463</v>
      </c>
      <c r="G47" s="120">
        <v>2806</v>
      </c>
    </row>
    <row r="48" spans="1:7" ht="15" customHeight="1">
      <c r="A48" s="131" t="s">
        <v>314</v>
      </c>
      <c r="B48" s="120">
        <v>4523</v>
      </c>
      <c r="C48" s="120">
        <v>261</v>
      </c>
      <c r="D48" s="120">
        <v>123</v>
      </c>
      <c r="E48" s="121">
        <v>2.711809345709259</v>
      </c>
      <c r="F48" s="121">
        <v>46.90145654642861</v>
      </c>
      <c r="G48" s="120">
        <v>123</v>
      </c>
    </row>
    <row r="49" spans="1:7" ht="15" customHeight="1">
      <c r="A49" s="122" t="s">
        <v>322</v>
      </c>
      <c r="B49" s="103"/>
      <c r="C49" s="103"/>
      <c r="D49" s="103"/>
      <c r="E49" s="126"/>
      <c r="F49" s="126"/>
      <c r="G49" s="103"/>
    </row>
    <row r="50" spans="1:7" ht="15" customHeight="1">
      <c r="A50" s="119" t="s">
        <v>307</v>
      </c>
      <c r="B50" s="120">
        <v>11044</v>
      </c>
      <c r="C50" s="120">
        <v>1055</v>
      </c>
      <c r="D50" s="120">
        <v>1027</v>
      </c>
      <c r="E50" s="121">
        <v>9.303644306104472</v>
      </c>
      <c r="F50" s="121">
        <v>97.412872826561</v>
      </c>
      <c r="G50" s="120">
        <v>1027</v>
      </c>
    </row>
    <row r="51" spans="1:7" ht="15" customHeight="1">
      <c r="A51" s="119" t="s">
        <v>308</v>
      </c>
      <c r="B51" s="120">
        <v>10848</v>
      </c>
      <c r="C51" s="120">
        <v>1027</v>
      </c>
      <c r="D51" s="120">
        <v>1027</v>
      </c>
      <c r="E51" s="121">
        <v>9.469791946288927</v>
      </c>
      <c r="F51" s="121">
        <v>100</v>
      </c>
      <c r="G51" s="120">
        <v>1027</v>
      </c>
    </row>
    <row r="52" spans="1:7" ht="15" customHeight="1">
      <c r="A52" s="119" t="s">
        <v>310</v>
      </c>
      <c r="B52" s="120">
        <v>196</v>
      </c>
      <c r="C52" s="120">
        <v>28</v>
      </c>
      <c r="D52" s="120"/>
      <c r="E52" s="121"/>
      <c r="F52" s="121"/>
      <c r="G52" s="120"/>
    </row>
    <row r="53" spans="1:7" ht="15" customHeight="1">
      <c r="A53" s="122" t="s">
        <v>312</v>
      </c>
      <c r="B53" s="75">
        <f>B54+B55</f>
        <v>11044</v>
      </c>
      <c r="C53" s="75">
        <f>C54+C55</f>
        <v>1055</v>
      </c>
      <c r="D53" s="75">
        <f>D54+D55</f>
        <v>981</v>
      </c>
      <c r="E53" s="118">
        <v>8.881970411359395</v>
      </c>
      <c r="F53" s="118">
        <v>92.99777868370656</v>
      </c>
      <c r="G53" s="75">
        <f>G54+G55</f>
        <v>981</v>
      </c>
    </row>
    <row r="54" spans="1:7" ht="15" customHeight="1">
      <c r="A54" s="131" t="s">
        <v>313</v>
      </c>
      <c r="B54" s="120">
        <v>10476</v>
      </c>
      <c r="C54" s="120">
        <v>996</v>
      </c>
      <c r="D54" s="120">
        <v>958</v>
      </c>
      <c r="E54" s="121">
        <v>9.140484249445244</v>
      </c>
      <c r="F54" s="121">
        <v>96.13863236123913</v>
      </c>
      <c r="G54" s="120">
        <v>958</v>
      </c>
    </row>
    <row r="55" spans="1:7" ht="15" customHeight="1">
      <c r="A55" s="131" t="s">
        <v>314</v>
      </c>
      <c r="B55" s="120">
        <v>568</v>
      </c>
      <c r="C55" s="120">
        <v>59</v>
      </c>
      <c r="D55" s="120">
        <v>23</v>
      </c>
      <c r="E55" s="121">
        <v>4.115900811319759</v>
      </c>
      <c r="F55" s="121">
        <v>39.78321369033443</v>
      </c>
      <c r="G55" s="120">
        <v>23</v>
      </c>
    </row>
    <row r="56" spans="1:7" ht="15" customHeight="1">
      <c r="A56" s="122" t="s">
        <v>323</v>
      </c>
      <c r="B56" s="103"/>
      <c r="C56" s="103"/>
      <c r="D56" s="103"/>
      <c r="E56" s="126"/>
      <c r="F56" s="126"/>
      <c r="G56" s="103"/>
    </row>
    <row r="57" spans="1:7" ht="15" customHeight="1">
      <c r="A57" s="119" t="s">
        <v>307</v>
      </c>
      <c r="B57" s="120">
        <v>7609</v>
      </c>
      <c r="C57" s="120">
        <v>853</v>
      </c>
      <c r="D57" s="120">
        <v>424</v>
      </c>
      <c r="E57" s="121">
        <v>5.571134334387584</v>
      </c>
      <c r="F57" s="121">
        <v>49.6958110899325</v>
      </c>
      <c r="G57" s="120">
        <v>424</v>
      </c>
    </row>
    <row r="58" spans="1:7" ht="15" customHeight="1">
      <c r="A58" s="119" t="s">
        <v>308</v>
      </c>
      <c r="B58" s="120">
        <v>4712</v>
      </c>
      <c r="C58" s="120">
        <v>357</v>
      </c>
      <c r="D58" s="120">
        <v>357</v>
      </c>
      <c r="E58" s="121">
        <v>7.577422090900969</v>
      </c>
      <c r="F58" s="121">
        <v>100</v>
      </c>
      <c r="G58" s="120">
        <v>357</v>
      </c>
    </row>
    <row r="59" spans="1:7" ht="15" customHeight="1">
      <c r="A59" s="119" t="s">
        <v>309</v>
      </c>
      <c r="B59" s="120">
        <v>12</v>
      </c>
      <c r="C59" s="120">
        <v>3</v>
      </c>
      <c r="D59" s="120"/>
      <c r="E59" s="121"/>
      <c r="F59" s="121"/>
      <c r="G59" s="120"/>
    </row>
    <row r="60" spans="1:7" ht="15" customHeight="1">
      <c r="A60" s="119" t="s">
        <v>310</v>
      </c>
      <c r="B60" s="120">
        <v>438</v>
      </c>
      <c r="C60" s="120">
        <v>35</v>
      </c>
      <c r="D60" s="120">
        <v>67</v>
      </c>
      <c r="E60" s="121">
        <v>15.271124146548159</v>
      </c>
      <c r="F60" s="121">
        <v>188.64018058690746</v>
      </c>
      <c r="G60" s="120">
        <v>67</v>
      </c>
    </row>
    <row r="61" spans="1:7" ht="15" customHeight="1">
      <c r="A61" s="119" t="s">
        <v>311</v>
      </c>
      <c r="B61" s="120">
        <v>2447</v>
      </c>
      <c r="C61" s="120">
        <v>458</v>
      </c>
      <c r="D61" s="120"/>
      <c r="E61" s="121"/>
      <c r="F61" s="121"/>
      <c r="G61" s="120"/>
    </row>
    <row r="62" spans="1:7" ht="15" customHeight="1">
      <c r="A62" s="122" t="s">
        <v>312</v>
      </c>
      <c r="B62" s="75">
        <f>B63+B64</f>
        <v>7610</v>
      </c>
      <c r="C62" s="75">
        <f>C63+C64</f>
        <v>853</v>
      </c>
      <c r="D62" s="75">
        <f>D63+D64</f>
        <v>368</v>
      </c>
      <c r="E62" s="118">
        <v>4.837761585468501</v>
      </c>
      <c r="F62" s="118">
        <v>43.15395598444193</v>
      </c>
      <c r="G62" s="75">
        <f>G63+G64</f>
        <v>368</v>
      </c>
    </row>
    <row r="63" spans="1:7" ht="15" customHeight="1">
      <c r="A63" s="124" t="s">
        <v>313</v>
      </c>
      <c r="B63" s="120">
        <v>7352</v>
      </c>
      <c r="C63" s="120">
        <v>853</v>
      </c>
      <c r="D63" s="120">
        <v>368</v>
      </c>
      <c r="E63" s="121">
        <v>5.007310403869719</v>
      </c>
      <c r="F63" s="121">
        <v>43.15395598444193</v>
      </c>
      <c r="G63" s="120">
        <v>368</v>
      </c>
    </row>
    <row r="64" spans="1:7" ht="15" customHeight="1">
      <c r="A64" s="124" t="s">
        <v>314</v>
      </c>
      <c r="B64" s="120">
        <v>258</v>
      </c>
      <c r="C64" s="120"/>
      <c r="D64" s="120"/>
      <c r="E64" s="121"/>
      <c r="F64" s="121"/>
      <c r="G64" s="120"/>
    </row>
    <row r="65" spans="1:7" ht="15" customHeight="1">
      <c r="A65" s="122" t="s">
        <v>324</v>
      </c>
      <c r="B65" s="103"/>
      <c r="C65" s="103"/>
      <c r="D65" s="103"/>
      <c r="E65" s="126"/>
      <c r="F65" s="126"/>
      <c r="G65" s="103"/>
    </row>
    <row r="66" spans="1:7" ht="15" customHeight="1">
      <c r="A66" s="119" t="s">
        <v>307</v>
      </c>
      <c r="B66" s="120">
        <v>94403</v>
      </c>
      <c r="C66" s="120">
        <v>6692</v>
      </c>
      <c r="D66" s="120">
        <v>6431</v>
      </c>
      <c r="E66" s="121">
        <v>6.8109892216601</v>
      </c>
      <c r="F66" s="121">
        <v>96.08832796209524</v>
      </c>
      <c r="G66" s="120">
        <v>6431</v>
      </c>
    </row>
    <row r="67" spans="1:7" ht="15" customHeight="1">
      <c r="A67" s="119" t="s">
        <v>308</v>
      </c>
      <c r="B67" s="120">
        <v>87454</v>
      </c>
      <c r="C67" s="120">
        <v>5926</v>
      </c>
      <c r="D67" s="120">
        <v>5926</v>
      </c>
      <c r="E67" s="121">
        <v>6.77617824215843</v>
      </c>
      <c r="F67" s="121">
        <v>100</v>
      </c>
      <c r="G67" s="120">
        <v>5926</v>
      </c>
    </row>
    <row r="68" spans="1:7" ht="15" customHeight="1">
      <c r="A68" s="119" t="s">
        <v>309</v>
      </c>
      <c r="B68" s="120">
        <v>1033</v>
      </c>
      <c r="C68" s="120">
        <v>112</v>
      </c>
      <c r="D68" s="120">
        <v>43</v>
      </c>
      <c r="E68" s="121">
        <v>4.119758954501452</v>
      </c>
      <c r="F68" s="121">
        <v>37.955397595519244</v>
      </c>
      <c r="G68" s="120">
        <v>43</v>
      </c>
    </row>
    <row r="69" spans="1:7" ht="15" customHeight="1">
      <c r="A69" s="119" t="s">
        <v>310</v>
      </c>
      <c r="B69" s="120">
        <v>4138</v>
      </c>
      <c r="C69" s="120">
        <v>402</v>
      </c>
      <c r="D69" s="132">
        <v>403</v>
      </c>
      <c r="E69" s="121">
        <v>9.730386194331885</v>
      </c>
      <c r="F69" s="121">
        <v>100.15763293182478</v>
      </c>
      <c r="G69" s="132">
        <v>403</v>
      </c>
    </row>
    <row r="70" spans="1:7" ht="15" customHeight="1">
      <c r="A70" s="119" t="s">
        <v>311</v>
      </c>
      <c r="B70" s="120">
        <v>1778</v>
      </c>
      <c r="C70" s="120">
        <v>251</v>
      </c>
      <c r="D70" s="120">
        <v>59</v>
      </c>
      <c r="E70" s="121">
        <v>3.291237371436414</v>
      </c>
      <c r="F70" s="121">
        <v>23.28210096605287</v>
      </c>
      <c r="G70" s="120">
        <v>59</v>
      </c>
    </row>
    <row r="71" spans="1:7" ht="15" customHeight="1">
      <c r="A71" s="122" t="s">
        <v>312</v>
      </c>
      <c r="B71" s="75">
        <f>B72+B73</f>
        <v>94499</v>
      </c>
      <c r="C71" s="75">
        <f>C72+C73</f>
        <v>6615</v>
      </c>
      <c r="D71" s="75">
        <f>D72+D73</f>
        <v>5970</v>
      </c>
      <c r="E71" s="118">
        <v>6.317690801524966</v>
      </c>
      <c r="F71" s="118">
        <v>90.25329168011477</v>
      </c>
      <c r="G71" s="75">
        <f>G72+G73</f>
        <v>5970</v>
      </c>
    </row>
    <row r="72" spans="1:7" ht="15" customHeight="1">
      <c r="A72" s="124" t="s">
        <v>313</v>
      </c>
      <c r="B72" s="120">
        <v>88200</v>
      </c>
      <c r="C72" s="120">
        <v>6151</v>
      </c>
      <c r="D72" s="120">
        <v>5559</v>
      </c>
      <c r="E72" s="121">
        <v>6.302232996135262</v>
      </c>
      <c r="F72" s="121">
        <v>90.36943160092082</v>
      </c>
      <c r="G72" s="120">
        <v>5559</v>
      </c>
    </row>
    <row r="73" spans="1:7" ht="15" customHeight="1">
      <c r="A73" s="124" t="s">
        <v>314</v>
      </c>
      <c r="B73" s="120">
        <v>6299</v>
      </c>
      <c r="C73" s="120">
        <v>464</v>
      </c>
      <c r="D73" s="120">
        <v>411</v>
      </c>
      <c r="E73" s="121">
        <v>6.5341221838286545</v>
      </c>
      <c r="F73" s="121">
        <v>88.71361388005819</v>
      </c>
      <c r="G73" s="120">
        <v>411</v>
      </c>
    </row>
    <row r="74" spans="1:7" ht="15" customHeight="1">
      <c r="A74" s="18" t="s">
        <v>315</v>
      </c>
      <c r="B74" s="120">
        <v>48899</v>
      </c>
      <c r="C74" s="120"/>
      <c r="D74" s="120"/>
      <c r="E74" s="121"/>
      <c r="F74" s="121"/>
      <c r="G74" s="120"/>
    </row>
    <row r="75" spans="1:7" ht="15" customHeight="1">
      <c r="A75" s="18" t="s">
        <v>316</v>
      </c>
      <c r="B75" s="120">
        <v>-48996</v>
      </c>
      <c r="C75" s="120"/>
      <c r="D75" s="120"/>
      <c r="E75" s="121"/>
      <c r="F75" s="121"/>
      <c r="G75" s="120"/>
    </row>
    <row r="76" spans="1:7" ht="15" customHeight="1">
      <c r="A76" s="122" t="s">
        <v>325</v>
      </c>
      <c r="B76" s="103"/>
      <c r="C76" s="103"/>
      <c r="D76" s="103"/>
      <c r="E76" s="126"/>
      <c r="F76" s="126"/>
      <c r="G76" s="103"/>
    </row>
    <row r="77" spans="1:7" ht="15" customHeight="1">
      <c r="A77" s="119" t="s">
        <v>307</v>
      </c>
      <c r="B77" s="120">
        <f>B78+B79+B80</f>
        <v>88322</v>
      </c>
      <c r="C77" s="120">
        <f>C78+C79+C80</f>
        <v>6851</v>
      </c>
      <c r="D77" s="120">
        <f>D78+D79+D80</f>
        <v>6337</v>
      </c>
      <c r="E77" s="121">
        <v>7.17400791145301</v>
      </c>
      <c r="F77" s="121">
        <v>92.48492098835818</v>
      </c>
      <c r="G77" s="120">
        <f>G78+G79+G80</f>
        <v>6337</v>
      </c>
    </row>
    <row r="78" spans="1:7" ht="15" customHeight="1">
      <c r="A78" s="119" t="s">
        <v>308</v>
      </c>
      <c r="B78" s="120">
        <v>77271</v>
      </c>
      <c r="C78" s="120">
        <v>5776</v>
      </c>
      <c r="D78" s="120">
        <v>5776</v>
      </c>
      <c r="E78" s="121">
        <v>7.474277939637558</v>
      </c>
      <c r="F78" s="121">
        <v>100</v>
      </c>
      <c r="G78" s="120">
        <v>5776</v>
      </c>
    </row>
    <row r="79" spans="1:7" ht="15" customHeight="1">
      <c r="A79" s="119" t="s">
        <v>310</v>
      </c>
      <c r="B79" s="120">
        <v>7780</v>
      </c>
      <c r="C79" s="120">
        <v>729</v>
      </c>
      <c r="D79" s="120">
        <v>561</v>
      </c>
      <c r="E79" s="121">
        <v>7.208214807683161</v>
      </c>
      <c r="F79" s="121">
        <v>76.87554921290337</v>
      </c>
      <c r="G79" s="120">
        <v>561</v>
      </c>
    </row>
    <row r="80" spans="1:7" ht="15" customHeight="1">
      <c r="A80" s="119" t="s">
        <v>311</v>
      </c>
      <c r="B80" s="120">
        <v>3271</v>
      </c>
      <c r="C80" s="120">
        <v>346</v>
      </c>
      <c r="D80" s="120"/>
      <c r="E80" s="121"/>
      <c r="F80" s="121"/>
      <c r="G80" s="120"/>
    </row>
    <row r="81" spans="1:7" ht="15" customHeight="1">
      <c r="A81" s="122" t="s">
        <v>312</v>
      </c>
      <c r="B81" s="75">
        <f>B82+B83</f>
        <v>88322</v>
      </c>
      <c r="C81" s="75">
        <f>C82+C83</f>
        <v>6851</v>
      </c>
      <c r="D81" s="75">
        <f>D82+D83</f>
        <v>6241</v>
      </c>
      <c r="E81" s="118">
        <v>7.0662712045965455</v>
      </c>
      <c r="F81" s="118">
        <v>91.09601524081098</v>
      </c>
      <c r="G81" s="75">
        <f>G82+G83</f>
        <v>6241</v>
      </c>
    </row>
    <row r="82" spans="1:7" ht="15" customHeight="1">
      <c r="A82" s="124" t="s">
        <v>313</v>
      </c>
      <c r="B82" s="120">
        <v>73964</v>
      </c>
      <c r="C82" s="120">
        <v>6150</v>
      </c>
      <c r="D82" s="120">
        <v>5901</v>
      </c>
      <c r="E82" s="121">
        <v>7.977752393171541</v>
      </c>
      <c r="F82" s="121">
        <v>95.93868928066411</v>
      </c>
      <c r="G82" s="120">
        <v>5901</v>
      </c>
    </row>
    <row r="83" spans="1:7" ht="15" customHeight="1">
      <c r="A83" s="124" t="s">
        <v>314</v>
      </c>
      <c r="B83" s="120">
        <v>14358</v>
      </c>
      <c r="C83" s="120">
        <v>701</v>
      </c>
      <c r="D83" s="120">
        <v>340</v>
      </c>
      <c r="E83" s="121">
        <v>2.3710089475349845</v>
      </c>
      <c r="F83" s="121">
        <v>48.58752194328286</v>
      </c>
      <c r="G83" s="120">
        <v>340</v>
      </c>
    </row>
    <row r="84" spans="1:7" ht="15" customHeight="1">
      <c r="A84" s="74" t="s">
        <v>326</v>
      </c>
      <c r="B84" s="103"/>
      <c r="C84" s="103"/>
      <c r="D84" s="103"/>
      <c r="E84" s="126"/>
      <c r="F84" s="126"/>
      <c r="G84" s="103"/>
    </row>
    <row r="85" spans="1:7" ht="15" customHeight="1">
      <c r="A85" s="119" t="s">
        <v>307</v>
      </c>
      <c r="B85" s="120">
        <v>78325</v>
      </c>
      <c r="C85" s="120">
        <v>5965</v>
      </c>
      <c r="D85" s="120">
        <v>6490</v>
      </c>
      <c r="E85" s="121">
        <v>8.286021815608299</v>
      </c>
      <c r="F85" s="121">
        <v>108.79731233258238</v>
      </c>
      <c r="G85" s="120">
        <v>6490</v>
      </c>
    </row>
    <row r="86" spans="1:7" ht="15" customHeight="1">
      <c r="A86" s="119" t="s">
        <v>308</v>
      </c>
      <c r="B86" s="120">
        <v>56294</v>
      </c>
      <c r="C86" s="120">
        <v>4377</v>
      </c>
      <c r="D86" s="120">
        <v>4377</v>
      </c>
      <c r="E86" s="121">
        <v>7.775252234033278</v>
      </c>
      <c r="F86" s="121">
        <v>100</v>
      </c>
      <c r="G86" s="120">
        <v>4377</v>
      </c>
    </row>
    <row r="87" spans="1:7" ht="15" customHeight="1">
      <c r="A87" s="119" t="s">
        <v>309</v>
      </c>
      <c r="B87" s="120">
        <v>2311</v>
      </c>
      <c r="C87" s="120">
        <v>105</v>
      </c>
      <c r="D87" s="120">
        <v>12</v>
      </c>
      <c r="E87" s="121">
        <v>0.5352626568585028</v>
      </c>
      <c r="F87" s="121">
        <v>11.837244019138755</v>
      </c>
      <c r="G87" s="120">
        <v>12</v>
      </c>
    </row>
    <row r="88" spans="1:7" ht="15" customHeight="1">
      <c r="A88" s="119" t="s">
        <v>310</v>
      </c>
      <c r="B88" s="120">
        <v>18428</v>
      </c>
      <c r="C88" s="120">
        <v>1427</v>
      </c>
      <c r="D88" s="120">
        <v>2101</v>
      </c>
      <c r="E88" s="121">
        <v>11.399069351649004</v>
      </c>
      <c r="F88" s="121">
        <v>147.19129750538485</v>
      </c>
      <c r="G88" s="120">
        <v>2101</v>
      </c>
    </row>
    <row r="89" spans="1:7" ht="15" customHeight="1">
      <c r="A89" s="119" t="s">
        <v>311</v>
      </c>
      <c r="B89" s="120">
        <v>1292</v>
      </c>
      <c r="C89" s="120">
        <v>57</v>
      </c>
      <c r="D89" s="120"/>
      <c r="E89" s="121"/>
      <c r="F89" s="121"/>
      <c r="G89" s="120"/>
    </row>
    <row r="90" spans="1:7" ht="15" customHeight="1">
      <c r="A90" s="122" t="s">
        <v>312</v>
      </c>
      <c r="B90" s="75">
        <f>B91+B92</f>
        <v>78325</v>
      </c>
      <c r="C90" s="75">
        <f>C91+C92</f>
        <v>5965</v>
      </c>
      <c r="D90" s="75">
        <f>D91+D92</f>
        <v>4656</v>
      </c>
      <c r="E90" s="118">
        <v>5.944177264323015</v>
      </c>
      <c r="F90" s="118">
        <v>78.04837167681404</v>
      </c>
      <c r="G90" s="75">
        <f>G91+G92</f>
        <v>4656</v>
      </c>
    </row>
    <row r="91" spans="1:7" ht="15" customHeight="1">
      <c r="A91" s="124" t="s">
        <v>313</v>
      </c>
      <c r="B91" s="120">
        <v>71660</v>
      </c>
      <c r="C91" s="120">
        <v>5611</v>
      </c>
      <c r="D91" s="120">
        <v>4576</v>
      </c>
      <c r="E91" s="121">
        <v>6.385162744747036</v>
      </c>
      <c r="F91" s="121">
        <v>81.54934617982595</v>
      </c>
      <c r="G91" s="120">
        <v>4576</v>
      </c>
    </row>
    <row r="92" spans="1:7" ht="15" customHeight="1">
      <c r="A92" s="124" t="s">
        <v>314</v>
      </c>
      <c r="B92" s="120">
        <v>6665</v>
      </c>
      <c r="C92" s="120">
        <v>354</v>
      </c>
      <c r="D92" s="120">
        <v>80</v>
      </c>
      <c r="E92" s="121">
        <v>1.2026089372884565</v>
      </c>
      <c r="F92" s="121">
        <v>22.617255070165392</v>
      </c>
      <c r="G92" s="120">
        <v>80</v>
      </c>
    </row>
    <row r="93" spans="1:7" ht="15" customHeight="1">
      <c r="A93" s="122" t="s">
        <v>327</v>
      </c>
      <c r="B93" s="103"/>
      <c r="C93" s="103"/>
      <c r="D93" s="103"/>
      <c r="E93" s="126"/>
      <c r="F93" s="126"/>
      <c r="G93" s="103"/>
    </row>
    <row r="94" spans="1:7" ht="15" customHeight="1">
      <c r="A94" s="119" t="s">
        <v>307</v>
      </c>
      <c r="B94" s="120">
        <v>75485</v>
      </c>
      <c r="C94" s="120">
        <v>5404</v>
      </c>
      <c r="D94" s="120">
        <v>4796</v>
      </c>
      <c r="E94" s="121">
        <v>6.353416738362327</v>
      </c>
      <c r="F94" s="121">
        <v>88.74031708448949</v>
      </c>
      <c r="G94" s="120">
        <v>4796</v>
      </c>
    </row>
    <row r="95" spans="1:7" ht="15" customHeight="1">
      <c r="A95" s="119" t="s">
        <v>308</v>
      </c>
      <c r="B95" s="120">
        <v>53338</v>
      </c>
      <c r="C95" s="120">
        <v>4235</v>
      </c>
      <c r="D95" s="120">
        <v>4235</v>
      </c>
      <c r="E95" s="121">
        <v>7.939836438249351</v>
      </c>
      <c r="F95" s="121">
        <v>100</v>
      </c>
      <c r="G95" s="120">
        <v>4235</v>
      </c>
    </row>
    <row r="96" spans="1:7" ht="15" customHeight="1">
      <c r="A96" s="119" t="s">
        <v>310</v>
      </c>
      <c r="B96" s="120">
        <v>6627</v>
      </c>
      <c r="C96" s="120">
        <v>514</v>
      </c>
      <c r="D96" s="120">
        <v>560</v>
      </c>
      <c r="E96" s="121">
        <v>8.451685381050448</v>
      </c>
      <c r="F96" s="121">
        <v>108.91443500852733</v>
      </c>
      <c r="G96" s="120">
        <v>560</v>
      </c>
    </row>
    <row r="97" spans="1:7" ht="15" customHeight="1">
      <c r="A97" s="119" t="s">
        <v>311</v>
      </c>
      <c r="B97" s="120">
        <v>15520</v>
      </c>
      <c r="C97" s="120">
        <v>655</v>
      </c>
      <c r="D97" s="120">
        <v>1</v>
      </c>
      <c r="E97" s="121">
        <v>0.005213668324120139</v>
      </c>
      <c r="F97" s="121">
        <v>0.12350190181389696</v>
      </c>
      <c r="G97" s="120">
        <v>1</v>
      </c>
    </row>
    <row r="98" spans="1:7" ht="15" customHeight="1">
      <c r="A98" s="122" t="s">
        <v>312</v>
      </c>
      <c r="B98" s="75">
        <f>B99+B100</f>
        <v>75485</v>
      </c>
      <c r="C98" s="75">
        <f>C99+C100</f>
        <v>5404</v>
      </c>
      <c r="D98" s="75">
        <f>D99+D100</f>
        <v>4399</v>
      </c>
      <c r="E98" s="118">
        <v>5.827482149101796</v>
      </c>
      <c r="F98" s="118">
        <v>81.39441107223718</v>
      </c>
      <c r="G98" s="75">
        <f>G99+G100</f>
        <v>4399</v>
      </c>
    </row>
    <row r="99" spans="1:7" ht="15" customHeight="1">
      <c r="A99" s="124" t="s">
        <v>313</v>
      </c>
      <c r="B99" s="120">
        <v>71048</v>
      </c>
      <c r="C99" s="120">
        <v>4696</v>
      </c>
      <c r="D99" s="120">
        <v>4238</v>
      </c>
      <c r="E99" s="121">
        <v>5.964965966756561</v>
      </c>
      <c r="F99" s="121">
        <v>90.25434710246765</v>
      </c>
      <c r="G99" s="120">
        <v>4238</v>
      </c>
    </row>
    <row r="100" spans="1:7" ht="15" customHeight="1">
      <c r="A100" s="124" t="s">
        <v>314</v>
      </c>
      <c r="B100" s="120">
        <v>4437</v>
      </c>
      <c r="C100" s="120">
        <v>708</v>
      </c>
      <c r="D100" s="120">
        <v>161</v>
      </c>
      <c r="E100" s="121">
        <v>3.625856071563244</v>
      </c>
      <c r="F100" s="121">
        <v>22.69694891818868</v>
      </c>
      <c r="G100" s="120">
        <v>161</v>
      </c>
    </row>
    <row r="101" spans="1:7" ht="15" customHeight="1">
      <c r="A101" s="122" t="s">
        <v>328</v>
      </c>
      <c r="B101" s="103"/>
      <c r="C101" s="103"/>
      <c r="D101" s="103"/>
      <c r="E101" s="126"/>
      <c r="F101" s="126"/>
      <c r="G101" s="103"/>
    </row>
    <row r="102" spans="1:7" ht="15" customHeight="1">
      <c r="A102" s="119" t="s">
        <v>307</v>
      </c>
      <c r="B102" s="120">
        <v>17360</v>
      </c>
      <c r="C102" s="120">
        <v>643</v>
      </c>
      <c r="D102" s="120">
        <v>636</v>
      </c>
      <c r="E102" s="121">
        <v>3.6639377620578206</v>
      </c>
      <c r="F102" s="121">
        <v>98.91422306543916</v>
      </c>
      <c r="G102" s="120">
        <v>636</v>
      </c>
    </row>
    <row r="103" spans="1:7" ht="15" customHeight="1">
      <c r="A103" s="119" t="s">
        <v>308</v>
      </c>
      <c r="B103" s="120">
        <v>9586</v>
      </c>
      <c r="C103" s="120">
        <v>572</v>
      </c>
      <c r="D103" s="120">
        <v>572</v>
      </c>
      <c r="E103" s="121">
        <v>5.96893166125521</v>
      </c>
      <c r="F103" s="121">
        <v>100</v>
      </c>
      <c r="G103" s="120">
        <v>572</v>
      </c>
    </row>
    <row r="104" spans="1:7" ht="15" customHeight="1">
      <c r="A104" s="119" t="s">
        <v>310</v>
      </c>
      <c r="B104" s="120">
        <v>59</v>
      </c>
      <c r="C104" s="120">
        <v>5</v>
      </c>
      <c r="D104" s="120">
        <v>1</v>
      </c>
      <c r="E104" s="121">
        <v>1.8332822451551378</v>
      </c>
      <c r="F104" s="121">
        <v>22.00613246116108</v>
      </c>
      <c r="G104" s="120">
        <v>1</v>
      </c>
    </row>
    <row r="105" spans="1:7" ht="15" customHeight="1">
      <c r="A105" s="119" t="s">
        <v>311</v>
      </c>
      <c r="B105" s="120">
        <v>7715</v>
      </c>
      <c r="C105" s="120">
        <v>66</v>
      </c>
      <c r="D105" s="120">
        <v>63</v>
      </c>
      <c r="E105" s="121">
        <v>0.8140794792336729</v>
      </c>
      <c r="F105" s="121">
        <v>95.20049715047897</v>
      </c>
      <c r="G105" s="120">
        <v>63</v>
      </c>
    </row>
    <row r="106" spans="1:7" ht="15" customHeight="1">
      <c r="A106" s="122" t="s">
        <v>312</v>
      </c>
      <c r="B106" s="75">
        <f>B107+B108</f>
        <v>17360</v>
      </c>
      <c r="C106" s="75">
        <f>C107+C108</f>
        <v>643</v>
      </c>
      <c r="D106" s="75">
        <f>D107+D108</f>
        <v>540</v>
      </c>
      <c r="E106" s="118">
        <v>3.1136672746366827</v>
      </c>
      <c r="F106" s="118">
        <v>84.4</v>
      </c>
      <c r="G106" s="75">
        <f>G107+G108</f>
        <v>540</v>
      </c>
    </row>
    <row r="107" spans="1:7" ht="15" customHeight="1">
      <c r="A107" s="124" t="s">
        <v>313</v>
      </c>
      <c r="B107" s="120">
        <v>7033</v>
      </c>
      <c r="C107" s="120">
        <v>640</v>
      </c>
      <c r="D107" s="120">
        <v>540</v>
      </c>
      <c r="E107" s="121">
        <v>7.6843807708862455</v>
      </c>
      <c r="F107" s="121">
        <v>84.42095479113945</v>
      </c>
      <c r="G107" s="120">
        <v>540</v>
      </c>
    </row>
    <row r="108" spans="1:7" ht="15" customHeight="1">
      <c r="A108" s="124" t="s">
        <v>314</v>
      </c>
      <c r="B108" s="120">
        <v>10327</v>
      </c>
      <c r="C108" s="120">
        <v>3</v>
      </c>
      <c r="D108" s="120"/>
      <c r="E108" s="121"/>
      <c r="F108" s="121">
        <v>4.103448275862069</v>
      </c>
      <c r="G108" s="120"/>
    </row>
    <row r="109" spans="1:7" ht="15" customHeight="1">
      <c r="A109" s="122" t="s">
        <v>329</v>
      </c>
      <c r="B109" s="103"/>
      <c r="C109" s="103"/>
      <c r="D109" s="103"/>
      <c r="E109" s="126"/>
      <c r="F109" s="126"/>
      <c r="G109" s="103"/>
    </row>
    <row r="110" spans="1:7" ht="15" customHeight="1">
      <c r="A110" s="119" t="s">
        <v>307</v>
      </c>
      <c r="B110" s="120">
        <v>162433</v>
      </c>
      <c r="C110" s="120">
        <v>13266</v>
      </c>
      <c r="D110" s="120">
        <v>13097</v>
      </c>
      <c r="E110" s="121">
        <v>8.062532057775448</v>
      </c>
      <c r="F110" s="121">
        <v>98.72188700739073</v>
      </c>
      <c r="G110" s="120">
        <v>13097</v>
      </c>
    </row>
    <row r="111" spans="1:7" ht="15" customHeight="1">
      <c r="A111" s="119" t="s">
        <v>308</v>
      </c>
      <c r="B111" s="120">
        <v>154077</v>
      </c>
      <c r="C111" s="120">
        <v>12758</v>
      </c>
      <c r="D111" s="120">
        <v>12758</v>
      </c>
      <c r="E111" s="121">
        <v>8.280046398992944</v>
      </c>
      <c r="F111" s="121">
        <v>100</v>
      </c>
      <c r="G111" s="120">
        <v>12758</v>
      </c>
    </row>
    <row r="112" spans="1:7" ht="15" customHeight="1">
      <c r="A112" s="119" t="s">
        <v>309</v>
      </c>
      <c r="B112" s="120">
        <v>124</v>
      </c>
      <c r="C112" s="120"/>
      <c r="D112" s="120"/>
      <c r="E112" s="121"/>
      <c r="F112" s="121"/>
      <c r="G112" s="120"/>
    </row>
    <row r="113" spans="1:7" ht="15" customHeight="1">
      <c r="A113" s="119" t="s">
        <v>310</v>
      </c>
      <c r="B113" s="120">
        <v>5300</v>
      </c>
      <c r="C113" s="120">
        <v>426</v>
      </c>
      <c r="D113" s="120">
        <v>339</v>
      </c>
      <c r="E113" s="121">
        <v>6.387772129514989</v>
      </c>
      <c r="F113" s="121">
        <v>79.3931912358913</v>
      </c>
      <c r="G113" s="120">
        <v>339</v>
      </c>
    </row>
    <row r="114" spans="1:7" ht="15" customHeight="1">
      <c r="A114" s="119" t="s">
        <v>311</v>
      </c>
      <c r="B114" s="120">
        <v>2932</v>
      </c>
      <c r="C114" s="120">
        <v>82</v>
      </c>
      <c r="D114" s="120"/>
      <c r="E114" s="121"/>
      <c r="F114" s="121"/>
      <c r="G114" s="120"/>
    </row>
    <row r="115" spans="1:7" ht="15" customHeight="1">
      <c r="A115" s="122" t="s">
        <v>312</v>
      </c>
      <c r="B115" s="75">
        <f>B116+B117</f>
        <v>162433</v>
      </c>
      <c r="C115" s="75">
        <f>C116+C117</f>
        <v>13266</v>
      </c>
      <c r="D115" s="75">
        <f>D116+D117</f>
        <v>12698</v>
      </c>
      <c r="E115" s="118">
        <v>7.817162192341702</v>
      </c>
      <c r="F115" s="118">
        <v>95.71744920090687</v>
      </c>
      <c r="G115" s="75">
        <f>G116+G117</f>
        <v>12698</v>
      </c>
    </row>
    <row r="116" spans="1:7" ht="15" customHeight="1">
      <c r="A116" s="124" t="s">
        <v>313</v>
      </c>
      <c r="B116" s="120">
        <v>158920</v>
      </c>
      <c r="C116" s="120">
        <v>13063</v>
      </c>
      <c r="D116" s="120">
        <v>12562</v>
      </c>
      <c r="E116" s="121">
        <v>7.904599893177798</v>
      </c>
      <c r="F116" s="121">
        <v>96.16486407968775</v>
      </c>
      <c r="G116" s="120">
        <v>12562</v>
      </c>
    </row>
    <row r="117" spans="1:7" ht="15" customHeight="1">
      <c r="A117" s="124" t="s">
        <v>314</v>
      </c>
      <c r="B117" s="120">
        <v>3513</v>
      </c>
      <c r="C117" s="120">
        <v>203</v>
      </c>
      <c r="D117" s="120">
        <v>136</v>
      </c>
      <c r="E117" s="121">
        <v>3.861842309383757</v>
      </c>
      <c r="F117" s="121">
        <v>66.89847783316814</v>
      </c>
      <c r="G117" s="120">
        <v>136</v>
      </c>
    </row>
    <row r="118" spans="1:7" ht="15" customHeight="1">
      <c r="A118" s="122" t="s">
        <v>330</v>
      </c>
      <c r="B118" s="103"/>
      <c r="C118" s="103"/>
      <c r="D118" s="103"/>
      <c r="E118" s="126"/>
      <c r="F118" s="126"/>
      <c r="G118" s="103"/>
    </row>
    <row r="119" spans="1:7" ht="15" customHeight="1">
      <c r="A119" s="119" t="s">
        <v>307</v>
      </c>
      <c r="B119" s="120">
        <v>27408</v>
      </c>
      <c r="C119" s="120">
        <v>2244</v>
      </c>
      <c r="D119" s="120">
        <v>2371</v>
      </c>
      <c r="E119" s="121">
        <v>8.659017937450752</v>
      </c>
      <c r="F119" s="121">
        <v>105.78659752870261</v>
      </c>
      <c r="G119" s="120">
        <v>2731</v>
      </c>
    </row>
    <row r="120" spans="1:7" ht="15" customHeight="1">
      <c r="A120" s="119" t="s">
        <v>308</v>
      </c>
      <c r="B120" s="120">
        <v>24721</v>
      </c>
      <c r="C120" s="120">
        <v>2111</v>
      </c>
      <c r="D120" s="120">
        <v>2111</v>
      </c>
      <c r="E120" s="121">
        <v>8.539975994436457</v>
      </c>
      <c r="F120" s="121">
        <v>100</v>
      </c>
      <c r="G120" s="120">
        <v>2111</v>
      </c>
    </row>
    <row r="121" spans="1:7" ht="15" customHeight="1">
      <c r="A121" s="119" t="s">
        <v>310</v>
      </c>
      <c r="B121" s="120">
        <v>1329</v>
      </c>
      <c r="C121" s="120">
        <v>107</v>
      </c>
      <c r="D121" s="120">
        <v>59</v>
      </c>
      <c r="E121" s="121">
        <v>4.514624602849853</v>
      </c>
      <c r="F121" s="121">
        <v>56.143931527992144</v>
      </c>
      <c r="G121" s="120">
        <v>59</v>
      </c>
    </row>
    <row r="122" spans="1:7" ht="15" customHeight="1">
      <c r="A122" s="119" t="s">
        <v>311</v>
      </c>
      <c r="B122" s="120">
        <v>1358</v>
      </c>
      <c r="C122" s="120">
        <v>25</v>
      </c>
      <c r="D122" s="120">
        <v>201</v>
      </c>
      <c r="E122" s="121">
        <v>14.885672191528545</v>
      </c>
      <c r="F122" s="121">
        <v>796.5037445802128</v>
      </c>
      <c r="G122" s="120">
        <v>201</v>
      </c>
    </row>
    <row r="123" spans="1:7" ht="15" customHeight="1">
      <c r="A123" s="122" t="s">
        <v>312</v>
      </c>
      <c r="B123" s="75">
        <f>B124+B125</f>
        <v>27408</v>
      </c>
      <c r="C123" s="75">
        <f>C124+C125</f>
        <v>2244</v>
      </c>
      <c r="D123" s="75">
        <f>D124+D125</f>
        <v>2285</v>
      </c>
      <c r="E123" s="118">
        <v>8.338474939422593</v>
      </c>
      <c r="F123" s="118">
        <v>101.870546843972</v>
      </c>
      <c r="G123" s="75">
        <f>G124+G125</f>
        <v>2285</v>
      </c>
    </row>
    <row r="124" spans="1:7" ht="15" customHeight="1">
      <c r="A124" s="124" t="s">
        <v>313</v>
      </c>
      <c r="B124" s="120">
        <v>24393</v>
      </c>
      <c r="C124" s="120">
        <v>2034</v>
      </c>
      <c r="D124" s="120">
        <v>2112</v>
      </c>
      <c r="E124" s="121">
        <v>8.660495959450195</v>
      </c>
      <c r="F124" s="121">
        <v>103.87595693574043</v>
      </c>
      <c r="G124" s="120">
        <v>2112</v>
      </c>
    </row>
    <row r="125" spans="1:7" ht="15" customHeight="1">
      <c r="A125" s="124" t="s">
        <v>314</v>
      </c>
      <c r="B125" s="120">
        <v>3015</v>
      </c>
      <c r="C125" s="120">
        <v>210</v>
      </c>
      <c r="D125" s="120">
        <v>173</v>
      </c>
      <c r="E125" s="121">
        <v>5.733341005602304</v>
      </c>
      <c r="F125" s="121">
        <v>82.42471821181317</v>
      </c>
      <c r="G125" s="120">
        <v>173</v>
      </c>
    </row>
    <row r="126" spans="1:7" ht="25.5">
      <c r="A126" s="74" t="s">
        <v>331</v>
      </c>
      <c r="B126" s="103"/>
      <c r="C126" s="103"/>
      <c r="D126" s="103"/>
      <c r="E126" s="126"/>
      <c r="F126" s="126"/>
      <c r="G126" s="103"/>
    </row>
    <row r="127" spans="1:7" ht="15" customHeight="1">
      <c r="A127" s="119" t="s">
        <v>307</v>
      </c>
      <c r="B127" s="120">
        <v>13855</v>
      </c>
      <c r="C127" s="120">
        <v>1297</v>
      </c>
      <c r="D127" s="120">
        <v>119</v>
      </c>
      <c r="E127" s="121">
        <v>8.072373092370928</v>
      </c>
      <c r="F127" s="121">
        <v>86.2428686869933</v>
      </c>
      <c r="G127" s="120">
        <v>1119</v>
      </c>
    </row>
    <row r="128" spans="1:7" ht="15" customHeight="1">
      <c r="A128" s="119" t="s">
        <v>308</v>
      </c>
      <c r="B128" s="120">
        <v>7619</v>
      </c>
      <c r="C128" s="120">
        <v>560</v>
      </c>
      <c r="D128" s="120">
        <v>560</v>
      </c>
      <c r="E128" s="121">
        <v>7.345259990933737</v>
      </c>
      <c r="F128" s="121">
        <v>100</v>
      </c>
      <c r="G128" s="120">
        <v>560</v>
      </c>
    </row>
    <row r="129" spans="1:7" ht="15" customHeight="1">
      <c r="A129" s="119" t="s">
        <v>310</v>
      </c>
      <c r="B129" s="120">
        <v>1267</v>
      </c>
      <c r="C129" s="120">
        <v>104</v>
      </c>
      <c r="D129" s="120">
        <v>114</v>
      </c>
      <c r="E129" s="121">
        <v>8.993844995834069</v>
      </c>
      <c r="F129" s="121">
        <v>109.24142524461651</v>
      </c>
      <c r="G129" s="120">
        <v>114</v>
      </c>
    </row>
    <row r="130" spans="1:7" ht="15" customHeight="1">
      <c r="A130" s="119" t="s">
        <v>311</v>
      </c>
      <c r="B130" s="120">
        <v>4969</v>
      </c>
      <c r="C130" s="120">
        <v>633</v>
      </c>
      <c r="D130" s="120">
        <v>445</v>
      </c>
      <c r="E130" s="121">
        <v>8.952349804816905</v>
      </c>
      <c r="F130" s="121">
        <v>70.28497795755843</v>
      </c>
      <c r="G130" s="120">
        <v>445</v>
      </c>
    </row>
    <row r="131" spans="1:7" ht="15" customHeight="1">
      <c r="A131" s="122" t="s">
        <v>312</v>
      </c>
      <c r="B131" s="75">
        <f>B132+B133</f>
        <v>13856</v>
      </c>
      <c r="C131" s="75">
        <f>C132+C133</f>
        <v>1297</v>
      </c>
      <c r="D131" s="75">
        <f>D132+D133</f>
        <v>988</v>
      </c>
      <c r="E131" s="118">
        <v>7.1321784411300895</v>
      </c>
      <c r="F131" s="118">
        <v>76.19810453655911</v>
      </c>
      <c r="G131" s="75">
        <f>G132+G133</f>
        <v>988</v>
      </c>
    </row>
    <row r="132" spans="1:7" ht="15" customHeight="1">
      <c r="A132" s="124" t="s">
        <v>313</v>
      </c>
      <c r="B132" s="120">
        <v>7265</v>
      </c>
      <c r="C132" s="120">
        <v>590</v>
      </c>
      <c r="D132" s="120">
        <v>474</v>
      </c>
      <c r="E132" s="121">
        <v>6.529793295283485</v>
      </c>
      <c r="F132" s="121">
        <v>80.46941558838098</v>
      </c>
      <c r="G132" s="120">
        <v>474</v>
      </c>
    </row>
    <row r="133" spans="1:7" ht="15" customHeight="1">
      <c r="A133" s="124" t="s">
        <v>314</v>
      </c>
      <c r="B133" s="120">
        <v>6591</v>
      </c>
      <c r="C133" s="120">
        <v>707</v>
      </c>
      <c r="D133" s="120">
        <v>514</v>
      </c>
      <c r="E133" s="121">
        <v>7.796181555387034</v>
      </c>
      <c r="F133" s="121">
        <v>72.63843108981155</v>
      </c>
      <c r="G133" s="120">
        <v>514</v>
      </c>
    </row>
    <row r="134" spans="1:7" ht="15" customHeight="1">
      <c r="A134" s="122" t="s">
        <v>332</v>
      </c>
      <c r="B134" s="103"/>
      <c r="C134" s="103"/>
      <c r="D134" s="103"/>
      <c r="E134" s="126"/>
      <c r="F134" s="126"/>
      <c r="G134" s="103"/>
    </row>
    <row r="135" spans="1:7" ht="15" customHeight="1">
      <c r="A135" s="119" t="s">
        <v>307</v>
      </c>
      <c r="B135" s="120">
        <v>19674</v>
      </c>
      <c r="C135" s="120">
        <v>1754</v>
      </c>
      <c r="D135" s="120">
        <v>1610</v>
      </c>
      <c r="E135" s="121">
        <v>8.184504943155027</v>
      </c>
      <c r="F135" s="121">
        <v>91.81524969493768</v>
      </c>
      <c r="G135" s="120">
        <v>1610</v>
      </c>
    </row>
    <row r="136" spans="1:7" ht="15" customHeight="1">
      <c r="A136" s="119" t="s">
        <v>308</v>
      </c>
      <c r="B136" s="120">
        <v>16917</v>
      </c>
      <c r="C136" s="120">
        <v>1375</v>
      </c>
      <c r="D136" s="120">
        <v>1375</v>
      </c>
      <c r="E136" s="121">
        <v>8.129053599762697</v>
      </c>
      <c r="F136" s="121">
        <v>100</v>
      </c>
      <c r="G136" s="120">
        <v>1375</v>
      </c>
    </row>
    <row r="137" spans="1:7" ht="15" customHeight="1">
      <c r="A137" s="119" t="s">
        <v>310</v>
      </c>
      <c r="B137" s="120">
        <v>2496</v>
      </c>
      <c r="C137" s="120">
        <v>210</v>
      </c>
      <c r="D137" s="120">
        <v>235</v>
      </c>
      <c r="E137" s="121">
        <v>9.417635028353631</v>
      </c>
      <c r="F137" s="121">
        <v>111.99098463767012</v>
      </c>
      <c r="G137" s="120">
        <v>235</v>
      </c>
    </row>
    <row r="138" spans="1:7" ht="15" customHeight="1">
      <c r="A138" s="119" t="s">
        <v>311</v>
      </c>
      <c r="B138" s="120">
        <v>261</v>
      </c>
      <c r="C138" s="120">
        <v>169</v>
      </c>
      <c r="D138" s="120"/>
      <c r="E138" s="121"/>
      <c r="F138" s="121"/>
      <c r="G138" s="120"/>
    </row>
    <row r="139" spans="1:7" ht="15" customHeight="1">
      <c r="A139" s="122" t="s">
        <v>312</v>
      </c>
      <c r="B139" s="75">
        <f>B140+B141</f>
        <v>19674</v>
      </c>
      <c r="C139" s="75">
        <f>C140+C141</f>
        <v>1754</v>
      </c>
      <c r="D139" s="75">
        <f>D140+D141</f>
        <v>1497</v>
      </c>
      <c r="E139" s="118">
        <v>7.608467791965253</v>
      </c>
      <c r="F139" s="118">
        <v>85.35316124397004</v>
      </c>
      <c r="G139" s="75">
        <f>G140+G141</f>
        <v>1497</v>
      </c>
    </row>
    <row r="140" spans="1:7" ht="15" customHeight="1">
      <c r="A140" s="124" t="s">
        <v>313</v>
      </c>
      <c r="B140" s="120">
        <v>19098</v>
      </c>
      <c r="C140" s="120">
        <v>1730</v>
      </c>
      <c r="D140" s="120">
        <v>1476</v>
      </c>
      <c r="E140" s="121">
        <v>7.728508085931369</v>
      </c>
      <c r="F140" s="121">
        <v>85.31946394539105</v>
      </c>
      <c r="G140" s="120">
        <v>1476</v>
      </c>
    </row>
    <row r="141" spans="1:7" ht="15" customHeight="1">
      <c r="A141" s="124" t="s">
        <v>314</v>
      </c>
      <c r="B141" s="120">
        <v>576</v>
      </c>
      <c r="C141" s="120">
        <v>24</v>
      </c>
      <c r="D141" s="120">
        <v>21</v>
      </c>
      <c r="E141" s="121">
        <v>3.6255802640722723</v>
      </c>
      <c r="F141" s="121">
        <v>87.80594942567426</v>
      </c>
      <c r="G141" s="120">
        <v>21</v>
      </c>
    </row>
    <row r="142" spans="1:7" ht="15" customHeight="1">
      <c r="A142" s="122" t="s">
        <v>333</v>
      </c>
      <c r="B142" s="103"/>
      <c r="C142" s="103"/>
      <c r="D142" s="103"/>
      <c r="E142" s="126"/>
      <c r="F142" s="126"/>
      <c r="G142" s="103"/>
    </row>
    <row r="143" spans="1:7" ht="15" customHeight="1">
      <c r="A143" s="119" t="s">
        <v>307</v>
      </c>
      <c r="B143" s="120">
        <v>13996</v>
      </c>
      <c r="C143" s="120">
        <v>1060</v>
      </c>
      <c r="D143" s="120">
        <v>984</v>
      </c>
      <c r="E143" s="121">
        <v>7.033827765126144</v>
      </c>
      <c r="F143" s="121">
        <v>92.9191112000385</v>
      </c>
      <c r="G143" s="120">
        <v>984</v>
      </c>
    </row>
    <row r="144" spans="1:7" ht="15" customHeight="1">
      <c r="A144" s="119" t="s">
        <v>308</v>
      </c>
      <c r="B144" s="120">
        <v>5507</v>
      </c>
      <c r="C144" s="120">
        <v>394</v>
      </c>
      <c r="D144" s="120">
        <v>394</v>
      </c>
      <c r="E144" s="121">
        <v>7.1599939489990705</v>
      </c>
      <c r="F144" s="121">
        <v>100</v>
      </c>
      <c r="G144" s="120">
        <v>394</v>
      </c>
    </row>
    <row r="145" spans="1:7" ht="15" customHeight="1">
      <c r="A145" s="119" t="s">
        <v>310</v>
      </c>
      <c r="B145" s="120">
        <v>8490</v>
      </c>
      <c r="C145" s="120">
        <v>665</v>
      </c>
      <c r="D145" s="120">
        <v>590</v>
      </c>
      <c r="E145" s="121">
        <v>6.952001025164104</v>
      </c>
      <c r="F145" s="121">
        <v>88.72270372808796</v>
      </c>
      <c r="G145" s="120">
        <v>590</v>
      </c>
    </row>
    <row r="146" spans="1:7" ht="15" customHeight="1">
      <c r="A146" s="122" t="s">
        <v>312</v>
      </c>
      <c r="B146" s="75">
        <f>B147+B148</f>
        <v>13996</v>
      </c>
      <c r="C146" s="75">
        <f>C147+C148</f>
        <v>1060</v>
      </c>
      <c r="D146" s="75">
        <f>D147+D148</f>
        <v>804</v>
      </c>
      <c r="E146" s="118">
        <v>5.745455467738334</v>
      </c>
      <c r="F146" s="118">
        <v>75.89930167874579</v>
      </c>
      <c r="G146" s="75">
        <f>G147+G148</f>
        <v>804</v>
      </c>
    </row>
    <row r="147" spans="1:7" ht="15" customHeight="1">
      <c r="A147" s="124" t="s">
        <v>313</v>
      </c>
      <c r="B147" s="120">
        <v>13408</v>
      </c>
      <c r="C147" s="120">
        <v>1022</v>
      </c>
      <c r="D147" s="120">
        <v>794</v>
      </c>
      <c r="E147" s="121">
        <v>5.920209792687087</v>
      </c>
      <c r="F147" s="121">
        <v>77.69158155899956</v>
      </c>
      <c r="G147" s="120">
        <v>794</v>
      </c>
    </row>
    <row r="148" spans="1:7" ht="15" customHeight="1">
      <c r="A148" s="124" t="s">
        <v>314</v>
      </c>
      <c r="B148" s="120">
        <v>588</v>
      </c>
      <c r="C148" s="120">
        <v>38</v>
      </c>
      <c r="D148" s="120">
        <v>10</v>
      </c>
      <c r="E148" s="121">
        <v>1.7631492182188988</v>
      </c>
      <c r="F148" s="121">
        <v>27.44832786538258</v>
      </c>
      <c r="G148" s="120">
        <v>10</v>
      </c>
    </row>
    <row r="149" spans="1:7" ht="15" customHeight="1">
      <c r="A149" s="122" t="s">
        <v>334</v>
      </c>
      <c r="B149" s="103"/>
      <c r="C149" s="103"/>
      <c r="D149" s="103"/>
      <c r="E149" s="126"/>
      <c r="F149" s="126"/>
      <c r="G149" s="103"/>
    </row>
    <row r="150" spans="1:7" ht="15" customHeight="1">
      <c r="A150" s="119" t="s">
        <v>307</v>
      </c>
      <c r="B150" s="120">
        <v>1472</v>
      </c>
      <c r="C150" s="120">
        <v>85</v>
      </c>
      <c r="D150" s="120">
        <v>86</v>
      </c>
      <c r="E150" s="121">
        <v>5.847711854104169</v>
      </c>
      <c r="F150" s="121">
        <v>100.93939038686987</v>
      </c>
      <c r="G150" s="120">
        <v>86</v>
      </c>
    </row>
    <row r="151" spans="1:7" ht="15" customHeight="1">
      <c r="A151" s="119" t="s">
        <v>308</v>
      </c>
      <c r="B151" s="120">
        <v>1191</v>
      </c>
      <c r="C151" s="120">
        <v>85</v>
      </c>
      <c r="D151" s="120">
        <v>85</v>
      </c>
      <c r="E151" s="121">
        <v>7.159986670505472</v>
      </c>
      <c r="F151" s="121">
        <v>100</v>
      </c>
      <c r="G151" s="120">
        <v>85</v>
      </c>
    </row>
    <row r="152" spans="1:7" ht="15" customHeight="1">
      <c r="A152" s="119" t="s">
        <v>310</v>
      </c>
      <c r="B152" s="120">
        <v>1</v>
      </c>
      <c r="C152" s="120"/>
      <c r="D152" s="120">
        <v>1</v>
      </c>
      <c r="E152" s="121"/>
      <c r="F152" s="121">
        <v>100</v>
      </c>
      <c r="G152" s="120">
        <v>1</v>
      </c>
    </row>
    <row r="153" spans="1:7" ht="15" customHeight="1">
      <c r="A153" s="119" t="s">
        <v>311</v>
      </c>
      <c r="B153" s="120">
        <v>280</v>
      </c>
      <c r="C153" s="120"/>
      <c r="D153" s="120"/>
      <c r="E153" s="121"/>
      <c r="F153" s="121"/>
      <c r="G153" s="120"/>
    </row>
    <row r="154" spans="1:7" ht="15" customHeight="1">
      <c r="A154" s="122" t="s">
        <v>312</v>
      </c>
      <c r="B154" s="75">
        <f>B155+B156</f>
        <v>1473</v>
      </c>
      <c r="C154" s="75">
        <f>C155+C156</f>
        <v>85</v>
      </c>
      <c r="D154" s="75">
        <f>D155+D156</f>
        <v>63</v>
      </c>
      <c r="E154" s="118">
        <v>4.286106358832187</v>
      </c>
      <c r="F154" s="118">
        <v>73.98397420867526</v>
      </c>
      <c r="G154" s="75">
        <f>G155+G156</f>
        <v>63</v>
      </c>
    </row>
    <row r="155" spans="1:7" ht="15" customHeight="1">
      <c r="A155" s="124" t="s">
        <v>313</v>
      </c>
      <c r="B155" s="120">
        <v>1344</v>
      </c>
      <c r="C155" s="120">
        <v>85</v>
      </c>
      <c r="D155" s="120">
        <v>63</v>
      </c>
      <c r="E155" s="121">
        <v>4.695934125707925</v>
      </c>
      <c r="F155" s="121">
        <v>73.98397420867526</v>
      </c>
      <c r="G155" s="120">
        <v>63</v>
      </c>
    </row>
    <row r="156" spans="1:7" ht="15" customHeight="1">
      <c r="A156" s="124" t="s">
        <v>314</v>
      </c>
      <c r="B156" s="120">
        <v>129</v>
      </c>
      <c r="C156" s="120"/>
      <c r="D156" s="120"/>
      <c r="E156" s="121"/>
      <c r="F156" s="121"/>
      <c r="G156" s="120"/>
    </row>
    <row r="157" spans="1:7" ht="15" customHeight="1">
      <c r="A157" s="122" t="s">
        <v>335</v>
      </c>
      <c r="B157" s="103"/>
      <c r="C157" s="103"/>
      <c r="D157" s="103"/>
      <c r="E157" s="126"/>
      <c r="F157" s="126"/>
      <c r="G157" s="103"/>
    </row>
    <row r="158" spans="1:7" ht="15" customHeight="1">
      <c r="A158" s="119" t="s">
        <v>307</v>
      </c>
      <c r="B158" s="120">
        <v>738</v>
      </c>
      <c r="C158" s="120">
        <v>53</v>
      </c>
      <c r="D158" s="120">
        <v>53</v>
      </c>
      <c r="E158" s="121">
        <v>7.159932673621558</v>
      </c>
      <c r="F158" s="121">
        <v>100</v>
      </c>
      <c r="G158" s="120">
        <v>53</v>
      </c>
    </row>
    <row r="159" spans="1:7" ht="15" customHeight="1">
      <c r="A159" s="119" t="s">
        <v>308</v>
      </c>
      <c r="B159" s="120">
        <v>738</v>
      </c>
      <c r="C159" s="120">
        <v>53</v>
      </c>
      <c r="D159" s="120">
        <v>53</v>
      </c>
      <c r="E159" s="121">
        <v>7.159932673621558</v>
      </c>
      <c r="F159" s="121">
        <v>100</v>
      </c>
      <c r="G159" s="120">
        <v>53</v>
      </c>
    </row>
    <row r="160" spans="1:7" ht="15" customHeight="1">
      <c r="A160" s="122" t="s">
        <v>312</v>
      </c>
      <c r="B160" s="75">
        <f>B161+B162</f>
        <v>738</v>
      </c>
      <c r="C160" s="75">
        <f>C161+C162</f>
        <v>53</v>
      </c>
      <c r="D160" s="75">
        <f>D161+D162</f>
        <v>53</v>
      </c>
      <c r="E160" s="118">
        <v>7.159699579074615</v>
      </c>
      <c r="F160" s="118">
        <v>99.99674445895558</v>
      </c>
      <c r="G160" s="75">
        <f>G161+G162</f>
        <v>53</v>
      </c>
    </row>
    <row r="161" spans="1:7" ht="15" customHeight="1">
      <c r="A161" s="124" t="s">
        <v>313</v>
      </c>
      <c r="B161" s="120">
        <v>738</v>
      </c>
      <c r="C161" s="120">
        <v>53</v>
      </c>
      <c r="D161" s="120">
        <v>53</v>
      </c>
      <c r="E161" s="121">
        <v>7.159699579074615</v>
      </c>
      <c r="F161" s="121">
        <v>99.99674445895558</v>
      </c>
      <c r="G161" s="120">
        <v>53</v>
      </c>
    </row>
    <row r="162" spans="1:7" ht="15" customHeight="1">
      <c r="A162" s="122" t="s">
        <v>336</v>
      </c>
      <c r="B162" s="103"/>
      <c r="C162" s="103"/>
      <c r="D162" s="103"/>
      <c r="E162" s="126"/>
      <c r="F162" s="126"/>
      <c r="G162" s="103"/>
    </row>
    <row r="163" spans="1:7" ht="15" customHeight="1">
      <c r="A163" s="119" t="s">
        <v>307</v>
      </c>
      <c r="B163" s="120">
        <v>336</v>
      </c>
      <c r="C163" s="120">
        <v>24</v>
      </c>
      <c r="D163" s="120">
        <v>24</v>
      </c>
      <c r="E163" s="121">
        <v>7.227521924926669</v>
      </c>
      <c r="F163" s="121">
        <v>100.39453981385729</v>
      </c>
      <c r="G163" s="120">
        <v>24</v>
      </c>
    </row>
    <row r="164" spans="1:7" ht="15" customHeight="1">
      <c r="A164" s="119" t="s">
        <v>308</v>
      </c>
      <c r="B164" s="120">
        <v>317</v>
      </c>
      <c r="C164" s="120">
        <v>23</v>
      </c>
      <c r="D164" s="120">
        <v>23</v>
      </c>
      <c r="E164" s="121">
        <v>7.160021345862975</v>
      </c>
      <c r="F164" s="121">
        <v>100</v>
      </c>
      <c r="G164" s="120">
        <v>23</v>
      </c>
    </row>
    <row r="165" spans="1:7" ht="15" customHeight="1">
      <c r="A165" s="119" t="s">
        <v>310</v>
      </c>
      <c r="B165" s="120">
        <v>19</v>
      </c>
      <c r="C165" s="120">
        <v>2</v>
      </c>
      <c r="D165" s="120">
        <v>1</v>
      </c>
      <c r="E165" s="121">
        <v>8.34578363674409</v>
      </c>
      <c r="F165" s="121">
        <v>106.35866666666666</v>
      </c>
      <c r="G165" s="120">
        <v>1</v>
      </c>
    </row>
    <row r="166" spans="1:7" ht="15" customHeight="1">
      <c r="A166" s="122" t="s">
        <v>312</v>
      </c>
      <c r="B166" s="75">
        <f>B167+B168</f>
        <v>336</v>
      </c>
      <c r="C166" s="75">
        <f>C167+C168</f>
        <v>24</v>
      </c>
      <c r="D166" s="75">
        <f>D167+D168</f>
        <v>22</v>
      </c>
      <c r="E166" s="118">
        <v>6.4673396763002335</v>
      </c>
      <c r="F166" s="118">
        <v>89.83516028955532</v>
      </c>
      <c r="G166" s="75">
        <f>G167+G168</f>
        <v>22</v>
      </c>
    </row>
    <row r="167" spans="1:7" ht="15" customHeight="1">
      <c r="A167" s="124" t="s">
        <v>313</v>
      </c>
      <c r="B167" s="120">
        <v>316</v>
      </c>
      <c r="C167" s="120">
        <v>23</v>
      </c>
      <c r="D167" s="120">
        <v>21</v>
      </c>
      <c r="E167" s="121">
        <v>6.57685913775906</v>
      </c>
      <c r="F167" s="121">
        <v>89.62265372168284</v>
      </c>
      <c r="G167" s="120">
        <v>21</v>
      </c>
    </row>
    <row r="168" spans="1:7" ht="15" customHeight="1">
      <c r="A168" s="124" t="s">
        <v>314</v>
      </c>
      <c r="B168" s="120">
        <v>20</v>
      </c>
      <c r="C168" s="120">
        <v>1</v>
      </c>
      <c r="D168" s="120">
        <v>1</v>
      </c>
      <c r="E168" s="121">
        <v>4.7379999999999995</v>
      </c>
      <c r="F168" s="121">
        <v>94.76</v>
      </c>
      <c r="G168" s="120">
        <v>1</v>
      </c>
    </row>
    <row r="169" spans="1:7" ht="15" customHeight="1">
      <c r="A169" s="122" t="s">
        <v>337</v>
      </c>
      <c r="B169" s="103"/>
      <c r="C169" s="103"/>
      <c r="D169" s="103"/>
      <c r="E169" s="126"/>
      <c r="F169" s="126"/>
      <c r="G169" s="103"/>
    </row>
    <row r="170" spans="1:7" ht="15" customHeight="1">
      <c r="A170" s="119" t="s">
        <v>307</v>
      </c>
      <c r="B170" s="120">
        <v>6429</v>
      </c>
      <c r="C170" s="120">
        <v>489</v>
      </c>
      <c r="D170" s="120">
        <v>489</v>
      </c>
      <c r="E170" s="121">
        <v>7.604326863399688</v>
      </c>
      <c r="F170" s="121">
        <v>99.88721956601692</v>
      </c>
      <c r="G170" s="120">
        <v>489</v>
      </c>
    </row>
    <row r="171" spans="1:7" ht="15" customHeight="1">
      <c r="A171" s="119" t="s">
        <v>308</v>
      </c>
      <c r="B171" s="120">
        <v>6420</v>
      </c>
      <c r="C171" s="120">
        <v>489</v>
      </c>
      <c r="D171" s="120">
        <v>489</v>
      </c>
      <c r="E171" s="121">
        <v>7.611902774753288</v>
      </c>
      <c r="F171" s="121">
        <v>100</v>
      </c>
      <c r="G171" s="120">
        <v>489</v>
      </c>
    </row>
    <row r="172" spans="1:7" ht="15" customHeight="1">
      <c r="A172" s="119" t="s">
        <v>310</v>
      </c>
      <c r="B172" s="120">
        <v>9</v>
      </c>
      <c r="C172" s="120">
        <v>1</v>
      </c>
      <c r="D172" s="120"/>
      <c r="E172" s="121"/>
      <c r="F172" s="121"/>
      <c r="G172" s="120"/>
    </row>
    <row r="173" spans="1:7" ht="15" customHeight="1">
      <c r="A173" s="122" t="s">
        <v>312</v>
      </c>
      <c r="B173" s="75">
        <f>B174+B175</f>
        <v>6429</v>
      </c>
      <c r="C173" s="75">
        <f>C174+C175</f>
        <v>489</v>
      </c>
      <c r="D173" s="75">
        <f>D174+D175</f>
        <v>419</v>
      </c>
      <c r="E173" s="118">
        <v>6.522390132923428</v>
      </c>
      <c r="F173" s="118">
        <v>85.67535654448122</v>
      </c>
      <c r="G173" s="75">
        <f>G174+G175</f>
        <v>419</v>
      </c>
    </row>
    <row r="174" spans="1:7" ht="15" customHeight="1">
      <c r="A174" s="124" t="s">
        <v>313</v>
      </c>
      <c r="B174" s="120">
        <v>6286</v>
      </c>
      <c r="C174" s="120">
        <v>488</v>
      </c>
      <c r="D174" s="120">
        <v>418</v>
      </c>
      <c r="E174" s="121">
        <v>6.6582562728353665</v>
      </c>
      <c r="F174" s="121">
        <v>85.68887637688874</v>
      </c>
      <c r="G174" s="120">
        <v>418</v>
      </c>
    </row>
    <row r="175" spans="1:7" ht="15" customHeight="1">
      <c r="A175" s="124" t="s">
        <v>314</v>
      </c>
      <c r="B175" s="120">
        <v>143</v>
      </c>
      <c r="C175" s="120">
        <v>1</v>
      </c>
      <c r="D175" s="120">
        <v>1</v>
      </c>
      <c r="E175" s="121">
        <v>0.5527191388228716</v>
      </c>
      <c r="F175" s="121">
        <v>79.072</v>
      </c>
      <c r="G175" s="120">
        <v>1</v>
      </c>
    </row>
    <row r="176" spans="1:7" ht="15" customHeight="1">
      <c r="A176" s="117" t="s">
        <v>338</v>
      </c>
      <c r="B176" s="103"/>
      <c r="C176" s="103"/>
      <c r="D176" s="103"/>
      <c r="E176" s="126"/>
      <c r="F176" s="126"/>
      <c r="G176" s="103"/>
    </row>
    <row r="177" spans="1:7" ht="15" customHeight="1">
      <c r="A177" s="119" t="s">
        <v>307</v>
      </c>
      <c r="B177" s="120">
        <v>230</v>
      </c>
      <c r="C177" s="120">
        <v>73</v>
      </c>
      <c r="D177" s="120">
        <v>73</v>
      </c>
      <c r="E177" s="121">
        <v>31.61476360256917</v>
      </c>
      <c r="F177" s="121">
        <v>100</v>
      </c>
      <c r="G177" s="120">
        <v>73</v>
      </c>
    </row>
    <row r="178" spans="1:7" ht="15" customHeight="1">
      <c r="A178" s="119" t="s">
        <v>308</v>
      </c>
      <c r="B178" s="120">
        <v>230</v>
      </c>
      <c r="C178" s="120">
        <v>73</v>
      </c>
      <c r="D178" s="120">
        <v>73</v>
      </c>
      <c r="E178" s="121">
        <v>31.61476360256917</v>
      </c>
      <c r="F178" s="121">
        <v>100</v>
      </c>
      <c r="G178" s="120">
        <v>73</v>
      </c>
    </row>
    <row r="179" spans="1:7" ht="15" customHeight="1">
      <c r="A179" s="122" t="s">
        <v>312</v>
      </c>
      <c r="B179" s="75">
        <f>B180+B181</f>
        <v>230</v>
      </c>
      <c r="C179" s="75">
        <f>C180+C181</f>
        <v>72</v>
      </c>
      <c r="D179" s="75">
        <f>D180+D181</f>
        <v>61</v>
      </c>
      <c r="E179" s="118">
        <v>26.623822572730155</v>
      </c>
      <c r="F179" s="118">
        <v>84.21325842387945</v>
      </c>
      <c r="G179" s="75">
        <f>G180+G181</f>
        <v>61</v>
      </c>
    </row>
    <row r="180" spans="1:7" ht="15" customHeight="1">
      <c r="A180" s="124" t="s">
        <v>313</v>
      </c>
      <c r="B180" s="120">
        <v>216</v>
      </c>
      <c r="C180" s="120">
        <v>60</v>
      </c>
      <c r="D180" s="120">
        <v>52</v>
      </c>
      <c r="E180" s="121">
        <v>24.08920372314109</v>
      </c>
      <c r="F180" s="121">
        <v>86.3985804076353</v>
      </c>
      <c r="G180" s="120">
        <v>52</v>
      </c>
    </row>
    <row r="181" spans="1:7" ht="15" customHeight="1">
      <c r="A181" s="124" t="s">
        <v>314</v>
      </c>
      <c r="B181" s="120">
        <v>14</v>
      </c>
      <c r="C181" s="120">
        <v>12</v>
      </c>
      <c r="D181" s="120">
        <v>9</v>
      </c>
      <c r="E181" s="121">
        <v>65.77807142857142</v>
      </c>
      <c r="F181" s="121">
        <v>73.67144</v>
      </c>
      <c r="G181" s="120">
        <v>9</v>
      </c>
    </row>
    <row r="182" spans="1:7" ht="15" customHeight="1">
      <c r="A182" s="74" t="s">
        <v>339</v>
      </c>
      <c r="B182" s="103"/>
      <c r="C182" s="103"/>
      <c r="D182" s="103"/>
      <c r="E182" s="126"/>
      <c r="F182" s="126"/>
      <c r="G182" s="103"/>
    </row>
    <row r="183" spans="1:7" ht="15" customHeight="1">
      <c r="A183" s="119" t="s">
        <v>307</v>
      </c>
      <c r="B183" s="120">
        <v>52</v>
      </c>
      <c r="C183" s="120">
        <v>4</v>
      </c>
      <c r="D183" s="120">
        <v>4</v>
      </c>
      <c r="E183" s="121">
        <v>7.279936863582992</v>
      </c>
      <c r="F183" s="121">
        <v>100</v>
      </c>
      <c r="G183" s="120">
        <v>4</v>
      </c>
    </row>
    <row r="184" spans="1:7" ht="15" customHeight="1">
      <c r="A184" s="119" t="s">
        <v>308</v>
      </c>
      <c r="B184" s="120">
        <v>52</v>
      </c>
      <c r="C184" s="120">
        <v>4</v>
      </c>
      <c r="D184" s="120">
        <v>4</v>
      </c>
      <c r="E184" s="121">
        <v>7.279936863582992</v>
      </c>
      <c r="F184" s="121">
        <v>100</v>
      </c>
      <c r="G184" s="120">
        <v>4</v>
      </c>
    </row>
    <row r="185" spans="1:7" ht="15" customHeight="1">
      <c r="A185" s="122" t="s">
        <v>312</v>
      </c>
      <c r="B185" s="75">
        <f>B186+B187</f>
        <v>52</v>
      </c>
      <c r="C185" s="75">
        <f>C186+C187</f>
        <v>4</v>
      </c>
      <c r="D185" s="75">
        <f>D186+D187</f>
        <v>3</v>
      </c>
      <c r="E185" s="118">
        <v>5.082866547323439</v>
      </c>
      <c r="F185" s="118">
        <v>69.82020095187731</v>
      </c>
      <c r="G185" s="75">
        <f>G186+G187</f>
        <v>3</v>
      </c>
    </row>
    <row r="186" spans="1:7" ht="15" customHeight="1">
      <c r="A186" s="124" t="s">
        <v>313</v>
      </c>
      <c r="B186" s="120">
        <v>52</v>
      </c>
      <c r="C186" s="120">
        <v>4</v>
      </c>
      <c r="D186" s="120">
        <v>3</v>
      </c>
      <c r="E186" s="121">
        <v>5.082866547323439</v>
      </c>
      <c r="F186" s="121">
        <v>69.82020095187731</v>
      </c>
      <c r="G186" s="120">
        <v>3</v>
      </c>
    </row>
    <row r="187" spans="1:7" ht="15" customHeight="1">
      <c r="A187" s="74" t="s">
        <v>340</v>
      </c>
      <c r="B187" s="103"/>
      <c r="C187" s="103"/>
      <c r="D187" s="103"/>
      <c r="E187" s="121"/>
      <c r="F187" s="121"/>
      <c r="G187" s="103"/>
    </row>
    <row r="188" spans="1:7" ht="15" customHeight="1">
      <c r="A188" s="119" t="s">
        <v>307</v>
      </c>
      <c r="B188" s="120">
        <v>1644</v>
      </c>
      <c r="C188" s="120">
        <v>91</v>
      </c>
      <c r="D188" s="120">
        <v>91</v>
      </c>
      <c r="E188" s="121">
        <v>5.5355929502094705</v>
      </c>
      <c r="F188" s="121">
        <v>100</v>
      </c>
      <c r="G188" s="120">
        <v>91</v>
      </c>
    </row>
    <row r="189" spans="1:7" ht="15" customHeight="1">
      <c r="A189" s="119" t="s">
        <v>308</v>
      </c>
      <c r="B189" s="120">
        <v>1644</v>
      </c>
      <c r="C189" s="120">
        <v>91</v>
      </c>
      <c r="D189" s="120">
        <v>91</v>
      </c>
      <c r="E189" s="121">
        <v>5.5355929502094705</v>
      </c>
      <c r="F189" s="121">
        <v>100</v>
      </c>
      <c r="G189" s="120">
        <v>91</v>
      </c>
    </row>
    <row r="190" spans="1:7" ht="15" customHeight="1">
      <c r="A190" s="122" t="s">
        <v>312</v>
      </c>
      <c r="B190" s="75">
        <f>B191+B192</f>
        <v>1644</v>
      </c>
      <c r="C190" s="75">
        <f>C191+C192</f>
        <v>91</v>
      </c>
      <c r="D190" s="75">
        <f>D191+D192</f>
        <v>91</v>
      </c>
      <c r="E190" s="118">
        <v>5.535414107975694</v>
      </c>
      <c r="F190" s="118">
        <v>99.99676923076923</v>
      </c>
      <c r="G190" s="75">
        <f>G191+G192</f>
        <v>91</v>
      </c>
    </row>
    <row r="191" spans="1:7" ht="15" customHeight="1">
      <c r="A191" s="124" t="s">
        <v>313</v>
      </c>
      <c r="B191" s="120">
        <v>1644</v>
      </c>
      <c r="C191" s="120">
        <v>91</v>
      </c>
      <c r="D191" s="120">
        <v>91</v>
      </c>
      <c r="E191" s="121">
        <v>5.535414107975694</v>
      </c>
      <c r="F191" s="121">
        <v>99.99676923076923</v>
      </c>
      <c r="G191" s="120">
        <v>91</v>
      </c>
    </row>
    <row r="192" spans="1:7" ht="15" customHeight="1">
      <c r="A192" s="122" t="s">
        <v>341</v>
      </c>
      <c r="B192" s="103"/>
      <c r="C192" s="103"/>
      <c r="D192" s="103"/>
      <c r="E192" s="126"/>
      <c r="F192" s="126"/>
      <c r="G192" s="103"/>
    </row>
    <row r="193" spans="1:7" ht="15" customHeight="1">
      <c r="A193" s="119" t="s">
        <v>307</v>
      </c>
      <c r="B193" s="120">
        <v>6767</v>
      </c>
      <c r="C193" s="120">
        <v>471</v>
      </c>
      <c r="D193" s="120">
        <v>472</v>
      </c>
      <c r="E193" s="121">
        <v>6.984519759685531</v>
      </c>
      <c r="F193" s="121">
        <v>100.30366434373701</v>
      </c>
      <c r="G193" s="120">
        <v>472</v>
      </c>
    </row>
    <row r="194" spans="1:7" ht="15" customHeight="1">
      <c r="A194" s="119" t="s">
        <v>308</v>
      </c>
      <c r="B194" s="120">
        <v>6765</v>
      </c>
      <c r="C194" s="120">
        <v>471</v>
      </c>
      <c r="D194" s="120">
        <v>471</v>
      </c>
      <c r="E194" s="121">
        <v>6.965268254556194</v>
      </c>
      <c r="F194" s="121">
        <v>100</v>
      </c>
      <c r="G194" s="120">
        <v>471</v>
      </c>
    </row>
    <row r="195" spans="1:7" ht="15" customHeight="1">
      <c r="A195" s="119" t="s">
        <v>310</v>
      </c>
      <c r="B195" s="120">
        <v>2</v>
      </c>
      <c r="C195" s="120"/>
      <c r="D195" s="120">
        <v>1</v>
      </c>
      <c r="E195" s="121">
        <v>77.77173913043478</v>
      </c>
      <c r="F195" s="121"/>
      <c r="G195" s="120">
        <v>1</v>
      </c>
    </row>
    <row r="196" spans="1:7" ht="15" customHeight="1">
      <c r="A196" s="122" t="s">
        <v>312</v>
      </c>
      <c r="B196" s="75">
        <f>B197+B198</f>
        <v>6767</v>
      </c>
      <c r="C196" s="75">
        <f>C197+C198</f>
        <v>471</v>
      </c>
      <c r="D196" s="75">
        <f>D197+D198</f>
        <v>470</v>
      </c>
      <c r="E196" s="118">
        <v>6.954731948413187</v>
      </c>
      <c r="F196" s="118">
        <v>99.8758859529246</v>
      </c>
      <c r="G196" s="75">
        <v>470</v>
      </c>
    </row>
    <row r="197" spans="1:7" ht="15" customHeight="1">
      <c r="A197" s="124" t="s">
        <v>313</v>
      </c>
      <c r="B197" s="120">
        <v>6575</v>
      </c>
      <c r="C197" s="120">
        <v>471</v>
      </c>
      <c r="D197" s="120">
        <v>470</v>
      </c>
      <c r="E197" s="121">
        <v>7.157806306047358</v>
      </c>
      <c r="F197" s="121">
        <v>99.8758859529246</v>
      </c>
      <c r="G197" s="120">
        <v>470</v>
      </c>
    </row>
    <row r="198" spans="1:7" ht="15" customHeight="1">
      <c r="A198" s="124" t="s">
        <v>314</v>
      </c>
      <c r="B198" s="120">
        <v>192</v>
      </c>
      <c r="C198" s="120"/>
      <c r="D198" s="120"/>
      <c r="E198" s="121"/>
      <c r="F198" s="121"/>
      <c r="G198" s="120"/>
    </row>
    <row r="199" spans="1:7" ht="15" customHeight="1">
      <c r="A199" s="74" t="s">
        <v>342</v>
      </c>
      <c r="B199" s="103"/>
      <c r="C199" s="103"/>
      <c r="D199" s="103"/>
      <c r="E199" s="121"/>
      <c r="F199" s="121"/>
      <c r="G199" s="103"/>
    </row>
    <row r="200" spans="1:7" ht="15" customHeight="1">
      <c r="A200" s="119" t="s">
        <v>307</v>
      </c>
      <c r="B200" s="120">
        <v>96</v>
      </c>
      <c r="C200" s="120">
        <v>8</v>
      </c>
      <c r="D200" s="120">
        <v>8</v>
      </c>
      <c r="E200" s="121">
        <v>8.332380368225717</v>
      </c>
      <c r="F200" s="121">
        <v>100</v>
      </c>
      <c r="G200" s="120">
        <v>8</v>
      </c>
    </row>
    <row r="201" spans="1:7" ht="15" customHeight="1">
      <c r="A201" s="119" t="s">
        <v>308</v>
      </c>
      <c r="B201" s="120">
        <v>96</v>
      </c>
      <c r="C201" s="120">
        <v>8</v>
      </c>
      <c r="D201" s="120">
        <v>8</v>
      </c>
      <c r="E201" s="121">
        <v>8.332380368225717</v>
      </c>
      <c r="F201" s="121">
        <v>100</v>
      </c>
      <c r="G201" s="120">
        <v>8</v>
      </c>
    </row>
    <row r="202" spans="1:7" ht="15" customHeight="1">
      <c r="A202" s="122" t="s">
        <v>312</v>
      </c>
      <c r="B202" s="75">
        <f>B203+B204</f>
        <v>96</v>
      </c>
      <c r="C202" s="75">
        <f>C203+C204</f>
        <v>8</v>
      </c>
      <c r="D202" s="75">
        <f>D203+D204</f>
        <v>8</v>
      </c>
      <c r="E202" s="118">
        <v>8.332380368225717</v>
      </c>
      <c r="F202" s="118">
        <v>100</v>
      </c>
      <c r="G202" s="75">
        <f>G203+G204</f>
        <v>8</v>
      </c>
    </row>
    <row r="203" spans="1:7" ht="15" customHeight="1">
      <c r="A203" s="124" t="s">
        <v>313</v>
      </c>
      <c r="B203" s="120">
        <v>96</v>
      </c>
      <c r="C203" s="120">
        <v>8</v>
      </c>
      <c r="D203" s="120">
        <v>8</v>
      </c>
      <c r="E203" s="121">
        <v>8.332380368225717</v>
      </c>
      <c r="F203" s="121">
        <v>100</v>
      </c>
      <c r="G203" s="120">
        <v>8</v>
      </c>
    </row>
    <row r="204" spans="1:7" ht="24" customHeight="1">
      <c r="A204" s="74" t="s">
        <v>343</v>
      </c>
      <c r="B204" s="103"/>
      <c r="C204" s="103"/>
      <c r="D204" s="103"/>
      <c r="E204" s="121"/>
      <c r="F204" s="121"/>
      <c r="G204" s="103"/>
    </row>
    <row r="205" spans="1:7" ht="15" customHeight="1">
      <c r="A205" s="119" t="s">
        <v>307</v>
      </c>
      <c r="B205" s="120">
        <v>4231</v>
      </c>
      <c r="C205" s="120">
        <v>399</v>
      </c>
      <c r="D205" s="120">
        <v>176</v>
      </c>
      <c r="E205" s="121">
        <v>4.1616031892486705</v>
      </c>
      <c r="F205" s="121">
        <v>44.11623432262203</v>
      </c>
      <c r="G205" s="120">
        <v>176</v>
      </c>
    </row>
    <row r="206" spans="1:7" ht="15" customHeight="1">
      <c r="A206" s="119" t="s">
        <v>308</v>
      </c>
      <c r="B206" s="120">
        <v>843</v>
      </c>
      <c r="C206" s="120">
        <v>43</v>
      </c>
      <c r="D206" s="120">
        <v>43</v>
      </c>
      <c r="E206" s="121">
        <v>5.0620713716936505</v>
      </c>
      <c r="F206" s="121">
        <v>100</v>
      </c>
      <c r="G206" s="120">
        <v>43</v>
      </c>
    </row>
    <row r="207" spans="1:7" ht="15" customHeight="1">
      <c r="A207" s="119" t="s">
        <v>311</v>
      </c>
      <c r="B207" s="120">
        <v>3389</v>
      </c>
      <c r="C207" s="120">
        <v>356</v>
      </c>
      <c r="D207" s="120">
        <v>133</v>
      </c>
      <c r="E207" s="121">
        <v>3.93767671607708</v>
      </c>
      <c r="F207" s="121">
        <v>37.42935767463519</v>
      </c>
      <c r="G207" s="120">
        <v>133</v>
      </c>
    </row>
    <row r="208" spans="1:7" ht="15" customHeight="1">
      <c r="A208" s="122" t="s">
        <v>312</v>
      </c>
      <c r="B208" s="75">
        <f>B209+B210</f>
        <v>4231</v>
      </c>
      <c r="C208" s="75">
        <f>C209+C210</f>
        <v>399</v>
      </c>
      <c r="D208" s="75">
        <f>D209+D210</f>
        <v>169</v>
      </c>
      <c r="E208" s="118">
        <v>3.9882064635792642</v>
      </c>
      <c r="F208" s="118">
        <v>42.278094011655</v>
      </c>
      <c r="G208" s="75">
        <f>G209+G210</f>
        <v>169</v>
      </c>
    </row>
    <row r="209" spans="1:7" ht="15" customHeight="1">
      <c r="A209" s="124" t="s">
        <v>313</v>
      </c>
      <c r="B209" s="120">
        <v>3007</v>
      </c>
      <c r="C209" s="120">
        <v>399</v>
      </c>
      <c r="D209" s="120">
        <v>169</v>
      </c>
      <c r="E209" s="121">
        <v>5.611956703201832</v>
      </c>
      <c r="F209" s="121">
        <v>42.278094011655</v>
      </c>
      <c r="G209" s="120">
        <v>169</v>
      </c>
    </row>
    <row r="210" spans="1:7" ht="15" customHeight="1">
      <c r="A210" s="124" t="s">
        <v>314</v>
      </c>
      <c r="B210" s="120">
        <v>1224</v>
      </c>
      <c r="C210" s="120"/>
      <c r="D210" s="120"/>
      <c r="E210" s="121"/>
      <c r="F210" s="121"/>
      <c r="G210" s="120"/>
    </row>
    <row r="211" spans="1:7" ht="25.5">
      <c r="A211" s="74" t="s">
        <v>344</v>
      </c>
      <c r="B211" s="103"/>
      <c r="C211" s="103"/>
      <c r="D211" s="103"/>
      <c r="E211" s="121"/>
      <c r="F211" s="121"/>
      <c r="G211" s="103"/>
    </row>
    <row r="212" spans="1:7" ht="15" customHeight="1">
      <c r="A212" s="119" t="s">
        <v>307</v>
      </c>
      <c r="B212" s="120">
        <v>1553</v>
      </c>
      <c r="C212" s="120">
        <v>106</v>
      </c>
      <c r="D212" s="120">
        <v>106</v>
      </c>
      <c r="E212" s="121">
        <v>6.842330900537755</v>
      </c>
      <c r="F212" s="121">
        <v>100.22554122350455</v>
      </c>
      <c r="G212" s="120">
        <v>106</v>
      </c>
    </row>
    <row r="213" spans="1:7" ht="15" customHeight="1">
      <c r="A213" s="119" t="s">
        <v>308</v>
      </c>
      <c r="B213" s="120">
        <v>1426</v>
      </c>
      <c r="C213" s="120">
        <v>106</v>
      </c>
      <c r="D213" s="120">
        <v>106</v>
      </c>
      <c r="E213" s="121">
        <v>7.433949885185092</v>
      </c>
      <c r="F213" s="121">
        <v>100</v>
      </c>
      <c r="G213" s="120">
        <v>106</v>
      </c>
    </row>
    <row r="214" spans="1:7" ht="15" customHeight="1">
      <c r="A214" s="119" t="s">
        <v>310</v>
      </c>
      <c r="B214" s="120"/>
      <c r="C214" s="120"/>
      <c r="D214" s="120"/>
      <c r="E214" s="121"/>
      <c r="F214" s="121"/>
      <c r="G214" s="120"/>
    </row>
    <row r="215" spans="1:7" ht="15" customHeight="1">
      <c r="A215" s="119" t="s">
        <v>311</v>
      </c>
      <c r="B215" s="120">
        <v>127</v>
      </c>
      <c r="C215" s="120"/>
      <c r="D215" s="120"/>
      <c r="E215" s="121"/>
      <c r="F215" s="121"/>
      <c r="G215" s="120"/>
    </row>
    <row r="216" spans="1:7" ht="15" customHeight="1">
      <c r="A216" s="122" t="s">
        <v>312</v>
      </c>
      <c r="B216" s="75">
        <f>B217+B218</f>
        <v>1553</v>
      </c>
      <c r="C216" s="75">
        <f>C217+C218</f>
        <v>106</v>
      </c>
      <c r="D216" s="75">
        <f>D217+D218</f>
        <v>49</v>
      </c>
      <c r="E216" s="118">
        <v>3.1680753192480946</v>
      </c>
      <c r="F216" s="118">
        <v>46.40554046918609</v>
      </c>
      <c r="G216" s="75">
        <f>G217+G218</f>
        <v>49</v>
      </c>
    </row>
    <row r="217" spans="1:7" ht="15" customHeight="1">
      <c r="A217" s="124" t="s">
        <v>313</v>
      </c>
      <c r="B217" s="120">
        <v>1067</v>
      </c>
      <c r="C217" s="120">
        <v>66</v>
      </c>
      <c r="D217" s="120">
        <v>49</v>
      </c>
      <c r="E217" s="121">
        <v>4.610484347672128</v>
      </c>
      <c r="F217" s="121">
        <v>74.16941949484598</v>
      </c>
      <c r="G217" s="120">
        <v>49</v>
      </c>
    </row>
    <row r="218" spans="1:7" ht="15" customHeight="1">
      <c r="A218" s="124" t="s">
        <v>314</v>
      </c>
      <c r="B218" s="120">
        <v>486</v>
      </c>
      <c r="C218" s="120">
        <v>40</v>
      </c>
      <c r="D218" s="120"/>
      <c r="E218" s="121"/>
      <c r="F218" s="121"/>
      <c r="G218" s="120"/>
    </row>
    <row r="219" spans="1:7" ht="27.75" customHeight="1">
      <c r="A219" s="133" t="s">
        <v>345</v>
      </c>
      <c r="B219" s="103"/>
      <c r="C219" s="103"/>
      <c r="D219" s="103"/>
      <c r="E219" s="121"/>
      <c r="F219" s="121"/>
      <c r="G219" s="103"/>
    </row>
    <row r="220" spans="1:7" ht="15" customHeight="1">
      <c r="A220" s="119" t="s">
        <v>307</v>
      </c>
      <c r="B220" s="120">
        <v>1318</v>
      </c>
      <c r="C220" s="120"/>
      <c r="D220" s="120"/>
      <c r="E220" s="121"/>
      <c r="F220" s="121"/>
      <c r="G220" s="120"/>
    </row>
    <row r="221" spans="1:7" ht="15" customHeight="1">
      <c r="A221" s="119" t="s">
        <v>310</v>
      </c>
      <c r="B221" s="120">
        <v>1318</v>
      </c>
      <c r="C221" s="120"/>
      <c r="D221" s="120"/>
      <c r="E221" s="121"/>
      <c r="F221" s="121"/>
      <c r="G221" s="120"/>
    </row>
    <row r="222" spans="1:7" ht="15" customHeight="1">
      <c r="A222" s="122" t="s">
        <v>312</v>
      </c>
      <c r="B222" s="75">
        <f>B223+B224</f>
        <v>1218</v>
      </c>
      <c r="C222" s="75"/>
      <c r="D222" s="75"/>
      <c r="E222" s="118"/>
      <c r="F222" s="118"/>
      <c r="G222" s="75"/>
    </row>
    <row r="223" spans="1:7" ht="15" customHeight="1">
      <c r="A223" s="124" t="s">
        <v>313</v>
      </c>
      <c r="B223" s="120">
        <v>926</v>
      </c>
      <c r="C223" s="120"/>
      <c r="D223" s="120"/>
      <c r="E223" s="121"/>
      <c r="F223" s="121"/>
      <c r="G223" s="120"/>
    </row>
    <row r="224" spans="1:7" ht="15" customHeight="1">
      <c r="A224" s="124" t="s">
        <v>314</v>
      </c>
      <c r="B224" s="120">
        <v>292</v>
      </c>
      <c r="C224" s="120"/>
      <c r="D224" s="120"/>
      <c r="E224" s="121"/>
      <c r="F224" s="121"/>
      <c r="G224" s="120"/>
    </row>
    <row r="225" spans="1:7" ht="15" customHeight="1">
      <c r="A225" s="18" t="s">
        <v>316</v>
      </c>
      <c r="B225" s="120">
        <v>100</v>
      </c>
      <c r="C225" s="120"/>
      <c r="D225" s="120"/>
      <c r="E225" s="121"/>
      <c r="F225" s="121"/>
      <c r="G225" s="120"/>
    </row>
    <row r="226" spans="1:7" ht="15" customHeight="1">
      <c r="A226" s="74" t="s">
        <v>346</v>
      </c>
      <c r="B226" s="103"/>
      <c r="C226" s="103"/>
      <c r="D226" s="103"/>
      <c r="E226" s="121"/>
      <c r="F226" s="121"/>
      <c r="G226" s="103"/>
    </row>
    <row r="227" spans="1:7" ht="15" customHeight="1">
      <c r="A227" s="119" t="s">
        <v>307</v>
      </c>
      <c r="B227" s="134">
        <v>109108</v>
      </c>
      <c r="C227" s="134">
        <v>8669</v>
      </c>
      <c r="D227" s="134">
        <v>8669</v>
      </c>
      <c r="E227" s="121">
        <v>7.945609878028198</v>
      </c>
      <c r="F227" s="121">
        <v>100</v>
      </c>
      <c r="G227" s="134">
        <v>8669</v>
      </c>
    </row>
    <row r="228" spans="1:7" ht="15" customHeight="1">
      <c r="A228" s="119" t="s">
        <v>308</v>
      </c>
      <c r="B228" s="120">
        <v>109108</v>
      </c>
      <c r="C228" s="120">
        <v>8669</v>
      </c>
      <c r="D228" s="120">
        <v>8669</v>
      </c>
      <c r="E228" s="121">
        <v>7.945609878028198</v>
      </c>
      <c r="F228" s="121">
        <v>100</v>
      </c>
      <c r="G228" s="120">
        <v>8669</v>
      </c>
    </row>
    <row r="229" spans="1:7" ht="15" customHeight="1">
      <c r="A229" s="122" t="s">
        <v>312</v>
      </c>
      <c r="B229" s="75">
        <f>B230+B231</f>
        <v>109109</v>
      </c>
      <c r="C229" s="75">
        <f>C230+C231</f>
        <v>8669</v>
      </c>
      <c r="D229" s="75">
        <f>D230+D231</f>
        <v>8433</v>
      </c>
      <c r="E229" s="118">
        <v>7.729136813141315</v>
      </c>
      <c r="F229" s="118">
        <v>97.27556388735506</v>
      </c>
      <c r="G229" s="75">
        <f>G230+G231</f>
        <v>8433</v>
      </c>
    </row>
    <row r="230" spans="1:7" ht="15" customHeight="1">
      <c r="A230" s="124" t="s">
        <v>313</v>
      </c>
      <c r="B230" s="120">
        <v>98822</v>
      </c>
      <c r="C230" s="120">
        <v>8324</v>
      </c>
      <c r="D230" s="120">
        <v>8288</v>
      </c>
      <c r="E230" s="121">
        <v>8.387160035787717</v>
      </c>
      <c r="F230" s="121">
        <v>99.56753260653984</v>
      </c>
      <c r="G230" s="120">
        <v>8288</v>
      </c>
    </row>
    <row r="231" spans="1:7" ht="15" customHeight="1">
      <c r="A231" s="124" t="s">
        <v>314</v>
      </c>
      <c r="B231" s="120">
        <v>10287</v>
      </c>
      <c r="C231" s="120">
        <v>345</v>
      </c>
      <c r="D231" s="120">
        <v>145</v>
      </c>
      <c r="E231" s="121">
        <v>1.4077426410545555</v>
      </c>
      <c r="F231" s="121">
        <v>41.97415377302161</v>
      </c>
      <c r="G231" s="120">
        <v>145</v>
      </c>
    </row>
    <row r="232" spans="1:7" ht="15" customHeight="1">
      <c r="A232" s="74" t="s">
        <v>347</v>
      </c>
      <c r="B232" s="103"/>
      <c r="C232" s="103"/>
      <c r="D232" s="103"/>
      <c r="E232" s="121"/>
      <c r="F232" s="121"/>
      <c r="G232" s="103"/>
    </row>
    <row r="233" spans="1:7" ht="15" customHeight="1">
      <c r="A233" s="119" t="s">
        <v>307</v>
      </c>
      <c r="B233" s="120">
        <v>7678</v>
      </c>
      <c r="C233" s="120">
        <v>670</v>
      </c>
      <c r="D233" s="120">
        <v>670</v>
      </c>
      <c r="E233" s="121">
        <v>8.721190190490963</v>
      </c>
      <c r="F233" s="121">
        <v>100</v>
      </c>
      <c r="G233" s="120">
        <v>670</v>
      </c>
    </row>
    <row r="234" spans="1:7" ht="15" customHeight="1">
      <c r="A234" s="119" t="s">
        <v>308</v>
      </c>
      <c r="B234" s="120">
        <v>7678</v>
      </c>
      <c r="C234" s="120">
        <v>670</v>
      </c>
      <c r="D234" s="120">
        <v>670</v>
      </c>
      <c r="E234" s="121">
        <v>8.721190190490963</v>
      </c>
      <c r="F234" s="121">
        <v>100</v>
      </c>
      <c r="G234" s="120">
        <v>670</v>
      </c>
    </row>
    <row r="235" spans="1:7" ht="15" customHeight="1">
      <c r="A235" s="122" t="s">
        <v>312</v>
      </c>
      <c r="B235" s="75">
        <f>B236+B237</f>
        <v>7678</v>
      </c>
      <c r="C235" s="75">
        <f>C236+C237</f>
        <v>670</v>
      </c>
      <c r="D235" s="75">
        <f>D236+D237</f>
        <v>648</v>
      </c>
      <c r="E235" s="118">
        <v>8.438990520451108</v>
      </c>
      <c r="F235" s="118">
        <v>96.76420690437931</v>
      </c>
      <c r="G235" s="75">
        <f>G236+G237</f>
        <v>648</v>
      </c>
    </row>
    <row r="236" spans="1:7" ht="15" customHeight="1">
      <c r="A236" s="124" t="s">
        <v>313</v>
      </c>
      <c r="B236" s="120">
        <v>7678</v>
      </c>
      <c r="C236" s="120">
        <v>670</v>
      </c>
      <c r="D236" s="120">
        <v>648</v>
      </c>
      <c r="E236" s="121">
        <v>8.438990520451108</v>
      </c>
      <c r="F236" s="121">
        <v>96.76420690437931</v>
      </c>
      <c r="G236" s="120">
        <v>648</v>
      </c>
    </row>
    <row r="237" spans="2:7" ht="12.75">
      <c r="B237" s="33"/>
      <c r="C237" s="33"/>
      <c r="D237" s="33"/>
      <c r="E237" s="113"/>
      <c r="F237" s="113"/>
      <c r="G237" s="33"/>
    </row>
    <row r="238" spans="2:7" ht="12.75">
      <c r="B238" s="33"/>
      <c r="C238" s="33"/>
      <c r="D238" s="33"/>
      <c r="E238" s="33"/>
      <c r="F238" s="33"/>
      <c r="G238" s="33"/>
    </row>
    <row r="239" spans="2:7" ht="12.75">
      <c r="B239" s="33"/>
      <c r="C239" s="33"/>
      <c r="D239" s="33"/>
      <c r="E239" s="33"/>
      <c r="F239" s="33"/>
      <c r="G239" s="33"/>
    </row>
    <row r="240" spans="1:7" ht="14.25">
      <c r="A240" s="66" t="s">
        <v>348</v>
      </c>
      <c r="B240" s="67"/>
      <c r="C240" s="67"/>
      <c r="D240" s="50"/>
      <c r="E240" s="50"/>
      <c r="F240" s="67" t="s">
        <v>296</v>
      </c>
      <c r="G240" s="33"/>
    </row>
    <row r="241" spans="2:7" ht="12.75">
      <c r="B241" s="33"/>
      <c r="C241" s="33"/>
      <c r="D241" s="33"/>
      <c r="E241" s="33"/>
      <c r="F241" s="33"/>
      <c r="G241" s="33"/>
    </row>
    <row r="257" ht="12.75">
      <c r="A257" s="33" t="s">
        <v>297</v>
      </c>
    </row>
    <row r="258" ht="12.75">
      <c r="A258" s="33" t="s">
        <v>562</v>
      </c>
    </row>
  </sheetData>
  <mergeCells count="4">
    <mergeCell ref="A3:G3"/>
    <mergeCell ref="A4:F4"/>
    <mergeCell ref="A5:F5"/>
    <mergeCell ref="A7:F7"/>
  </mergeCells>
  <printOptions/>
  <pageMargins left="0.52" right="0.42" top="0.5" bottom="1" header="0.32" footer="0.5"/>
  <pageSetup firstPageNumber="9" useFirstPageNumber="1" horizontalDpi="600" verticalDpi="600" orientation="portrait" r:id="rId1"/>
  <headerFooter alignWithMargins="0">
    <oddFooter>&amp;R&amp;9&amp;P</oddFooter>
  </headerFooter>
  <rowBreaks count="1" manualBreakCount="1">
    <brk id="1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I27">
      <selection activeCell="L58" sqref="L58"/>
    </sheetView>
  </sheetViews>
  <sheetFormatPr defaultColWidth="9.140625" defaultRowHeight="17.25" customHeight="1"/>
  <cols>
    <col min="1" max="1" width="43.00390625" style="3" customWidth="1"/>
    <col min="2" max="2" width="13.140625" style="3" customWidth="1"/>
    <col min="3" max="3" width="10.57421875" style="3" customWidth="1"/>
    <col min="4" max="4" width="12.140625" style="3" customWidth="1"/>
    <col min="5" max="5" width="9.8515625" style="62" customWidth="1"/>
    <col min="6" max="6" width="8.57421875" style="0" bestFit="1" customWidth="1"/>
    <col min="7" max="7" width="12.57421875" style="0" customWidth="1"/>
    <col min="8" max="8" width="7.421875" style="0" customWidth="1"/>
    <col min="9" max="9" width="36.28125" style="0" customWidth="1"/>
    <col min="10" max="10" width="11.00390625" style="0" customWidth="1"/>
    <col min="11" max="11" width="8.28125" style="0" customWidth="1"/>
    <col min="12" max="12" width="9.57421875" style="0" customWidth="1"/>
    <col min="13" max="13" width="7.7109375" style="0" customWidth="1"/>
    <col min="14" max="14" width="9.421875" style="0" customWidth="1"/>
    <col min="15" max="15" width="9.00390625" style="0" customWidth="1"/>
  </cols>
  <sheetData>
    <row r="1" spans="1:15" ht="17.25" customHeight="1">
      <c r="A1"/>
      <c r="B1"/>
      <c r="C1"/>
      <c r="D1"/>
      <c r="E1"/>
      <c r="G1" s="3" t="s">
        <v>349</v>
      </c>
      <c r="O1" s="3" t="s">
        <v>349</v>
      </c>
    </row>
    <row r="2" spans="1:10" ht="17.25" customHeight="1">
      <c r="A2"/>
      <c r="B2" s="5" t="s">
        <v>350</v>
      </c>
      <c r="C2"/>
      <c r="D2"/>
      <c r="E2"/>
      <c r="I2" s="33"/>
      <c r="J2" s="105" t="s">
        <v>350</v>
      </c>
    </row>
    <row r="3" spans="1:5" ht="14.25" customHeight="1">
      <c r="A3"/>
      <c r="B3"/>
      <c r="C3"/>
      <c r="D3"/>
      <c r="E3"/>
    </row>
    <row r="4" spans="1:15" ht="17.25" customHeight="1">
      <c r="A4" s="616" t="s">
        <v>351</v>
      </c>
      <c r="B4" s="616"/>
      <c r="C4" s="616"/>
      <c r="D4" s="616"/>
      <c r="E4" s="616"/>
      <c r="F4" s="616"/>
      <c r="G4" s="616"/>
      <c r="I4" s="624" t="s">
        <v>351</v>
      </c>
      <c r="J4" s="624"/>
      <c r="K4" s="624"/>
      <c r="L4" s="624"/>
      <c r="M4" s="624"/>
      <c r="N4" s="624"/>
      <c r="O4" s="624"/>
    </row>
    <row r="5" spans="1:14" ht="12.75" customHeight="1">
      <c r="A5" s="623" t="s">
        <v>352</v>
      </c>
      <c r="B5" s="623"/>
      <c r="C5" s="623"/>
      <c r="D5" s="623"/>
      <c r="E5" s="623"/>
      <c r="F5" s="623"/>
      <c r="I5" s="614" t="s">
        <v>353</v>
      </c>
      <c r="J5" s="614"/>
      <c r="K5" s="614"/>
      <c r="L5" s="614"/>
      <c r="M5" s="614"/>
      <c r="N5" s="614"/>
    </row>
    <row r="6" spans="1:14" ht="13.5" customHeight="1">
      <c r="A6" s="1"/>
      <c r="B6" s="1"/>
      <c r="C6" s="1"/>
      <c r="D6" s="1"/>
      <c r="E6" s="1"/>
      <c r="F6" s="1"/>
      <c r="I6" s="1"/>
      <c r="J6" s="1"/>
      <c r="K6" s="1"/>
      <c r="L6" s="1"/>
      <c r="M6" s="1"/>
      <c r="N6" s="1"/>
    </row>
    <row r="7" spans="1:15" ht="14.25" customHeight="1">
      <c r="A7"/>
      <c r="B7"/>
      <c r="C7"/>
      <c r="D7"/>
      <c r="E7"/>
      <c r="G7" s="3" t="s">
        <v>190</v>
      </c>
      <c r="N7" s="622" t="s">
        <v>190</v>
      </c>
      <c r="O7" s="622"/>
    </row>
    <row r="8" spans="1:15" ht="93" customHeight="1">
      <c r="A8" s="10" t="s">
        <v>610</v>
      </c>
      <c r="B8" s="10" t="s">
        <v>192</v>
      </c>
      <c r="C8" s="10" t="s">
        <v>354</v>
      </c>
      <c r="D8" s="10" t="s">
        <v>193</v>
      </c>
      <c r="E8" s="10" t="s">
        <v>355</v>
      </c>
      <c r="F8" s="10" t="s">
        <v>356</v>
      </c>
      <c r="G8" s="10" t="s">
        <v>613</v>
      </c>
      <c r="I8" s="10" t="s">
        <v>610</v>
      </c>
      <c r="J8" s="10" t="s">
        <v>192</v>
      </c>
      <c r="K8" s="10" t="s">
        <v>354</v>
      </c>
      <c r="L8" s="10" t="s">
        <v>193</v>
      </c>
      <c r="M8" s="10" t="s">
        <v>355</v>
      </c>
      <c r="N8" s="10" t="s">
        <v>356</v>
      </c>
      <c r="O8" s="10" t="s">
        <v>613</v>
      </c>
    </row>
    <row r="9" spans="1:15" ht="14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I9" s="10">
        <v>1</v>
      </c>
      <c r="J9" s="10">
        <v>2</v>
      </c>
      <c r="K9" s="10">
        <v>3</v>
      </c>
      <c r="L9" s="10">
        <v>4</v>
      </c>
      <c r="M9" s="490">
        <v>5</v>
      </c>
      <c r="N9" s="10">
        <v>6</v>
      </c>
      <c r="O9" s="10">
        <v>7</v>
      </c>
    </row>
    <row r="10" spans="1:15" ht="12.75">
      <c r="A10" s="135" t="s">
        <v>357</v>
      </c>
      <c r="B10" s="75">
        <v>784824315</v>
      </c>
      <c r="C10" s="136"/>
      <c r="D10" s="75">
        <f>64478334-13000</f>
        <v>64465334</v>
      </c>
      <c r="E10" s="136"/>
      <c r="F10" s="136"/>
      <c r="G10" s="75">
        <f>D10</f>
        <v>64465334</v>
      </c>
      <c r="I10" s="135" t="s">
        <v>357</v>
      </c>
      <c r="J10" s="128">
        <f>ROUND(B10/1000,)</f>
        <v>784824</v>
      </c>
      <c r="K10" s="83" t="s">
        <v>206</v>
      </c>
      <c r="L10" s="128">
        <f>ROUND(D10/1000,)</f>
        <v>64465</v>
      </c>
      <c r="M10" s="123" t="s">
        <v>206</v>
      </c>
      <c r="N10" s="123" t="s">
        <v>206</v>
      </c>
      <c r="O10" s="128">
        <f>ROUND(G10/1000,)</f>
        <v>64465</v>
      </c>
    </row>
    <row r="11" spans="1:15" ht="12.75">
      <c r="A11" s="138" t="s">
        <v>358</v>
      </c>
      <c r="B11" s="136">
        <f aca="true" t="shared" si="0" ref="B11:G11">SUM(B12:B15)</f>
        <v>812007772</v>
      </c>
      <c r="C11" s="136">
        <f t="shared" si="0"/>
        <v>63081285</v>
      </c>
      <c r="D11" s="136">
        <f t="shared" si="0"/>
        <v>60762814</v>
      </c>
      <c r="E11" s="139">
        <f aca="true" t="shared" si="1" ref="E11:E19">IF(ISERROR(D11/B11)," ",(D11/B11))*100</f>
        <v>7.48303354909268</v>
      </c>
      <c r="F11" s="139">
        <f aca="true" t="shared" si="2" ref="F11:F19">IF(ISERROR(D11/C11)," ",(D11/C11))*100</f>
        <v>96.32462940474342</v>
      </c>
      <c r="G11" s="136">
        <f t="shared" si="0"/>
        <v>60762814</v>
      </c>
      <c r="I11" s="138" t="s">
        <v>358</v>
      </c>
      <c r="J11" s="103">
        <f aca="true" t="shared" si="3" ref="J11:J19">ROUND(B11/1000,0)</f>
        <v>812008</v>
      </c>
      <c r="K11" s="103">
        <f aca="true" t="shared" si="4" ref="K11:K19">ROUND(C11/1000,0)</f>
        <v>63081</v>
      </c>
      <c r="L11" s="103">
        <f>ROUND(D11/1000,0)</f>
        <v>60763</v>
      </c>
      <c r="M11" s="491">
        <f aca="true" t="shared" si="5" ref="M11:M19">E11</f>
        <v>7.48303354909268</v>
      </c>
      <c r="N11" s="325">
        <f aca="true" t="shared" si="6" ref="N11:N19">F11</f>
        <v>96.32462940474342</v>
      </c>
      <c r="O11" s="103">
        <f>ROUND(G11/1000,0)</f>
        <v>60763</v>
      </c>
    </row>
    <row r="12" spans="1:15" ht="12.75" customHeight="1">
      <c r="A12" s="140" t="s">
        <v>359</v>
      </c>
      <c r="B12" s="136">
        <v>702268383</v>
      </c>
      <c r="C12" s="136">
        <v>54603534</v>
      </c>
      <c r="D12" s="136">
        <v>54603534</v>
      </c>
      <c r="E12" s="139">
        <f t="shared" si="1"/>
        <v>7.775308603064364</v>
      </c>
      <c r="F12" s="139">
        <f t="shared" si="2"/>
        <v>100</v>
      </c>
      <c r="G12" s="136">
        <f>D12</f>
        <v>54603534</v>
      </c>
      <c r="I12" s="140" t="s">
        <v>359</v>
      </c>
      <c r="J12" s="103">
        <f t="shared" si="3"/>
        <v>702268</v>
      </c>
      <c r="K12" s="103">
        <f t="shared" si="4"/>
        <v>54604</v>
      </c>
      <c r="L12" s="103">
        <f aca="true" t="shared" si="7" ref="L12:L19">ROUND(D12/1000,0)</f>
        <v>54604</v>
      </c>
      <c r="M12" s="491">
        <f t="shared" si="5"/>
        <v>7.775308603064364</v>
      </c>
      <c r="N12" s="325">
        <f t="shared" si="6"/>
        <v>100</v>
      </c>
      <c r="O12" s="103">
        <f aca="true" t="shared" si="8" ref="O12:O39">ROUND(G12/1000,0)</f>
        <v>54604</v>
      </c>
    </row>
    <row r="13" spans="1:15" ht="12.75">
      <c r="A13" s="140" t="s">
        <v>360</v>
      </c>
      <c r="B13" s="136">
        <v>3480024</v>
      </c>
      <c r="C13" s="136">
        <v>219654</v>
      </c>
      <c r="D13" s="136">
        <v>54927</v>
      </c>
      <c r="E13" s="139">
        <f t="shared" si="1"/>
        <v>1.5783511837849393</v>
      </c>
      <c r="F13" s="139">
        <f t="shared" si="2"/>
        <v>25.006146029664837</v>
      </c>
      <c r="G13" s="136">
        <f>D13</f>
        <v>54927</v>
      </c>
      <c r="I13" s="140" t="s">
        <v>360</v>
      </c>
      <c r="J13" s="103">
        <f t="shared" si="3"/>
        <v>3480</v>
      </c>
      <c r="K13" s="103">
        <f t="shared" si="4"/>
        <v>220</v>
      </c>
      <c r="L13" s="103">
        <f t="shared" si="7"/>
        <v>55</v>
      </c>
      <c r="M13" s="491">
        <f t="shared" si="5"/>
        <v>1.5783511837849393</v>
      </c>
      <c r="N13" s="325">
        <f t="shared" si="6"/>
        <v>25.006146029664837</v>
      </c>
      <c r="O13" s="103">
        <f t="shared" si="8"/>
        <v>55</v>
      </c>
    </row>
    <row r="14" spans="1:15" ht="12.75" customHeight="1">
      <c r="A14" s="140" t="s">
        <v>361</v>
      </c>
      <c r="B14" s="136">
        <v>60659270</v>
      </c>
      <c r="C14" s="136">
        <v>4898316</v>
      </c>
      <c r="D14" s="136">
        <f>5214904-13000</f>
        <v>5201904</v>
      </c>
      <c r="E14" s="139">
        <f t="shared" si="1"/>
        <v>8.575612598041486</v>
      </c>
      <c r="F14" s="139">
        <f t="shared" si="2"/>
        <v>106.19780349001576</v>
      </c>
      <c r="G14" s="136">
        <f>D14</f>
        <v>5201904</v>
      </c>
      <c r="I14" s="140" t="s">
        <v>361</v>
      </c>
      <c r="J14" s="103">
        <f t="shared" si="3"/>
        <v>60659</v>
      </c>
      <c r="K14" s="103">
        <f t="shared" si="4"/>
        <v>4898</v>
      </c>
      <c r="L14" s="103">
        <f t="shared" si="7"/>
        <v>5202</v>
      </c>
      <c r="M14" s="491">
        <f t="shared" si="5"/>
        <v>8.575612598041486</v>
      </c>
      <c r="N14" s="325">
        <f t="shared" si="6"/>
        <v>106.19780349001576</v>
      </c>
      <c r="O14" s="103">
        <f t="shared" si="8"/>
        <v>5202</v>
      </c>
    </row>
    <row r="15" spans="1:15" ht="12.75" customHeight="1">
      <c r="A15" s="138" t="s">
        <v>362</v>
      </c>
      <c r="B15" s="136">
        <v>45600095</v>
      </c>
      <c r="C15" s="136">
        <v>3359781</v>
      </c>
      <c r="D15" s="136">
        <v>902449</v>
      </c>
      <c r="E15" s="139">
        <f t="shared" si="1"/>
        <v>1.9790507015391086</v>
      </c>
      <c r="F15" s="139">
        <f t="shared" si="2"/>
        <v>26.860351909841746</v>
      </c>
      <c r="G15" s="136">
        <f>D15</f>
        <v>902449</v>
      </c>
      <c r="I15" s="138" t="s">
        <v>362</v>
      </c>
      <c r="J15" s="103">
        <f t="shared" si="3"/>
        <v>45600</v>
      </c>
      <c r="K15" s="103">
        <f t="shared" si="4"/>
        <v>3360</v>
      </c>
      <c r="L15" s="103">
        <f t="shared" si="7"/>
        <v>902</v>
      </c>
      <c r="M15" s="491">
        <f t="shared" si="5"/>
        <v>1.9790507015391086</v>
      </c>
      <c r="N15" s="325">
        <f t="shared" si="6"/>
        <v>26.860351909841746</v>
      </c>
      <c r="O15" s="103">
        <f t="shared" si="8"/>
        <v>902</v>
      </c>
    </row>
    <row r="16" spans="1:15" ht="12.75" customHeight="1">
      <c r="A16" s="135" t="s">
        <v>363</v>
      </c>
      <c r="B16" s="141">
        <f>B17+B41</f>
        <v>812004772</v>
      </c>
      <c r="C16" s="141">
        <f>C17+C41</f>
        <v>63004715</v>
      </c>
      <c r="D16" s="142">
        <f>D17+D41</f>
        <v>55533410.480000004</v>
      </c>
      <c r="E16" s="139">
        <f t="shared" si="1"/>
        <v>6.83904976854003</v>
      </c>
      <c r="F16" s="139">
        <f t="shared" si="2"/>
        <v>88.14167396836888</v>
      </c>
      <c r="G16" s="141">
        <f>G17+G41</f>
        <v>55533410.480000004</v>
      </c>
      <c r="I16" s="135" t="s">
        <v>363</v>
      </c>
      <c r="J16" s="128">
        <f t="shared" si="3"/>
        <v>812005</v>
      </c>
      <c r="K16" s="128">
        <f>ROUND(C16/1000,0)-1</f>
        <v>63004</v>
      </c>
      <c r="L16" s="128">
        <f t="shared" si="7"/>
        <v>55533</v>
      </c>
      <c r="M16" s="491">
        <f t="shared" si="5"/>
        <v>6.83904976854003</v>
      </c>
      <c r="N16" s="325">
        <f t="shared" si="6"/>
        <v>88.14167396836888</v>
      </c>
      <c r="O16" s="128">
        <f t="shared" si="8"/>
        <v>55533</v>
      </c>
    </row>
    <row r="17" spans="1:15" ht="12.75" customHeight="1">
      <c r="A17" s="143" t="s">
        <v>364</v>
      </c>
      <c r="B17" s="141">
        <f aca="true" t="shared" si="9" ref="B17:G17">B18+B22+B26</f>
        <v>736101793</v>
      </c>
      <c r="C17" s="141">
        <f t="shared" si="9"/>
        <v>58763410</v>
      </c>
      <c r="D17" s="142">
        <f t="shared" si="9"/>
        <v>53375068.480000004</v>
      </c>
      <c r="E17" s="139">
        <f t="shared" si="1"/>
        <v>7.251044486995293</v>
      </c>
      <c r="F17" s="139">
        <f t="shared" si="2"/>
        <v>90.83044785862496</v>
      </c>
      <c r="G17" s="141">
        <f t="shared" si="9"/>
        <v>53375068.480000004</v>
      </c>
      <c r="I17" s="143" t="s">
        <v>364</v>
      </c>
      <c r="J17" s="128">
        <f t="shared" si="3"/>
        <v>736102</v>
      </c>
      <c r="K17" s="128">
        <f t="shared" si="4"/>
        <v>58763</v>
      </c>
      <c r="L17" s="128">
        <f t="shared" si="7"/>
        <v>53375</v>
      </c>
      <c r="M17" s="491">
        <f t="shared" si="5"/>
        <v>7.251044486995293</v>
      </c>
      <c r="N17" s="325">
        <f t="shared" si="6"/>
        <v>90.83044785862496</v>
      </c>
      <c r="O17" s="128">
        <f t="shared" si="8"/>
        <v>53375</v>
      </c>
    </row>
    <row r="18" spans="1:15" ht="12.75" customHeight="1">
      <c r="A18" s="144" t="s">
        <v>365</v>
      </c>
      <c r="B18" s="145">
        <v>372419860</v>
      </c>
      <c r="C18" s="145">
        <v>30291531</v>
      </c>
      <c r="D18" s="146">
        <f>D19+D20+D21</f>
        <v>25758938.98</v>
      </c>
      <c r="E18" s="139">
        <f t="shared" si="1"/>
        <v>6.916639456338339</v>
      </c>
      <c r="F18" s="139">
        <f t="shared" si="2"/>
        <v>85.0367681316603</v>
      </c>
      <c r="G18" s="136">
        <f aca="true" t="shared" si="10" ref="G18:G55">D18</f>
        <v>25758938.98</v>
      </c>
      <c r="I18" s="144" t="s">
        <v>365</v>
      </c>
      <c r="J18" s="128">
        <f t="shared" si="3"/>
        <v>372420</v>
      </c>
      <c r="K18" s="128">
        <f t="shared" si="4"/>
        <v>30292</v>
      </c>
      <c r="L18" s="128">
        <f>ROUND(D18/1000,0)-1</f>
        <v>25758</v>
      </c>
      <c r="M18" s="491">
        <f t="shared" si="5"/>
        <v>6.916639456338339</v>
      </c>
      <c r="N18" s="325">
        <f t="shared" si="6"/>
        <v>85.0367681316603</v>
      </c>
      <c r="O18" s="128">
        <f>ROUND(G18/1000,0)-1</f>
        <v>25758</v>
      </c>
    </row>
    <row r="19" spans="1:15" ht="12.75" customHeight="1">
      <c r="A19" s="147" t="s">
        <v>366</v>
      </c>
      <c r="B19" s="136">
        <v>171195440</v>
      </c>
      <c r="C19" s="136">
        <v>13061900</v>
      </c>
      <c r="D19" s="148">
        <v>12010205</v>
      </c>
      <c r="E19" s="139">
        <f t="shared" si="1"/>
        <v>7.015493520154509</v>
      </c>
      <c r="F19" s="139">
        <f t="shared" si="2"/>
        <v>91.94837657614895</v>
      </c>
      <c r="G19" s="136">
        <f t="shared" si="10"/>
        <v>12010205</v>
      </c>
      <c r="I19" s="147" t="s">
        <v>366</v>
      </c>
      <c r="J19" s="103">
        <f t="shared" si="3"/>
        <v>171195</v>
      </c>
      <c r="K19" s="103">
        <f t="shared" si="4"/>
        <v>13062</v>
      </c>
      <c r="L19" s="103">
        <f t="shared" si="7"/>
        <v>12010</v>
      </c>
      <c r="M19" s="491">
        <f t="shared" si="5"/>
        <v>7.015493520154509</v>
      </c>
      <c r="N19" s="325">
        <f t="shared" si="6"/>
        <v>91.94837657614895</v>
      </c>
      <c r="O19" s="103">
        <f t="shared" si="8"/>
        <v>12010</v>
      </c>
    </row>
    <row r="20" spans="1:15" ht="24.75" customHeight="1">
      <c r="A20" s="140" t="s">
        <v>367</v>
      </c>
      <c r="B20" s="139"/>
      <c r="C20" s="139"/>
      <c r="D20" s="148">
        <v>3227399.98</v>
      </c>
      <c r="E20" s="139"/>
      <c r="F20" s="139"/>
      <c r="G20" s="136">
        <f t="shared" si="10"/>
        <v>3227399.98</v>
      </c>
      <c r="I20" s="140" t="s">
        <v>367</v>
      </c>
      <c r="J20" s="426" t="s">
        <v>206</v>
      </c>
      <c r="K20" s="426" t="s">
        <v>206</v>
      </c>
      <c r="L20" s="103">
        <f aca="true" t="shared" si="11" ref="L20:L39">ROUND(D20/1000,0)</f>
        <v>3227</v>
      </c>
      <c r="M20" s="492" t="s">
        <v>206</v>
      </c>
      <c r="N20" s="492" t="s">
        <v>206</v>
      </c>
      <c r="O20" s="103">
        <f t="shared" si="8"/>
        <v>3227</v>
      </c>
    </row>
    <row r="21" spans="1:15" ht="12.75">
      <c r="A21" s="25" t="s">
        <v>368</v>
      </c>
      <c r="B21" s="139"/>
      <c r="C21" s="136">
        <v>17229631</v>
      </c>
      <c r="D21" s="148">
        <v>10521334</v>
      </c>
      <c r="E21" s="139"/>
      <c r="F21" s="139">
        <f>IF(ISERROR(D21/C21)," ",(D21/C21))*100</f>
        <v>61.06534724974667</v>
      </c>
      <c r="G21" s="136">
        <f t="shared" si="10"/>
        <v>10521334</v>
      </c>
      <c r="I21" s="25" t="s">
        <v>368</v>
      </c>
      <c r="J21" s="426" t="s">
        <v>206</v>
      </c>
      <c r="K21" s="103">
        <f>ROUND(C21/1000,0)</f>
        <v>17230</v>
      </c>
      <c r="L21" s="103">
        <f t="shared" si="11"/>
        <v>10521</v>
      </c>
      <c r="M21" s="492" t="s">
        <v>206</v>
      </c>
      <c r="N21" s="325">
        <f>F21</f>
        <v>61.06534724974667</v>
      </c>
      <c r="O21" s="103">
        <f t="shared" si="8"/>
        <v>10521</v>
      </c>
    </row>
    <row r="22" spans="1:15" ht="12.75">
      <c r="A22" s="17" t="s">
        <v>369</v>
      </c>
      <c r="B22" s="141">
        <v>44080640</v>
      </c>
      <c r="C22" s="136">
        <v>2406823</v>
      </c>
      <c r="D22" s="142">
        <v>2199567.72</v>
      </c>
      <c r="E22" s="139">
        <f>IF(ISERROR(D22/B22)," ",(D22/B22))*100</f>
        <v>4.9898724700911785</v>
      </c>
      <c r="F22" s="139">
        <f>IF(ISERROR(D22/C22)," ",(D22/C22))*100</f>
        <v>91.38884413187012</v>
      </c>
      <c r="G22" s="136">
        <f t="shared" si="10"/>
        <v>2199567.72</v>
      </c>
      <c r="I22" s="17" t="s">
        <v>369</v>
      </c>
      <c r="J22" s="128">
        <f>ROUND(B22/1000,0)</f>
        <v>44081</v>
      </c>
      <c r="K22" s="128">
        <f>ROUND(C22/1000,0)</f>
        <v>2407</v>
      </c>
      <c r="L22" s="128">
        <f t="shared" si="11"/>
        <v>2200</v>
      </c>
      <c r="M22" s="493">
        <f>E22</f>
        <v>4.9898724700911785</v>
      </c>
      <c r="N22" s="489">
        <f>F22</f>
        <v>91.38884413187012</v>
      </c>
      <c r="O22" s="128">
        <f t="shared" si="8"/>
        <v>2200</v>
      </c>
    </row>
    <row r="23" spans="1:15" ht="24">
      <c r="A23" s="140" t="s">
        <v>370</v>
      </c>
      <c r="B23" s="139"/>
      <c r="C23" s="139"/>
      <c r="D23" s="148">
        <v>1160146.78</v>
      </c>
      <c r="E23" s="139"/>
      <c r="F23" s="139"/>
      <c r="G23" s="136">
        <f t="shared" si="10"/>
        <v>1160146.78</v>
      </c>
      <c r="I23" s="140" t="s">
        <v>370</v>
      </c>
      <c r="J23" s="426" t="s">
        <v>206</v>
      </c>
      <c r="K23" s="426" t="s">
        <v>206</v>
      </c>
      <c r="L23" s="103">
        <f t="shared" si="11"/>
        <v>1160</v>
      </c>
      <c r="M23" s="492" t="s">
        <v>206</v>
      </c>
      <c r="N23" s="492" t="s">
        <v>206</v>
      </c>
      <c r="O23" s="103">
        <f t="shared" si="8"/>
        <v>1160</v>
      </c>
    </row>
    <row r="24" spans="1:15" ht="12.75" customHeight="1">
      <c r="A24" s="140" t="s">
        <v>371</v>
      </c>
      <c r="B24" s="139"/>
      <c r="C24" s="139"/>
      <c r="D24" s="148">
        <v>1007870.94</v>
      </c>
      <c r="E24" s="139"/>
      <c r="F24" s="139"/>
      <c r="G24" s="136">
        <f t="shared" si="10"/>
        <v>1007870.94</v>
      </c>
      <c r="I24" s="140" t="s">
        <v>371</v>
      </c>
      <c r="J24" s="426" t="s">
        <v>206</v>
      </c>
      <c r="K24" s="426" t="s">
        <v>206</v>
      </c>
      <c r="L24" s="103">
        <f t="shared" si="11"/>
        <v>1008</v>
      </c>
      <c r="M24" s="492" t="s">
        <v>206</v>
      </c>
      <c r="N24" s="492" t="s">
        <v>206</v>
      </c>
      <c r="O24" s="103">
        <f t="shared" si="8"/>
        <v>1008</v>
      </c>
    </row>
    <row r="25" spans="1:15" ht="24.75" customHeight="1">
      <c r="A25" s="140" t="s">
        <v>372</v>
      </c>
      <c r="B25" s="139"/>
      <c r="C25" s="139"/>
      <c r="D25" s="148">
        <v>31550</v>
      </c>
      <c r="E25" s="139"/>
      <c r="F25" s="139"/>
      <c r="G25" s="136">
        <f t="shared" si="10"/>
        <v>31550</v>
      </c>
      <c r="I25" s="140" t="s">
        <v>372</v>
      </c>
      <c r="J25" s="426" t="s">
        <v>206</v>
      </c>
      <c r="K25" s="426" t="s">
        <v>206</v>
      </c>
      <c r="L25" s="103">
        <f t="shared" si="11"/>
        <v>32</v>
      </c>
      <c r="M25" s="492" t="s">
        <v>206</v>
      </c>
      <c r="N25" s="492" t="s">
        <v>206</v>
      </c>
      <c r="O25" s="103">
        <f t="shared" si="8"/>
        <v>32</v>
      </c>
    </row>
    <row r="26" spans="1:15" ht="12.75" customHeight="1">
      <c r="A26" s="150" t="s">
        <v>373</v>
      </c>
      <c r="B26" s="141">
        <v>319601293</v>
      </c>
      <c r="C26" s="136">
        <v>26065056</v>
      </c>
      <c r="D26" s="142">
        <f>D27+D28+D29+D30+D32+D37+D38</f>
        <v>25416561.78</v>
      </c>
      <c r="E26" s="139">
        <f>IF(ISERROR(D26/B26)," ",(D26/B26))*100</f>
        <v>7.952584153030946</v>
      </c>
      <c r="F26" s="139">
        <f>IF(ISERROR(D26/C26)," ",(D26/C26))*100</f>
        <v>97.51201677832574</v>
      </c>
      <c r="G26" s="136">
        <f t="shared" si="10"/>
        <v>25416561.78</v>
      </c>
      <c r="I26" s="150" t="s">
        <v>373</v>
      </c>
      <c r="J26" s="128">
        <f>ROUND(B26/1000,0)</f>
        <v>319601</v>
      </c>
      <c r="K26" s="128">
        <f>ROUND(C26/1000,0)</f>
        <v>26065</v>
      </c>
      <c r="L26" s="128">
        <f>ROUND(D26/1000,0)</f>
        <v>25417</v>
      </c>
      <c r="M26" s="493">
        <f>E26</f>
        <v>7.952584153030946</v>
      </c>
      <c r="N26" s="489">
        <f>F26</f>
        <v>97.51201677832574</v>
      </c>
      <c r="O26" s="128">
        <f>ROUND(G26/1000,0)</f>
        <v>25417</v>
      </c>
    </row>
    <row r="27" spans="1:15" ht="12.75" customHeight="1">
      <c r="A27" s="147" t="s">
        <v>374</v>
      </c>
      <c r="B27" s="139"/>
      <c r="C27" s="139"/>
      <c r="D27" s="148">
        <v>2502169</v>
      </c>
      <c r="E27" s="139"/>
      <c r="F27" s="139"/>
      <c r="G27" s="136">
        <f t="shared" si="10"/>
        <v>2502169</v>
      </c>
      <c r="I27" s="147" t="s">
        <v>374</v>
      </c>
      <c r="J27" s="426" t="s">
        <v>206</v>
      </c>
      <c r="K27" s="426" t="s">
        <v>206</v>
      </c>
      <c r="L27" s="103">
        <f t="shared" si="11"/>
        <v>2502</v>
      </c>
      <c r="M27" s="492" t="s">
        <v>206</v>
      </c>
      <c r="N27" s="492" t="s">
        <v>206</v>
      </c>
      <c r="O27" s="103">
        <f t="shared" si="8"/>
        <v>2502</v>
      </c>
    </row>
    <row r="28" spans="1:15" ht="12.75" customHeight="1">
      <c r="A28" s="140" t="s">
        <v>375</v>
      </c>
      <c r="B28" s="139"/>
      <c r="C28" s="139"/>
      <c r="D28" s="148">
        <v>8292494</v>
      </c>
      <c r="E28" s="139"/>
      <c r="F28" s="139"/>
      <c r="G28" s="136">
        <f t="shared" si="10"/>
        <v>8292494</v>
      </c>
      <c r="I28" s="140" t="s">
        <v>375</v>
      </c>
      <c r="J28" s="426" t="s">
        <v>206</v>
      </c>
      <c r="K28" s="426" t="s">
        <v>206</v>
      </c>
      <c r="L28" s="103">
        <f>ROUND(D28/1000,0)+1</f>
        <v>8293</v>
      </c>
      <c r="M28" s="492" t="s">
        <v>206</v>
      </c>
      <c r="N28" s="492" t="s">
        <v>206</v>
      </c>
      <c r="O28" s="103">
        <f>ROUND(G28/1000,0)+1</f>
        <v>8293</v>
      </c>
    </row>
    <row r="29" spans="1:15" ht="12.75" customHeight="1">
      <c r="A29" s="140" t="s">
        <v>376</v>
      </c>
      <c r="B29" s="139"/>
      <c r="C29" s="139"/>
      <c r="D29" s="148">
        <v>643770</v>
      </c>
      <c r="E29" s="139"/>
      <c r="F29" s="139"/>
      <c r="G29" s="136">
        <f t="shared" si="10"/>
        <v>643770</v>
      </c>
      <c r="I29" s="140" t="s">
        <v>376</v>
      </c>
      <c r="J29" s="426" t="s">
        <v>206</v>
      </c>
      <c r="K29" s="426" t="s">
        <v>206</v>
      </c>
      <c r="L29" s="103">
        <f t="shared" si="11"/>
        <v>644</v>
      </c>
      <c r="M29" s="492" t="s">
        <v>206</v>
      </c>
      <c r="N29" s="492" t="s">
        <v>206</v>
      </c>
      <c r="O29" s="103">
        <f t="shared" si="8"/>
        <v>644</v>
      </c>
    </row>
    <row r="30" spans="1:15" ht="12.75" customHeight="1">
      <c r="A30" s="140" t="s">
        <v>377</v>
      </c>
      <c r="B30" s="136">
        <v>28083326</v>
      </c>
      <c r="C30" s="136">
        <v>2076286</v>
      </c>
      <c r="D30" s="148">
        <v>1705247.16</v>
      </c>
      <c r="E30" s="139"/>
      <c r="F30" s="139">
        <f>IF(ISERROR(D30/C30)," ",(D30/C30))*100</f>
        <v>82.12968540942818</v>
      </c>
      <c r="G30" s="136">
        <f t="shared" si="10"/>
        <v>1705247.16</v>
      </c>
      <c r="I30" s="140" t="s">
        <v>377</v>
      </c>
      <c r="J30" s="103">
        <f>ROUND(B30/1000,0)</f>
        <v>28083</v>
      </c>
      <c r="K30" s="103">
        <f>ROUND(C30/1000,0)</f>
        <v>2076</v>
      </c>
      <c r="L30" s="103">
        <f t="shared" si="11"/>
        <v>1705</v>
      </c>
      <c r="M30" s="492" t="s">
        <v>206</v>
      </c>
      <c r="N30" s="325">
        <f>F30</f>
        <v>82.12968540942818</v>
      </c>
      <c r="O30" s="103">
        <f t="shared" si="8"/>
        <v>1705</v>
      </c>
    </row>
    <row r="31" spans="1:15" ht="12.75" customHeight="1">
      <c r="A31" s="140"/>
      <c r="B31" s="136"/>
      <c r="C31" s="136"/>
      <c r="D31" s="148"/>
      <c r="E31" s="139"/>
      <c r="F31" s="139"/>
      <c r="G31" s="136"/>
      <c r="I31" s="140" t="s">
        <v>378</v>
      </c>
      <c r="J31" s="103"/>
      <c r="K31" s="103"/>
      <c r="L31" s="103"/>
      <c r="M31" s="492"/>
      <c r="N31" s="325"/>
      <c r="O31" s="103"/>
    </row>
    <row r="32" spans="1:15" ht="12.75" customHeight="1">
      <c r="A32" s="140" t="s">
        <v>379</v>
      </c>
      <c r="B32" s="136">
        <v>74179712</v>
      </c>
      <c r="C32" s="136">
        <v>6882908</v>
      </c>
      <c r="D32" s="148">
        <v>6778473.18</v>
      </c>
      <c r="E32" s="136"/>
      <c r="F32" s="139">
        <f>IF(ISERROR(D32/C32)," ",(D32/C32))*100</f>
        <v>98.48269336158495</v>
      </c>
      <c r="G32" s="136">
        <f t="shared" si="10"/>
        <v>6778473.18</v>
      </c>
      <c r="I32" s="140" t="s">
        <v>379</v>
      </c>
      <c r="J32" s="103">
        <f>ROUND(B32/1000,0)</f>
        <v>74180</v>
      </c>
      <c r="K32" s="103">
        <f>ROUND(C32/1000,0)</f>
        <v>6883</v>
      </c>
      <c r="L32" s="103">
        <f>ROUND(D32/1000,0)+1</f>
        <v>6779</v>
      </c>
      <c r="M32" s="492" t="s">
        <v>206</v>
      </c>
      <c r="N32" s="325">
        <f>F32</f>
        <v>98.48269336158495</v>
      </c>
      <c r="O32" s="103">
        <f>ROUND(G32/1000,0)+1</f>
        <v>6779</v>
      </c>
    </row>
    <row r="33" spans="1:15" ht="12.75" customHeight="1">
      <c r="A33" s="151" t="s">
        <v>380</v>
      </c>
      <c r="B33" s="139"/>
      <c r="C33" s="139"/>
      <c r="D33" s="148">
        <v>75649.3</v>
      </c>
      <c r="E33" s="139"/>
      <c r="F33" s="139"/>
      <c r="G33" s="136">
        <f t="shared" si="10"/>
        <v>75649.3</v>
      </c>
      <c r="I33" s="151" t="s">
        <v>381</v>
      </c>
      <c r="J33" s="426" t="s">
        <v>206</v>
      </c>
      <c r="K33" s="426" t="s">
        <v>206</v>
      </c>
      <c r="L33" s="103">
        <f t="shared" si="11"/>
        <v>76</v>
      </c>
      <c r="M33" s="492" t="s">
        <v>206</v>
      </c>
      <c r="N33" s="492" t="s">
        <v>206</v>
      </c>
      <c r="O33" s="103">
        <f t="shared" si="8"/>
        <v>76</v>
      </c>
    </row>
    <row r="34" spans="1:15" ht="12.75" customHeight="1">
      <c r="A34" s="151" t="s">
        <v>382</v>
      </c>
      <c r="B34" s="139"/>
      <c r="C34" s="139"/>
      <c r="D34" s="148">
        <v>5249554.84</v>
      </c>
      <c r="E34" s="139"/>
      <c r="F34" s="139"/>
      <c r="G34" s="136">
        <f t="shared" si="10"/>
        <v>5249554.84</v>
      </c>
      <c r="I34" s="152" t="s">
        <v>383</v>
      </c>
      <c r="J34" s="426" t="s">
        <v>206</v>
      </c>
      <c r="K34" s="426" t="s">
        <v>206</v>
      </c>
      <c r="L34" s="103">
        <f>ROUND(D34/1000,0)-1</f>
        <v>5249</v>
      </c>
      <c r="M34" s="492" t="s">
        <v>206</v>
      </c>
      <c r="N34" s="492" t="s">
        <v>206</v>
      </c>
      <c r="O34" s="103">
        <f>ROUND(G34/1000,0)-1</f>
        <v>5249</v>
      </c>
    </row>
    <row r="35" spans="1:15" ht="12.75" customHeight="1">
      <c r="A35" s="151" t="s">
        <v>384</v>
      </c>
      <c r="B35" s="139"/>
      <c r="C35" s="139"/>
      <c r="D35" s="148">
        <v>587710.2</v>
      </c>
      <c r="E35" s="139"/>
      <c r="F35" s="139"/>
      <c r="G35" s="136">
        <f t="shared" si="10"/>
        <v>587710.2</v>
      </c>
      <c r="I35" s="152" t="s">
        <v>385</v>
      </c>
      <c r="J35" s="426" t="s">
        <v>206</v>
      </c>
      <c r="K35" s="426" t="s">
        <v>206</v>
      </c>
      <c r="L35" s="103">
        <f t="shared" si="11"/>
        <v>588</v>
      </c>
      <c r="M35" s="492" t="s">
        <v>206</v>
      </c>
      <c r="N35" s="492" t="s">
        <v>206</v>
      </c>
      <c r="O35" s="103">
        <f t="shared" si="8"/>
        <v>588</v>
      </c>
    </row>
    <row r="36" spans="1:15" ht="12.75" customHeight="1">
      <c r="A36" s="151" t="s">
        <v>386</v>
      </c>
      <c r="B36" s="139"/>
      <c r="C36" s="139"/>
      <c r="D36" s="148">
        <v>865558.84</v>
      </c>
      <c r="E36" s="139"/>
      <c r="F36" s="139"/>
      <c r="G36" s="136">
        <f t="shared" si="10"/>
        <v>865558.84</v>
      </c>
      <c r="I36" s="152" t="s">
        <v>387</v>
      </c>
      <c r="J36" s="426" t="s">
        <v>206</v>
      </c>
      <c r="K36" s="426" t="s">
        <v>206</v>
      </c>
      <c r="L36" s="103">
        <f>ROUND(D36/1000,0)</f>
        <v>866</v>
      </c>
      <c r="M36" s="492" t="s">
        <v>206</v>
      </c>
      <c r="N36" s="492" t="s">
        <v>206</v>
      </c>
      <c r="O36" s="103">
        <f>ROUND(G36/1000,0)</f>
        <v>866</v>
      </c>
    </row>
    <row r="37" spans="1:15" ht="12.75" customHeight="1">
      <c r="A37" s="140" t="s">
        <v>388</v>
      </c>
      <c r="B37" s="136">
        <v>5325385</v>
      </c>
      <c r="C37" s="136">
        <v>473043</v>
      </c>
      <c r="D37" s="148">
        <v>429193.44</v>
      </c>
      <c r="E37" s="139">
        <f>IF(ISERROR(D37/B37)," ",(D37/B37))*100</f>
        <v>8.05938800668872</v>
      </c>
      <c r="F37" s="139">
        <f>IF(ISERROR(D37/C37)," ",(D37/C37))*100</f>
        <v>90.73032261337765</v>
      </c>
      <c r="G37" s="136">
        <f t="shared" si="10"/>
        <v>429193.44</v>
      </c>
      <c r="I37" s="140" t="s">
        <v>388</v>
      </c>
      <c r="J37" s="103">
        <f>ROUND(B37/1000,0)</f>
        <v>5325</v>
      </c>
      <c r="K37" s="103">
        <f>ROUND(C37/1000,0)</f>
        <v>473</v>
      </c>
      <c r="L37" s="103">
        <f t="shared" si="11"/>
        <v>429</v>
      </c>
      <c r="M37" s="491">
        <f>E37</f>
        <v>8.05938800668872</v>
      </c>
      <c r="N37" s="325">
        <f>F37</f>
        <v>90.73032261337765</v>
      </c>
      <c r="O37" s="103">
        <f t="shared" si="8"/>
        <v>429</v>
      </c>
    </row>
    <row r="38" spans="1:15" ht="12.75" customHeight="1">
      <c r="A38" s="153" t="s">
        <v>389</v>
      </c>
      <c r="B38" s="139"/>
      <c r="C38" s="139">
        <v>16632819</v>
      </c>
      <c r="D38" s="148">
        <v>5065215</v>
      </c>
      <c r="E38" s="139"/>
      <c r="F38" s="139">
        <f>IF(ISERROR(D38/C38)," ",(D38/C38))*100</f>
        <v>30.453136055890468</v>
      </c>
      <c r="G38" s="136">
        <f t="shared" si="10"/>
        <v>5065215</v>
      </c>
      <c r="I38" s="153" t="s">
        <v>389</v>
      </c>
      <c r="J38" s="426" t="s">
        <v>206</v>
      </c>
      <c r="K38" s="103">
        <f>ROUND(C38/1000,0)</f>
        <v>16633</v>
      </c>
      <c r="L38" s="103">
        <f t="shared" si="11"/>
        <v>5065</v>
      </c>
      <c r="M38" s="492" t="s">
        <v>206</v>
      </c>
      <c r="N38" s="325">
        <f>F38</f>
        <v>30.453136055890468</v>
      </c>
      <c r="O38" s="103">
        <f t="shared" si="8"/>
        <v>5065</v>
      </c>
    </row>
    <row r="39" spans="1:15" ht="12.75" customHeight="1">
      <c r="A39" s="152" t="s">
        <v>390</v>
      </c>
      <c r="B39" s="139"/>
      <c r="C39" s="139"/>
      <c r="D39" s="148">
        <v>5065215</v>
      </c>
      <c r="E39" s="139"/>
      <c r="F39" s="139"/>
      <c r="G39" s="136">
        <f t="shared" si="10"/>
        <v>5065215</v>
      </c>
      <c r="I39" s="152" t="s">
        <v>390</v>
      </c>
      <c r="J39" s="426" t="s">
        <v>206</v>
      </c>
      <c r="K39" s="426" t="s">
        <v>206</v>
      </c>
      <c r="L39" s="103">
        <f t="shared" si="11"/>
        <v>5065</v>
      </c>
      <c r="M39" s="492" t="s">
        <v>206</v>
      </c>
      <c r="N39" s="492" t="s">
        <v>206</v>
      </c>
      <c r="O39" s="103">
        <f t="shared" si="8"/>
        <v>5065</v>
      </c>
    </row>
    <row r="40" spans="1:15" ht="12.75" customHeight="1">
      <c r="A40" s="153" t="s">
        <v>391</v>
      </c>
      <c r="B40" s="139"/>
      <c r="C40" s="139"/>
      <c r="D40" s="148"/>
      <c r="E40" s="139"/>
      <c r="F40" s="139"/>
      <c r="G40" s="136"/>
      <c r="I40" s="153" t="s">
        <v>392</v>
      </c>
      <c r="J40" s="426" t="s">
        <v>206</v>
      </c>
      <c r="K40" s="426" t="s">
        <v>206</v>
      </c>
      <c r="L40" s="426"/>
      <c r="M40" s="492" t="s">
        <v>206</v>
      </c>
      <c r="N40" s="492" t="s">
        <v>206</v>
      </c>
      <c r="O40" s="426"/>
    </row>
    <row r="41" spans="1:15" ht="12.75" customHeight="1">
      <c r="A41" s="154" t="s">
        <v>393</v>
      </c>
      <c r="B41" s="141">
        <f aca="true" t="shared" si="12" ref="B41:G41">B42+B43</f>
        <v>75902979</v>
      </c>
      <c r="C41" s="141">
        <f t="shared" si="12"/>
        <v>4241305</v>
      </c>
      <c r="D41" s="142">
        <f t="shared" si="12"/>
        <v>2158342</v>
      </c>
      <c r="E41" s="139">
        <f>IF(ISERROR(D41/B41)," ",(D41/B41))*100</f>
        <v>2.843553742469054</v>
      </c>
      <c r="F41" s="139">
        <f>IF(ISERROR(D41/C41)," ",(D41/C41))*100</f>
        <v>50.888629796725304</v>
      </c>
      <c r="G41" s="141">
        <f t="shared" si="12"/>
        <v>2158342</v>
      </c>
      <c r="I41" s="154" t="s">
        <v>393</v>
      </c>
      <c r="J41" s="128">
        <f aca="true" t="shared" si="13" ref="J41:J55">ROUND(B41/1000,0)</f>
        <v>75903</v>
      </c>
      <c r="K41" s="128">
        <f>K42+K43</f>
        <v>4241</v>
      </c>
      <c r="L41" s="128">
        <f>L42+L43</f>
        <v>2158</v>
      </c>
      <c r="M41" s="493">
        <f aca="true" t="shared" si="14" ref="M41:N43">E41</f>
        <v>2.843553742469054</v>
      </c>
      <c r="N41" s="513">
        <f t="shared" si="14"/>
        <v>50.888629796725304</v>
      </c>
      <c r="O41" s="128">
        <f>O42+O43</f>
        <v>2158</v>
      </c>
    </row>
    <row r="42" spans="1:15" ht="12.75" customHeight="1">
      <c r="A42" s="155" t="s">
        <v>394</v>
      </c>
      <c r="B42" s="136">
        <v>22316983</v>
      </c>
      <c r="C42" s="136">
        <v>1859269</v>
      </c>
      <c r="D42" s="148">
        <v>498433.03</v>
      </c>
      <c r="E42" s="139">
        <f>IF(ISERROR(D42/B42)," ",(D42/B42))*100</f>
        <v>2.23342478685403</v>
      </c>
      <c r="F42" s="139">
        <f>IF(ISERROR(D42/C42)," ",(D42/C42))*100</f>
        <v>26.80801056759404</v>
      </c>
      <c r="G42" s="136">
        <f t="shared" si="10"/>
        <v>498433.03</v>
      </c>
      <c r="I42" s="155" t="s">
        <v>394</v>
      </c>
      <c r="J42" s="103">
        <f t="shared" si="13"/>
        <v>22317</v>
      </c>
      <c r="K42" s="103">
        <f>ROUND(C42/1000,0)</f>
        <v>1859</v>
      </c>
      <c r="L42" s="103">
        <f aca="true" t="shared" si="15" ref="L42:L55">ROUND(D42/1000,0)</f>
        <v>498</v>
      </c>
      <c r="M42" s="491">
        <f t="shared" si="14"/>
        <v>2.23342478685403</v>
      </c>
      <c r="N42" s="492">
        <f t="shared" si="14"/>
        <v>26.80801056759404</v>
      </c>
      <c r="O42" s="103">
        <f aca="true" t="shared" si="16" ref="O42:O55">ROUND(G42/1000,0)</f>
        <v>498</v>
      </c>
    </row>
    <row r="43" spans="1:15" ht="12.75" customHeight="1">
      <c r="A43" s="140" t="s">
        <v>395</v>
      </c>
      <c r="B43" s="136">
        <v>53585996</v>
      </c>
      <c r="C43" s="136">
        <v>2382036</v>
      </c>
      <c r="D43" s="148">
        <v>1659908.97</v>
      </c>
      <c r="E43" s="139">
        <f>IF(ISERROR(D43/B43)," ",(D43/B43))*100</f>
        <v>3.097654413291114</v>
      </c>
      <c r="F43" s="139">
        <f>IF(ISERROR(D43/C43)," ",(D43/C43))*100</f>
        <v>69.68446194767837</v>
      </c>
      <c r="G43" s="136">
        <f t="shared" si="10"/>
        <v>1659908.97</v>
      </c>
      <c r="I43" s="140" t="s">
        <v>395</v>
      </c>
      <c r="J43" s="103">
        <f t="shared" si="13"/>
        <v>53586</v>
      </c>
      <c r="K43" s="103">
        <f>ROUND(C43/1000,0)</f>
        <v>2382</v>
      </c>
      <c r="L43" s="103">
        <f t="shared" si="15"/>
        <v>1660</v>
      </c>
      <c r="M43" s="491">
        <f t="shared" si="14"/>
        <v>3.097654413291114</v>
      </c>
      <c r="N43" s="492">
        <f t="shared" si="14"/>
        <v>69.68446194767837</v>
      </c>
      <c r="O43" s="103">
        <f t="shared" si="16"/>
        <v>1660</v>
      </c>
    </row>
    <row r="44" spans="1:15" ht="12.75" customHeight="1">
      <c r="A44" s="156" t="s">
        <v>396</v>
      </c>
      <c r="B44" s="139"/>
      <c r="C44" s="139"/>
      <c r="D44" s="148">
        <v>120000</v>
      </c>
      <c r="E44" s="139"/>
      <c r="F44" s="139"/>
      <c r="G44" s="136">
        <f t="shared" si="10"/>
        <v>120000</v>
      </c>
      <c r="I44" s="156" t="s">
        <v>396</v>
      </c>
      <c r="J44" s="426" t="s">
        <v>206</v>
      </c>
      <c r="K44" s="426" t="s">
        <v>206</v>
      </c>
      <c r="L44" s="103">
        <f t="shared" si="15"/>
        <v>120</v>
      </c>
      <c r="M44" s="492" t="s">
        <v>206</v>
      </c>
      <c r="N44" s="492" t="s">
        <v>206</v>
      </c>
      <c r="O44" s="103">
        <f t="shared" si="16"/>
        <v>120</v>
      </c>
    </row>
    <row r="45" spans="1:15" ht="12.75" customHeight="1">
      <c r="A45" s="156" t="s">
        <v>397</v>
      </c>
      <c r="B45" s="139"/>
      <c r="C45" s="139"/>
      <c r="D45" s="148">
        <v>144812</v>
      </c>
      <c r="E45" s="139"/>
      <c r="F45" s="139"/>
      <c r="G45" s="136">
        <f t="shared" si="10"/>
        <v>144812</v>
      </c>
      <c r="I45" s="156" t="s">
        <v>397</v>
      </c>
      <c r="J45" s="426" t="s">
        <v>206</v>
      </c>
      <c r="K45" s="426" t="s">
        <v>206</v>
      </c>
      <c r="L45" s="103">
        <f t="shared" si="15"/>
        <v>145</v>
      </c>
      <c r="M45" s="492" t="s">
        <v>206</v>
      </c>
      <c r="N45" s="492" t="s">
        <v>206</v>
      </c>
      <c r="O45" s="103">
        <f t="shared" si="16"/>
        <v>145</v>
      </c>
    </row>
    <row r="46" spans="1:15" ht="12.75" customHeight="1">
      <c r="A46" s="135" t="s">
        <v>398</v>
      </c>
      <c r="B46" s="136">
        <v>48898920</v>
      </c>
      <c r="C46" s="139"/>
      <c r="D46" s="148">
        <v>7905879</v>
      </c>
      <c r="E46" s="139">
        <f>IF(ISERROR(D46/B46)," ",(D46/B46))*100</f>
        <v>16.167798798010264</v>
      </c>
      <c r="F46" s="139"/>
      <c r="G46" s="136">
        <f t="shared" si="10"/>
        <v>7905879</v>
      </c>
      <c r="I46" s="135" t="s">
        <v>398</v>
      </c>
      <c r="J46" s="128">
        <f t="shared" si="13"/>
        <v>48899</v>
      </c>
      <c r="K46" s="128"/>
      <c r="L46" s="128">
        <f t="shared" si="15"/>
        <v>7906</v>
      </c>
      <c r="M46" s="491">
        <v>17</v>
      </c>
      <c r="N46" s="492"/>
      <c r="O46" s="128">
        <f t="shared" si="16"/>
        <v>7906</v>
      </c>
    </row>
    <row r="47" spans="1:15" ht="12.75" customHeight="1">
      <c r="A47" s="147" t="s">
        <v>399</v>
      </c>
      <c r="B47" s="139"/>
      <c r="C47" s="136"/>
      <c r="D47" s="148">
        <v>9800206</v>
      </c>
      <c r="E47" s="136"/>
      <c r="F47" s="136"/>
      <c r="G47" s="136">
        <f t="shared" si="10"/>
        <v>9800206</v>
      </c>
      <c r="I47" s="147" t="s">
        <v>399</v>
      </c>
      <c r="J47" s="426" t="s">
        <v>206</v>
      </c>
      <c r="K47" s="426" t="s">
        <v>206</v>
      </c>
      <c r="L47" s="103">
        <f t="shared" si="15"/>
        <v>9800</v>
      </c>
      <c r="M47" s="492" t="s">
        <v>206</v>
      </c>
      <c r="N47" s="492" t="s">
        <v>206</v>
      </c>
      <c r="O47" s="103">
        <f t="shared" si="16"/>
        <v>9800</v>
      </c>
    </row>
    <row r="48" spans="1:15" ht="12.75" customHeight="1">
      <c r="A48" s="157" t="s">
        <v>400</v>
      </c>
      <c r="B48" s="139"/>
      <c r="C48" s="139"/>
      <c r="D48" s="148">
        <v>8255618</v>
      </c>
      <c r="E48" s="139"/>
      <c r="F48" s="139"/>
      <c r="G48" s="136">
        <f t="shared" si="10"/>
        <v>8255618</v>
      </c>
      <c r="I48" s="157" t="s">
        <v>400</v>
      </c>
      <c r="J48" s="426" t="s">
        <v>206</v>
      </c>
      <c r="K48" s="426" t="s">
        <v>206</v>
      </c>
      <c r="L48" s="103">
        <f t="shared" si="15"/>
        <v>8256</v>
      </c>
      <c r="M48" s="492" t="s">
        <v>206</v>
      </c>
      <c r="N48" s="492" t="s">
        <v>206</v>
      </c>
      <c r="O48" s="103">
        <f t="shared" si="16"/>
        <v>8256</v>
      </c>
    </row>
    <row r="49" spans="1:15" ht="12.75" customHeight="1">
      <c r="A49" s="153" t="s">
        <v>401</v>
      </c>
      <c r="B49" s="139"/>
      <c r="C49" s="136"/>
      <c r="D49" s="148">
        <v>1894327</v>
      </c>
      <c r="E49" s="136"/>
      <c r="F49" s="136"/>
      <c r="G49" s="136">
        <f t="shared" si="10"/>
        <v>1894327</v>
      </c>
      <c r="I49" s="153" t="s">
        <v>401</v>
      </c>
      <c r="J49" s="426" t="s">
        <v>206</v>
      </c>
      <c r="K49" s="426" t="s">
        <v>206</v>
      </c>
      <c r="L49" s="103">
        <f t="shared" si="15"/>
        <v>1894</v>
      </c>
      <c r="M49" s="492" t="s">
        <v>206</v>
      </c>
      <c r="N49" s="492" t="s">
        <v>206</v>
      </c>
      <c r="O49" s="103">
        <f t="shared" si="16"/>
        <v>1894</v>
      </c>
    </row>
    <row r="50" spans="1:15" ht="12.75" customHeight="1">
      <c r="A50" s="157" t="s">
        <v>402</v>
      </c>
      <c r="B50" s="139"/>
      <c r="C50" s="139"/>
      <c r="D50" s="148">
        <v>106600</v>
      </c>
      <c r="E50" s="139"/>
      <c r="F50" s="139"/>
      <c r="G50" s="136">
        <f t="shared" si="10"/>
        <v>106600</v>
      </c>
      <c r="I50" s="157" t="s">
        <v>402</v>
      </c>
      <c r="J50" s="426" t="s">
        <v>206</v>
      </c>
      <c r="K50" s="426" t="s">
        <v>206</v>
      </c>
      <c r="L50" s="103">
        <f t="shared" si="15"/>
        <v>107</v>
      </c>
      <c r="M50" s="492" t="s">
        <v>206</v>
      </c>
      <c r="N50" s="492" t="s">
        <v>206</v>
      </c>
      <c r="O50" s="103">
        <f t="shared" si="16"/>
        <v>107</v>
      </c>
    </row>
    <row r="51" spans="1:15" ht="12.75" customHeight="1">
      <c r="A51" s="147" t="s">
        <v>403</v>
      </c>
      <c r="B51" s="136">
        <v>-76079377</v>
      </c>
      <c r="C51" s="136"/>
      <c r="D51" s="148">
        <f>D10-D16-D46</f>
        <v>1026044.5199999958</v>
      </c>
      <c r="E51" s="136"/>
      <c r="F51" s="136"/>
      <c r="G51" s="136">
        <f t="shared" si="10"/>
        <v>1026044.5199999958</v>
      </c>
      <c r="I51" s="147" t="s">
        <v>403</v>
      </c>
      <c r="J51" s="103">
        <f t="shared" si="13"/>
        <v>-76079</v>
      </c>
      <c r="K51" s="426" t="s">
        <v>206</v>
      </c>
      <c r="L51" s="103">
        <f>L10-L16-L46</f>
        <v>1026</v>
      </c>
      <c r="M51" s="492" t="s">
        <v>206</v>
      </c>
      <c r="N51" s="492" t="s">
        <v>206</v>
      </c>
      <c r="O51" s="103">
        <f t="shared" si="16"/>
        <v>1026</v>
      </c>
    </row>
    <row r="52" spans="1:15" ht="12.75" customHeight="1">
      <c r="A52" s="80" t="s">
        <v>404</v>
      </c>
      <c r="B52" s="136">
        <v>76079377</v>
      </c>
      <c r="C52" s="136"/>
      <c r="D52" s="148">
        <f>-(D51)</f>
        <v>-1026044.5199999958</v>
      </c>
      <c r="E52" s="136"/>
      <c r="F52" s="136"/>
      <c r="G52" s="136">
        <f t="shared" si="10"/>
        <v>-1026044.5199999958</v>
      </c>
      <c r="I52" s="80" t="s">
        <v>404</v>
      </c>
      <c r="J52" s="103">
        <f t="shared" si="13"/>
        <v>76079</v>
      </c>
      <c r="K52" s="426" t="s">
        <v>206</v>
      </c>
      <c r="L52" s="103">
        <f t="shared" si="15"/>
        <v>-1026</v>
      </c>
      <c r="M52" s="492" t="s">
        <v>206</v>
      </c>
      <c r="N52" s="492" t="s">
        <v>206</v>
      </c>
      <c r="O52" s="103">
        <f t="shared" si="16"/>
        <v>-1026</v>
      </c>
    </row>
    <row r="53" spans="1:15" ht="25.5" customHeight="1">
      <c r="A53" s="87" t="s">
        <v>405</v>
      </c>
      <c r="B53" s="136">
        <v>15000000</v>
      </c>
      <c r="C53" s="139"/>
      <c r="D53" s="148"/>
      <c r="E53" s="139"/>
      <c r="F53" s="139"/>
      <c r="G53" s="136"/>
      <c r="I53" s="158" t="s">
        <v>405</v>
      </c>
      <c r="J53" s="103">
        <f t="shared" si="13"/>
        <v>15000</v>
      </c>
      <c r="K53" s="426" t="s">
        <v>206</v>
      </c>
      <c r="L53" s="103"/>
      <c r="M53" s="492" t="s">
        <v>206</v>
      </c>
      <c r="N53" s="492" t="s">
        <v>206</v>
      </c>
      <c r="O53" s="103"/>
    </row>
    <row r="54" spans="1:15" ht="12.75" customHeight="1">
      <c r="A54" s="158" t="s">
        <v>410</v>
      </c>
      <c r="B54" s="136">
        <v>300000</v>
      </c>
      <c r="C54" s="139"/>
      <c r="D54" s="148">
        <v>98798</v>
      </c>
      <c r="E54" s="139"/>
      <c r="F54" s="139"/>
      <c r="G54" s="136">
        <f t="shared" si="10"/>
        <v>98798</v>
      </c>
      <c r="I54" s="158" t="s">
        <v>410</v>
      </c>
      <c r="J54" s="103">
        <f t="shared" si="13"/>
        <v>300</v>
      </c>
      <c r="K54" s="426" t="s">
        <v>206</v>
      </c>
      <c r="L54" s="103">
        <f t="shared" si="15"/>
        <v>99</v>
      </c>
      <c r="M54" s="492" t="s">
        <v>206</v>
      </c>
      <c r="N54" s="492" t="s">
        <v>206</v>
      </c>
      <c r="O54" s="103">
        <f t="shared" si="16"/>
        <v>99</v>
      </c>
    </row>
    <row r="55" spans="1:15" ht="12.75" customHeight="1">
      <c r="A55" s="159" t="s">
        <v>406</v>
      </c>
      <c r="B55" s="136">
        <v>60779377</v>
      </c>
      <c r="C55" s="136"/>
      <c r="D55" s="148">
        <f>D52-(D53+D54)</f>
        <v>-1124842.5199999958</v>
      </c>
      <c r="E55" s="136"/>
      <c r="F55" s="136"/>
      <c r="G55" s="136">
        <f t="shared" si="10"/>
        <v>-1124842.5199999958</v>
      </c>
      <c r="I55" s="159" t="s">
        <v>406</v>
      </c>
      <c r="J55" s="103">
        <f t="shared" si="13"/>
        <v>60779</v>
      </c>
      <c r="K55" s="426" t="s">
        <v>206</v>
      </c>
      <c r="L55" s="103">
        <f t="shared" si="15"/>
        <v>-1125</v>
      </c>
      <c r="M55" s="492" t="s">
        <v>206</v>
      </c>
      <c r="N55" s="492" t="s">
        <v>206</v>
      </c>
      <c r="O55" s="103">
        <f t="shared" si="16"/>
        <v>-1125</v>
      </c>
    </row>
    <row r="56" spans="1:14" ht="17.25" customHeight="1">
      <c r="A56"/>
      <c r="B56"/>
      <c r="C56"/>
      <c r="D56"/>
      <c r="E56"/>
      <c r="M56" s="160"/>
      <c r="N56" s="94"/>
    </row>
    <row r="57" spans="1:5" ht="17.25" customHeight="1">
      <c r="A57"/>
      <c r="B57"/>
      <c r="C57"/>
      <c r="D57"/>
      <c r="E57"/>
    </row>
    <row r="58" spans="1:14" ht="17.25" customHeight="1">
      <c r="A58"/>
      <c r="B58"/>
      <c r="C58"/>
      <c r="D58"/>
      <c r="E58"/>
      <c r="I58" s="66" t="s">
        <v>407</v>
      </c>
      <c r="J58" s="67"/>
      <c r="K58" s="67"/>
      <c r="L58" s="50"/>
      <c r="M58" s="50"/>
      <c r="N58" s="67" t="s">
        <v>296</v>
      </c>
    </row>
    <row r="59" spans="1:5" ht="17.25" customHeight="1">
      <c r="A59"/>
      <c r="B59"/>
      <c r="C59"/>
      <c r="D59"/>
      <c r="E59"/>
    </row>
    <row r="60" spans="1:5" ht="17.25" customHeight="1">
      <c r="A60"/>
      <c r="B60"/>
      <c r="C60"/>
      <c r="D60"/>
      <c r="E60"/>
    </row>
    <row r="61" spans="1:5" ht="17.25" customHeight="1">
      <c r="A61"/>
      <c r="B61"/>
      <c r="C61"/>
      <c r="D61"/>
      <c r="E61"/>
    </row>
    <row r="62" spans="1:5" ht="15.75" customHeight="1">
      <c r="A62" s="63" t="s">
        <v>408</v>
      </c>
      <c r="B62" s="62"/>
      <c r="C62" s="62"/>
      <c r="E62" s="62" t="s">
        <v>409</v>
      </c>
    </row>
    <row r="63" spans="1:5" ht="17.25" customHeight="1">
      <c r="A63"/>
      <c r="B63"/>
      <c r="C63"/>
      <c r="D63"/>
      <c r="E63"/>
    </row>
    <row r="64" spans="1:5" ht="17.25" customHeight="1">
      <c r="A64"/>
      <c r="B64"/>
      <c r="C64"/>
      <c r="D64"/>
      <c r="E64"/>
    </row>
    <row r="65" spans="1:5" ht="14.25" customHeight="1">
      <c r="A65"/>
      <c r="B65"/>
      <c r="C65"/>
      <c r="D65"/>
      <c r="E65"/>
    </row>
    <row r="66" spans="1:13" ht="15" customHeight="1">
      <c r="A66"/>
      <c r="B66"/>
      <c r="C66"/>
      <c r="D66"/>
      <c r="E66"/>
      <c r="J66" s="62"/>
      <c r="K66" s="62"/>
      <c r="L66" s="3"/>
      <c r="M66" s="62"/>
    </row>
    <row r="67" spans="1:5" ht="17.25" customHeight="1">
      <c r="A67"/>
      <c r="B67"/>
      <c r="C67"/>
      <c r="D67"/>
      <c r="E67"/>
    </row>
    <row r="68" spans="1:5" ht="17.25" customHeight="1">
      <c r="A68"/>
      <c r="B68"/>
      <c r="C68"/>
      <c r="D68"/>
      <c r="E68"/>
    </row>
    <row r="69" spans="1:5" ht="17.25" customHeight="1">
      <c r="A69"/>
      <c r="B69"/>
      <c r="C69"/>
      <c r="D69"/>
      <c r="E69"/>
    </row>
    <row r="70" spans="1:5" ht="17.25" customHeight="1">
      <c r="A70"/>
      <c r="B70"/>
      <c r="C70"/>
      <c r="D70"/>
      <c r="E70"/>
    </row>
    <row r="71" spans="1:5" ht="17.25" customHeight="1">
      <c r="A71"/>
      <c r="B71"/>
      <c r="C71"/>
      <c r="D71"/>
      <c r="E71"/>
    </row>
    <row r="72" spans="1:5" ht="17.25" customHeight="1">
      <c r="A72"/>
      <c r="B72"/>
      <c r="C72"/>
      <c r="D72"/>
      <c r="E72"/>
    </row>
    <row r="73" spans="1:5" ht="17.25" customHeight="1">
      <c r="A73"/>
      <c r="B73"/>
      <c r="C73"/>
      <c r="D73"/>
      <c r="E73"/>
    </row>
    <row r="74" spans="1:5" ht="17.25" customHeight="1">
      <c r="A74"/>
      <c r="B74"/>
      <c r="C74"/>
      <c r="D74"/>
      <c r="E74"/>
    </row>
    <row r="75" spans="1:9" ht="17.25" customHeight="1">
      <c r="A75"/>
      <c r="B75"/>
      <c r="C75"/>
      <c r="D75"/>
      <c r="E75"/>
      <c r="I75" s="33" t="s">
        <v>605</v>
      </c>
    </row>
    <row r="76" spans="1:9" ht="17.25" customHeight="1">
      <c r="A76"/>
      <c r="B76"/>
      <c r="C76"/>
      <c r="D76"/>
      <c r="E76"/>
      <c r="I76" s="47" t="s">
        <v>562</v>
      </c>
    </row>
    <row r="77" spans="1:5" ht="17.25" customHeight="1">
      <c r="A77"/>
      <c r="B77"/>
      <c r="C77"/>
      <c r="D77"/>
      <c r="E77"/>
    </row>
    <row r="78" spans="1:5" ht="17.25" customHeight="1">
      <c r="A78"/>
      <c r="B78"/>
      <c r="C78"/>
      <c r="D78"/>
      <c r="E78"/>
    </row>
    <row r="79" spans="1:5" ht="17.25" customHeight="1">
      <c r="A79"/>
      <c r="B79"/>
      <c r="C79"/>
      <c r="D79"/>
      <c r="E79"/>
    </row>
    <row r="80" spans="1:5" ht="17.25" customHeight="1">
      <c r="A80"/>
      <c r="B80"/>
      <c r="C80"/>
      <c r="D80"/>
      <c r="E80"/>
    </row>
    <row r="81" spans="1:5" ht="17.25" customHeight="1">
      <c r="A81"/>
      <c r="B81"/>
      <c r="C81"/>
      <c r="D81"/>
      <c r="E81"/>
    </row>
    <row r="82" spans="1:5" ht="17.25" customHeight="1">
      <c r="A82"/>
      <c r="B82"/>
      <c r="C82"/>
      <c r="D82"/>
      <c r="E82"/>
    </row>
    <row r="83" spans="1:5" ht="17.25" customHeight="1">
      <c r="A83"/>
      <c r="B83"/>
      <c r="C83"/>
      <c r="D83"/>
      <c r="E83"/>
    </row>
    <row r="84" spans="1:5" ht="17.25" customHeight="1">
      <c r="A84"/>
      <c r="B84"/>
      <c r="C84"/>
      <c r="D84"/>
      <c r="E84"/>
    </row>
    <row r="85" spans="1:5" ht="17.25" customHeight="1">
      <c r="A85"/>
      <c r="B85"/>
      <c r="C85"/>
      <c r="D85"/>
      <c r="E85"/>
    </row>
    <row r="86" spans="1:5" ht="17.25" customHeight="1">
      <c r="A86"/>
      <c r="B86"/>
      <c r="C86"/>
      <c r="D86"/>
      <c r="E86"/>
    </row>
    <row r="87" spans="1:5" ht="17.25" customHeight="1">
      <c r="A87"/>
      <c r="B87"/>
      <c r="C87"/>
      <c r="D87"/>
      <c r="E87"/>
    </row>
    <row r="88" spans="1:5" ht="17.25" customHeight="1">
      <c r="A88" s="33"/>
      <c r="B88"/>
      <c r="C88"/>
      <c r="D88"/>
      <c r="E88"/>
    </row>
    <row r="89" spans="1:5" ht="17.25" customHeight="1">
      <c r="A89"/>
      <c r="B89"/>
      <c r="C89"/>
      <c r="D89"/>
      <c r="E89"/>
    </row>
  </sheetData>
  <mergeCells count="5">
    <mergeCell ref="N7:O7"/>
    <mergeCell ref="A4:G4"/>
    <mergeCell ref="A5:F5"/>
    <mergeCell ref="I4:O4"/>
    <mergeCell ref="I5:N5"/>
  </mergeCells>
  <printOptions horizontalCentered="1"/>
  <pageMargins left="0.36" right="0.3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Footer>&amp;R&amp;P</oddFooter>
  </headerFooter>
  <rowBreaks count="1" manualBreakCount="1">
    <brk id="42" min="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4">
      <selection activeCell="D30" sqref="D30"/>
    </sheetView>
  </sheetViews>
  <sheetFormatPr defaultColWidth="9.140625" defaultRowHeight="17.25" customHeight="1"/>
  <cols>
    <col min="1" max="1" width="45.00390625" style="3" customWidth="1"/>
    <col min="2" max="2" width="9.28125" style="3" customWidth="1"/>
    <col min="3" max="3" width="13.140625" style="3" customWidth="1"/>
    <col min="4" max="4" width="12.140625" style="3" customWidth="1"/>
    <col min="5" max="5" width="10.28125" style="3" bestFit="1" customWidth="1"/>
    <col min="6" max="6" width="10.421875" style="3" bestFit="1" customWidth="1"/>
    <col min="7" max="16384" width="7.8515625" style="3" customWidth="1"/>
  </cols>
  <sheetData>
    <row r="1" spans="1:5" ht="17.25" customHeight="1">
      <c r="A1" s="485"/>
      <c r="E1" s="47" t="s">
        <v>411</v>
      </c>
    </row>
    <row r="2" spans="1:5" ht="17.25" customHeight="1">
      <c r="A2" s="623" t="s">
        <v>606</v>
      </c>
      <c r="B2" s="623"/>
      <c r="C2" s="623"/>
      <c r="D2" s="623"/>
      <c r="E2" s="623"/>
    </row>
    <row r="4" spans="1:5" ht="17.25" customHeight="1">
      <c r="A4" s="616" t="s">
        <v>412</v>
      </c>
      <c r="B4" s="616"/>
      <c r="C4" s="616"/>
      <c r="D4" s="616"/>
      <c r="E4" s="616"/>
    </row>
    <row r="5" spans="1:5" ht="17.25" customHeight="1">
      <c r="A5" s="623" t="s">
        <v>280</v>
      </c>
      <c r="B5" s="623"/>
      <c r="C5" s="623"/>
      <c r="D5" s="623"/>
      <c r="E5" s="623"/>
    </row>
    <row r="7" ht="17.25" customHeight="1">
      <c r="F7" s="63" t="s">
        <v>413</v>
      </c>
    </row>
    <row r="8" spans="1:6" s="33" customFormat="1" ht="33.75">
      <c r="A8" s="52" t="s">
        <v>191</v>
      </c>
      <c r="B8" s="10" t="s">
        <v>414</v>
      </c>
      <c r="C8" s="10" t="s">
        <v>192</v>
      </c>
      <c r="D8" s="10" t="s">
        <v>193</v>
      </c>
      <c r="E8" s="10" t="s">
        <v>415</v>
      </c>
      <c r="F8" s="10" t="s">
        <v>613</v>
      </c>
    </row>
    <row r="9" spans="1:6" ht="17.25" customHeight="1">
      <c r="A9" s="52">
        <v>1</v>
      </c>
      <c r="B9" s="52">
        <v>2</v>
      </c>
      <c r="C9" s="10">
        <v>3</v>
      </c>
      <c r="D9" s="10">
        <v>4</v>
      </c>
      <c r="E9" s="10">
        <v>5</v>
      </c>
      <c r="F9" s="18"/>
    </row>
    <row r="10" spans="1:6" ht="17.25" customHeight="1">
      <c r="A10" s="77" t="s">
        <v>416</v>
      </c>
      <c r="B10" s="122"/>
      <c r="C10" s="141">
        <v>860904</v>
      </c>
      <c r="D10" s="141">
        <v>63439</v>
      </c>
      <c r="E10" s="161">
        <v>7.368918358640284</v>
      </c>
      <c r="F10" s="141">
        <v>63439</v>
      </c>
    </row>
    <row r="11" spans="1:6" ht="17.25" customHeight="1">
      <c r="A11" s="131" t="s">
        <v>417</v>
      </c>
      <c r="B11" s="162">
        <v>1</v>
      </c>
      <c r="C11" s="163">
        <v>84377</v>
      </c>
      <c r="D11" s="163">
        <v>5488</v>
      </c>
      <c r="E11" s="551">
        <v>6.50368116802795</v>
      </c>
      <c r="F11" s="163">
        <v>5488</v>
      </c>
    </row>
    <row r="12" spans="1:6" ht="17.25" customHeight="1">
      <c r="A12" s="18" t="s">
        <v>418</v>
      </c>
      <c r="B12" s="162">
        <v>2</v>
      </c>
      <c r="C12" s="163">
        <v>48369</v>
      </c>
      <c r="D12" s="163">
        <v>2938</v>
      </c>
      <c r="E12" s="551">
        <v>6.073349403154025</v>
      </c>
      <c r="F12" s="163">
        <v>2938</v>
      </c>
    </row>
    <row r="13" spans="1:6" ht="17.25" customHeight="1">
      <c r="A13" s="27" t="s">
        <v>419</v>
      </c>
      <c r="B13" s="162">
        <v>3</v>
      </c>
      <c r="C13" s="163">
        <v>114612</v>
      </c>
      <c r="D13" s="163">
        <v>8314</v>
      </c>
      <c r="E13" s="551">
        <v>7.254492667090225</v>
      </c>
      <c r="F13" s="163">
        <v>8314</v>
      </c>
    </row>
    <row r="14" spans="1:6" ht="17.25" customHeight="1">
      <c r="A14" s="18" t="s">
        <v>420</v>
      </c>
      <c r="B14" s="162">
        <v>4</v>
      </c>
      <c r="C14" s="163">
        <v>95095</v>
      </c>
      <c r="D14" s="163">
        <v>6282</v>
      </c>
      <c r="E14" s="551">
        <v>6.606123518521182</v>
      </c>
      <c r="F14" s="163">
        <v>6282</v>
      </c>
    </row>
    <row r="15" spans="1:6" ht="17.25" customHeight="1">
      <c r="A15" s="18" t="s">
        <v>421</v>
      </c>
      <c r="B15" s="162">
        <v>5</v>
      </c>
      <c r="C15" s="163">
        <v>69613</v>
      </c>
      <c r="D15" s="163">
        <v>5112</v>
      </c>
      <c r="E15" s="551">
        <v>7.344106513446231</v>
      </c>
      <c r="F15" s="163">
        <v>5112</v>
      </c>
    </row>
    <row r="16" spans="1:6" ht="17.25" customHeight="1">
      <c r="A16" s="27" t="s">
        <v>422</v>
      </c>
      <c r="B16" s="162">
        <v>6</v>
      </c>
      <c r="C16" s="163">
        <v>81822</v>
      </c>
      <c r="D16" s="163">
        <v>7146</v>
      </c>
      <c r="E16" s="551">
        <v>8.733400461038961</v>
      </c>
      <c r="F16" s="163">
        <v>7146</v>
      </c>
    </row>
    <row r="17" spans="1:6" ht="17.25" customHeight="1">
      <c r="A17" s="27" t="s">
        <v>423</v>
      </c>
      <c r="B17" s="162">
        <v>7</v>
      </c>
      <c r="C17" s="163">
        <v>10702</v>
      </c>
      <c r="D17" s="163">
        <v>727</v>
      </c>
      <c r="E17" s="551">
        <v>6.795030422106316</v>
      </c>
      <c r="F17" s="163">
        <v>727</v>
      </c>
    </row>
    <row r="18" spans="1:6" ht="17.25" customHeight="1">
      <c r="A18" s="18" t="s">
        <v>424</v>
      </c>
      <c r="B18" s="162">
        <v>8</v>
      </c>
      <c r="C18" s="163">
        <v>22888</v>
      </c>
      <c r="D18" s="163">
        <v>1775</v>
      </c>
      <c r="E18" s="551">
        <v>7.7537050993859244</v>
      </c>
      <c r="F18" s="163">
        <v>1775</v>
      </c>
    </row>
    <row r="19" spans="1:6" ht="17.25" customHeight="1">
      <c r="A19" s="27" t="s">
        <v>425</v>
      </c>
      <c r="B19" s="162">
        <v>9</v>
      </c>
      <c r="C19" s="163">
        <v>202</v>
      </c>
      <c r="D19" s="163">
        <v>14</v>
      </c>
      <c r="E19" s="551">
        <v>7.155204401193309</v>
      </c>
      <c r="F19" s="163">
        <v>14</v>
      </c>
    </row>
    <row r="20" spans="1:6" ht="27.75" customHeight="1">
      <c r="A20" s="27" t="s">
        <v>426</v>
      </c>
      <c r="B20" s="162">
        <v>10</v>
      </c>
      <c r="C20" s="163">
        <v>79963</v>
      </c>
      <c r="D20" s="163">
        <v>4724</v>
      </c>
      <c r="E20" s="551">
        <v>5.907648671434383</v>
      </c>
      <c r="F20" s="163">
        <v>4724</v>
      </c>
    </row>
    <row r="21" spans="1:6" ht="27" customHeight="1">
      <c r="A21" s="27" t="s">
        <v>427</v>
      </c>
      <c r="B21" s="162">
        <v>11</v>
      </c>
      <c r="C21" s="163">
        <v>867</v>
      </c>
      <c r="D21" s="163">
        <v>53</v>
      </c>
      <c r="E21" s="551">
        <v>6.090297660881477</v>
      </c>
      <c r="F21" s="163">
        <v>53</v>
      </c>
    </row>
    <row r="22" spans="1:6" ht="17.25" customHeight="1">
      <c r="A22" s="18" t="s">
        <v>428</v>
      </c>
      <c r="B22" s="162">
        <v>12</v>
      </c>
      <c r="C22" s="163">
        <v>17686</v>
      </c>
      <c r="D22" s="163">
        <v>524</v>
      </c>
      <c r="E22" s="551">
        <v>2.9627129343140215</v>
      </c>
      <c r="F22" s="163">
        <v>524</v>
      </c>
    </row>
    <row r="23" spans="1:6" ht="16.5" customHeight="1">
      <c r="A23" s="18" t="s">
        <v>429</v>
      </c>
      <c r="B23" s="162">
        <v>13</v>
      </c>
      <c r="C23" s="163">
        <v>24502</v>
      </c>
      <c r="D23" s="163">
        <v>1133</v>
      </c>
      <c r="E23" s="551">
        <v>4.622916699232138</v>
      </c>
      <c r="F23" s="163">
        <v>1133</v>
      </c>
    </row>
    <row r="24" spans="1:6" ht="12.75">
      <c r="A24" s="27" t="s">
        <v>430</v>
      </c>
      <c r="B24" s="162">
        <v>14</v>
      </c>
      <c r="C24" s="163">
        <v>210206</v>
      </c>
      <c r="D24" s="163">
        <v>19209</v>
      </c>
      <c r="E24" s="551">
        <v>9.138367041144052</v>
      </c>
      <c r="F24" s="163">
        <v>19209</v>
      </c>
    </row>
    <row r="25" spans="1:6" ht="18" customHeight="1">
      <c r="A25" s="18" t="s">
        <v>431</v>
      </c>
      <c r="B25" s="164"/>
      <c r="C25" s="165">
        <v>48899</v>
      </c>
      <c r="D25" s="165">
        <v>7906</v>
      </c>
      <c r="E25" s="551">
        <v>16.167798798010264</v>
      </c>
      <c r="F25" s="163">
        <v>7906</v>
      </c>
    </row>
    <row r="26" spans="2:5" ht="17.25" customHeight="1">
      <c r="B26" s="62"/>
      <c r="C26" s="65"/>
      <c r="D26" s="65"/>
      <c r="E26" s="166"/>
    </row>
    <row r="27" spans="2:5" ht="17.25" customHeight="1">
      <c r="B27" s="62"/>
      <c r="C27" s="65"/>
      <c r="D27" s="65"/>
      <c r="E27" s="166"/>
    </row>
    <row r="28" spans="2:5" ht="17.25" customHeight="1">
      <c r="B28" s="62"/>
      <c r="C28" s="65"/>
      <c r="D28" s="65"/>
      <c r="E28" s="166"/>
    </row>
    <row r="29" spans="1:5" ht="17.25" customHeight="1">
      <c r="A29" s="63" t="s">
        <v>281</v>
      </c>
      <c r="B29" s="62"/>
      <c r="C29" s="62"/>
      <c r="D29" s="62" t="s">
        <v>296</v>
      </c>
      <c r="E29" s="33"/>
    </row>
    <row r="30" spans="2:5" ht="17.25" customHeight="1">
      <c r="B30" s="62"/>
      <c r="C30" s="65"/>
      <c r="D30" s="65"/>
      <c r="E30" s="166"/>
    </row>
    <row r="31" spans="2:5" ht="17.25" customHeight="1">
      <c r="B31" s="62"/>
      <c r="C31" s="65"/>
      <c r="D31" s="65"/>
      <c r="E31" s="166"/>
    </row>
    <row r="32" spans="2:5" ht="17.25" customHeight="1">
      <c r="B32" s="62"/>
      <c r="D32" s="65"/>
      <c r="E32" s="166"/>
    </row>
    <row r="33" spans="2:5" ht="17.25" customHeight="1">
      <c r="B33" s="62"/>
      <c r="C33" s="65"/>
      <c r="D33" s="65"/>
      <c r="E33" s="166"/>
    </row>
    <row r="34" spans="2:5" ht="17.25" customHeight="1">
      <c r="B34" s="62"/>
      <c r="C34" s="65"/>
      <c r="D34" s="65"/>
      <c r="E34" s="166"/>
    </row>
    <row r="35" spans="4:5" ht="17.25" customHeight="1">
      <c r="D35" s="65"/>
      <c r="E35" s="166"/>
    </row>
    <row r="36" spans="2:5" ht="17.25" customHeight="1">
      <c r="B36" s="62"/>
      <c r="C36" s="65"/>
      <c r="D36" s="65"/>
      <c r="E36" s="166"/>
    </row>
    <row r="37" spans="3:5" ht="17.25" customHeight="1">
      <c r="C37" s="65"/>
      <c r="D37" s="65"/>
      <c r="E37" s="166"/>
    </row>
    <row r="38" spans="3:5" ht="17.25" customHeight="1">
      <c r="C38" s="65"/>
      <c r="D38" s="65"/>
      <c r="E38" s="166"/>
    </row>
    <row r="39" spans="3:5" ht="17.25" customHeight="1">
      <c r="C39" s="65"/>
      <c r="D39" s="65"/>
      <c r="E39" s="166"/>
    </row>
    <row r="40" spans="1:5" ht="17.25" customHeight="1">
      <c r="A40" s="8"/>
      <c r="C40" s="65"/>
      <c r="D40" s="65"/>
      <c r="E40" s="166"/>
    </row>
    <row r="41" spans="1:5" ht="17.25" customHeight="1">
      <c r="A41" s="8"/>
      <c r="C41" s="65"/>
      <c r="D41" s="65"/>
      <c r="E41" s="166"/>
    </row>
    <row r="42" spans="3:5" ht="17.25" customHeight="1">
      <c r="C42" s="65"/>
      <c r="D42" s="65"/>
      <c r="E42" s="166"/>
    </row>
    <row r="43" spans="3:5" ht="17.25" customHeight="1">
      <c r="C43" s="65"/>
      <c r="D43" s="65"/>
      <c r="E43" s="166"/>
    </row>
    <row r="44" spans="3:5" ht="17.25" customHeight="1">
      <c r="C44" s="65"/>
      <c r="D44" s="65"/>
      <c r="E44" s="166"/>
    </row>
    <row r="45" spans="3:5" ht="17.25" customHeight="1">
      <c r="C45" s="65"/>
      <c r="D45" s="65"/>
      <c r="E45" s="166"/>
    </row>
    <row r="46" spans="2:4" ht="17.25" customHeight="1">
      <c r="B46" s="65"/>
      <c r="C46" s="65"/>
      <c r="D46" s="166"/>
    </row>
    <row r="47" spans="2:4" ht="17.25" customHeight="1">
      <c r="B47" s="65"/>
      <c r="C47" s="65"/>
      <c r="D47" s="166"/>
    </row>
    <row r="48" spans="2:4" ht="17.25" customHeight="1">
      <c r="B48" s="65"/>
      <c r="C48" s="65"/>
      <c r="D48" s="166"/>
    </row>
    <row r="49" spans="2:4" ht="17.25" customHeight="1">
      <c r="B49" s="65"/>
      <c r="C49" s="65"/>
      <c r="D49" s="166"/>
    </row>
    <row r="50" spans="2:4" ht="17.25" customHeight="1">
      <c r="B50" s="65"/>
      <c r="C50" s="65"/>
      <c r="D50" s="166"/>
    </row>
    <row r="51" spans="2:4" ht="17.25" customHeight="1">
      <c r="B51" s="65"/>
      <c r="C51" s="65"/>
      <c r="D51" s="166"/>
    </row>
    <row r="52" spans="2:4" ht="17.25" customHeight="1">
      <c r="B52" s="65"/>
      <c r="D52" s="166"/>
    </row>
    <row r="53" spans="2:4" ht="17.25" customHeight="1">
      <c r="B53" s="65"/>
      <c r="D53" s="166"/>
    </row>
    <row r="54" spans="2:4" ht="17.25" customHeight="1">
      <c r="B54" s="65"/>
      <c r="D54" s="166"/>
    </row>
    <row r="55" spans="2:4" ht="17.25" customHeight="1">
      <c r="B55" s="65"/>
      <c r="D55" s="166"/>
    </row>
    <row r="56" spans="2:4" ht="17.25" customHeight="1">
      <c r="B56" s="65"/>
      <c r="D56" s="166"/>
    </row>
    <row r="57" spans="2:4" ht="17.25" customHeight="1">
      <c r="B57" s="65"/>
      <c r="D57" s="166"/>
    </row>
    <row r="58" spans="2:4" ht="17.25" customHeight="1">
      <c r="B58" s="65"/>
      <c r="D58" s="166"/>
    </row>
    <row r="59" spans="2:4" ht="17.25" customHeight="1">
      <c r="B59" s="65"/>
      <c r="D59" s="166"/>
    </row>
    <row r="60" spans="2:4" ht="17.25" customHeight="1">
      <c r="B60" s="65"/>
      <c r="D60" s="166"/>
    </row>
    <row r="61" spans="2:4" ht="17.25" customHeight="1">
      <c r="B61" s="65"/>
      <c r="D61" s="166"/>
    </row>
    <row r="62" spans="2:4" ht="17.25" customHeight="1">
      <c r="B62" s="65"/>
      <c r="D62" s="166"/>
    </row>
    <row r="63" spans="2:4" ht="17.25" customHeight="1">
      <c r="B63" s="65"/>
      <c r="D63" s="166"/>
    </row>
    <row r="64" spans="2:4" ht="17.25" customHeight="1">
      <c r="B64" s="65"/>
      <c r="D64" s="166"/>
    </row>
    <row r="65" spans="2:4" ht="17.25" customHeight="1">
      <c r="B65" s="65"/>
      <c r="D65" s="166"/>
    </row>
    <row r="66" spans="2:4" ht="17.25" customHeight="1">
      <c r="B66" s="65"/>
      <c r="D66" s="166"/>
    </row>
    <row r="67" spans="2:4" ht="17.25" customHeight="1">
      <c r="B67" s="65"/>
      <c r="D67" s="166"/>
    </row>
    <row r="68" spans="2:4" ht="17.25" customHeight="1">
      <c r="B68" s="65"/>
      <c r="D68" s="166"/>
    </row>
    <row r="69" spans="2:4" ht="17.25" customHeight="1">
      <c r="B69" s="65"/>
      <c r="D69" s="166"/>
    </row>
    <row r="70" spans="2:4" ht="17.25" customHeight="1">
      <c r="B70" s="65"/>
      <c r="D70" s="166"/>
    </row>
    <row r="71" spans="2:4" ht="17.25" customHeight="1">
      <c r="B71" s="65"/>
      <c r="D71" s="166"/>
    </row>
    <row r="72" spans="2:4" ht="17.25" customHeight="1">
      <c r="B72" s="65"/>
      <c r="D72" s="166"/>
    </row>
    <row r="73" spans="2:4" ht="17.25" customHeight="1">
      <c r="B73" s="65"/>
      <c r="D73" s="166"/>
    </row>
    <row r="74" spans="2:4" ht="17.25" customHeight="1">
      <c r="B74" s="65"/>
      <c r="D74" s="166"/>
    </row>
    <row r="75" spans="2:4" ht="17.25" customHeight="1">
      <c r="B75" s="65"/>
      <c r="D75" s="166"/>
    </row>
    <row r="76" spans="2:4" ht="17.25" customHeight="1">
      <c r="B76" s="65"/>
      <c r="D76" s="166"/>
    </row>
    <row r="77" spans="2:4" ht="17.25" customHeight="1">
      <c r="B77" s="65"/>
      <c r="D77" s="166"/>
    </row>
    <row r="78" spans="2:4" ht="17.25" customHeight="1">
      <c r="B78" s="65"/>
      <c r="D78" s="166"/>
    </row>
    <row r="79" spans="2:4" ht="17.25" customHeight="1">
      <c r="B79" s="65"/>
      <c r="D79" s="166"/>
    </row>
    <row r="80" spans="2:4" ht="17.25" customHeight="1">
      <c r="B80" s="65"/>
      <c r="D80" s="166"/>
    </row>
    <row r="81" spans="2:4" ht="17.25" customHeight="1">
      <c r="B81" s="65"/>
      <c r="D81" s="166"/>
    </row>
    <row r="82" spans="2:4" ht="17.25" customHeight="1">
      <c r="B82" s="65"/>
      <c r="D82" s="166"/>
    </row>
    <row r="83" spans="2:4" ht="17.25" customHeight="1">
      <c r="B83" s="65"/>
      <c r="D83" s="166"/>
    </row>
    <row r="84" spans="2:4" ht="17.25" customHeight="1">
      <c r="B84" s="65"/>
      <c r="D84" s="166"/>
    </row>
    <row r="85" spans="2:4" ht="17.25" customHeight="1">
      <c r="B85" s="65"/>
      <c r="D85" s="166"/>
    </row>
    <row r="86" spans="2:4" ht="17.25" customHeight="1">
      <c r="B86" s="65"/>
      <c r="D86" s="166"/>
    </row>
    <row r="87" spans="2:4" ht="17.25" customHeight="1">
      <c r="B87" s="65"/>
      <c r="D87" s="166"/>
    </row>
    <row r="88" spans="2:4" ht="17.25" customHeight="1">
      <c r="B88" s="65"/>
      <c r="D88" s="166"/>
    </row>
    <row r="89" spans="2:4" ht="17.25" customHeight="1">
      <c r="B89" s="65"/>
      <c r="D89" s="166"/>
    </row>
    <row r="90" spans="2:4" ht="17.25" customHeight="1">
      <c r="B90" s="65"/>
      <c r="D90" s="166"/>
    </row>
    <row r="91" spans="2:4" ht="17.25" customHeight="1">
      <c r="B91" s="65"/>
      <c r="D91" s="166"/>
    </row>
    <row r="92" spans="2:4" ht="17.25" customHeight="1">
      <c r="B92" s="65"/>
      <c r="D92" s="166"/>
    </row>
    <row r="93" spans="2:4" ht="17.25" customHeight="1">
      <c r="B93" s="65"/>
      <c r="D93" s="166"/>
    </row>
    <row r="94" spans="2:4" ht="17.25" customHeight="1">
      <c r="B94" s="65"/>
      <c r="D94" s="166"/>
    </row>
    <row r="95" spans="2:4" ht="17.25" customHeight="1">
      <c r="B95" s="65"/>
      <c r="D95" s="166"/>
    </row>
    <row r="96" spans="2:4" ht="17.25" customHeight="1">
      <c r="B96" s="65"/>
      <c r="D96" s="166"/>
    </row>
    <row r="97" spans="2:4" ht="17.25" customHeight="1">
      <c r="B97" s="65"/>
      <c r="D97" s="166"/>
    </row>
    <row r="98" spans="2:4" ht="17.25" customHeight="1">
      <c r="B98" s="65"/>
      <c r="D98" s="166"/>
    </row>
    <row r="99" ht="17.25" customHeight="1">
      <c r="B99" s="65"/>
    </row>
    <row r="100" ht="17.25" customHeight="1">
      <c r="B100" s="65"/>
    </row>
    <row r="101" ht="17.25" customHeight="1">
      <c r="B101" s="65"/>
    </row>
    <row r="102" ht="17.25" customHeight="1">
      <c r="B102" s="65"/>
    </row>
    <row r="103" ht="17.25" customHeight="1">
      <c r="B103" s="65"/>
    </row>
    <row r="104" ht="17.25" customHeight="1">
      <c r="B104" s="65"/>
    </row>
    <row r="105" ht="17.25" customHeight="1">
      <c r="B105" s="65"/>
    </row>
    <row r="106" ht="17.25" customHeight="1">
      <c r="B106" s="65"/>
    </row>
    <row r="107" ht="17.25" customHeight="1">
      <c r="B107" s="65"/>
    </row>
  </sheetData>
  <mergeCells count="3">
    <mergeCell ref="A2:E2"/>
    <mergeCell ref="A4:E4"/>
    <mergeCell ref="A5:E5"/>
  </mergeCells>
  <hyperlinks>
    <hyperlink ref="A1" location="'5tab'!H1" display="'5tab'!H1"/>
  </hyperlinks>
  <printOptions horizontalCentered="1"/>
  <pageMargins left="0.57" right="0.36" top="0.984251968503937" bottom="0.984251968503937" header="0.5118110236220472" footer="0.5118110236220472"/>
  <pageSetup firstPageNumber="18" useFirstPageNumber="1" horizontalDpi="600" verticalDpi="600" orientation="portrait" paperSize="9" scale="95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4"/>
  <sheetViews>
    <sheetView zoomScale="75" zoomScaleNormal="75" zoomScaleSheetLayoutView="75" workbookViewId="0" topLeftCell="G1">
      <selection activeCell="G195" sqref="G195:J196"/>
    </sheetView>
  </sheetViews>
  <sheetFormatPr defaultColWidth="9.140625" defaultRowHeight="17.25" customHeight="1"/>
  <cols>
    <col min="1" max="1" width="40.57421875" style="3" customWidth="1"/>
    <col min="2" max="2" width="13.421875" style="3" bestFit="1" customWidth="1"/>
    <col min="3" max="3" width="12.421875" style="3" bestFit="1" customWidth="1"/>
    <col min="4" max="4" width="13.140625" style="3" customWidth="1"/>
    <col min="5" max="5" width="8.28125" style="3" customWidth="1"/>
    <col min="6" max="6" width="11.7109375" style="3" bestFit="1" customWidth="1"/>
    <col min="7" max="7" width="40.57421875" style="3" customWidth="1"/>
    <col min="8" max="8" width="11.7109375" style="3" customWidth="1"/>
    <col min="9" max="9" width="12.421875" style="3" customWidth="1"/>
    <col min="10" max="10" width="13.140625" style="3" customWidth="1"/>
    <col min="11" max="11" width="8.28125" style="3" customWidth="1"/>
    <col min="12" max="12" width="11.7109375" style="3" customWidth="1"/>
  </cols>
  <sheetData>
    <row r="1" spans="6:12" ht="17.25" customHeight="1">
      <c r="F1" s="168" t="s">
        <v>433</v>
      </c>
      <c r="L1" s="168" t="s">
        <v>433</v>
      </c>
    </row>
    <row r="2" spans="1:12" ht="17.25" customHeight="1">
      <c r="A2" s="625" t="s">
        <v>187</v>
      </c>
      <c r="B2" s="625"/>
      <c r="C2" s="625"/>
      <c r="D2" s="625"/>
      <c r="E2" s="625"/>
      <c r="F2" s="625"/>
      <c r="G2" s="625" t="s">
        <v>187</v>
      </c>
      <c r="H2" s="625"/>
      <c r="I2" s="625"/>
      <c r="J2" s="625"/>
      <c r="K2" s="625"/>
      <c r="L2" s="625"/>
    </row>
    <row r="4" spans="1:12" ht="17.25" customHeight="1">
      <c r="A4" s="623" t="s">
        <v>434</v>
      </c>
      <c r="B4" s="623"/>
      <c r="C4" s="623"/>
      <c r="D4" s="623"/>
      <c r="E4" s="623"/>
      <c r="F4" s="623"/>
      <c r="G4" s="616" t="s">
        <v>434</v>
      </c>
      <c r="H4" s="616"/>
      <c r="I4" s="616"/>
      <c r="J4" s="616"/>
      <c r="K4" s="616"/>
      <c r="L4" s="616"/>
    </row>
    <row r="5" spans="1:12" ht="17.25" customHeight="1">
      <c r="A5" s="623" t="s">
        <v>435</v>
      </c>
      <c r="B5" s="623"/>
      <c r="C5" s="623"/>
      <c r="D5" s="623"/>
      <c r="E5" s="623"/>
      <c r="F5" s="623"/>
      <c r="G5" s="623" t="s">
        <v>301</v>
      </c>
      <c r="H5" s="623"/>
      <c r="I5" s="623"/>
      <c r="J5" s="623"/>
      <c r="K5" s="623"/>
      <c r="L5" s="623"/>
    </row>
    <row r="6" spans="1:12" ht="7.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6:12" ht="12.75">
      <c r="F7" s="44" t="s">
        <v>436</v>
      </c>
      <c r="L7" s="44" t="s">
        <v>437</v>
      </c>
    </row>
    <row r="8" spans="1:12" ht="47.25" customHeight="1">
      <c r="A8" s="115" t="s">
        <v>191</v>
      </c>
      <c r="B8" s="115" t="s">
        <v>192</v>
      </c>
      <c r="C8" s="115" t="s">
        <v>438</v>
      </c>
      <c r="D8" s="115" t="s">
        <v>193</v>
      </c>
      <c r="E8" s="115" t="s">
        <v>439</v>
      </c>
      <c r="F8" s="10" t="s">
        <v>613</v>
      </c>
      <c r="G8" s="115" t="s">
        <v>191</v>
      </c>
      <c r="H8" s="115" t="s">
        <v>192</v>
      </c>
      <c r="I8" s="115" t="s">
        <v>438</v>
      </c>
      <c r="J8" s="115" t="s">
        <v>193</v>
      </c>
      <c r="K8" s="115" t="s">
        <v>439</v>
      </c>
      <c r="L8" s="10" t="s">
        <v>440</v>
      </c>
    </row>
    <row r="9" spans="1:12" ht="12.75">
      <c r="A9" s="170">
        <v>1</v>
      </c>
      <c r="B9" s="164">
        <v>2</v>
      </c>
      <c r="C9" s="171">
        <v>3</v>
      </c>
      <c r="D9" s="171">
        <v>4</v>
      </c>
      <c r="E9" s="171">
        <v>5</v>
      </c>
      <c r="F9" s="170">
        <v>6</v>
      </c>
      <c r="G9" s="170">
        <v>1</v>
      </c>
      <c r="H9" s="164">
        <v>2</v>
      </c>
      <c r="I9" s="171">
        <v>3</v>
      </c>
      <c r="J9" s="171">
        <v>4</v>
      </c>
      <c r="K9" s="171">
        <v>5</v>
      </c>
      <c r="L9" s="170">
        <v>6</v>
      </c>
    </row>
    <row r="10" spans="1:12" ht="12.75" customHeight="1">
      <c r="A10" s="131" t="s">
        <v>441</v>
      </c>
      <c r="B10" s="75">
        <f>SUM(B20,B27,B39,B44,B50,B57,B68,B76,B88,B94,B101,B113,B168,B177,B183)</f>
        <v>724591784</v>
      </c>
      <c r="C10" s="75">
        <f>SUM(C20,C27,C39,C44,C50,C57,C68,C76,C88,C94,C101,C113,C168,C177,C183)</f>
        <v>54497070</v>
      </c>
      <c r="D10" s="75">
        <f>SUM(D20,D27,D39,D44,D50,D57,D68,D76,D88,D94,D101,D113,D168,D177,D183)</f>
        <v>55863181</v>
      </c>
      <c r="E10" s="75">
        <f>D10/B10*100</f>
        <v>7.709607289723285</v>
      </c>
      <c r="F10" s="75">
        <f>D10</f>
        <v>55863181</v>
      </c>
      <c r="G10" s="12" t="s">
        <v>441</v>
      </c>
      <c r="H10" s="75">
        <f>ROUND(B10/1000,0)</f>
        <v>724592</v>
      </c>
      <c r="I10" s="75">
        <f>ROUND(C10/1000,0)</f>
        <v>54497</v>
      </c>
      <c r="J10" s="75">
        <f>SUM(J20,J27,J39,J44,J50,J57,J68,J76,J88,J94,J101,J113,J168,J177,J183)</f>
        <v>55863</v>
      </c>
      <c r="K10" s="486">
        <f>J10/H10*100</f>
        <v>7.7095800119239515</v>
      </c>
      <c r="L10" s="75">
        <f>J10</f>
        <v>55863</v>
      </c>
    </row>
    <row r="11" spans="1:12" ht="12.75" customHeight="1">
      <c r="A11" s="131" t="s">
        <v>416</v>
      </c>
      <c r="B11" s="75">
        <f>B12+B14</f>
        <v>764219683</v>
      </c>
      <c r="C11" s="75">
        <f>C12+C14</f>
        <v>64997968</v>
      </c>
      <c r="D11" s="75">
        <f>D12+D14</f>
        <v>60678798</v>
      </c>
      <c r="E11" s="75">
        <f aca="true" t="shared" si="0" ref="E11:E72">D11/B11*100</f>
        <v>7.939967963374217</v>
      </c>
      <c r="F11" s="75">
        <f aca="true" t="shared" si="1" ref="F11:F72">D11</f>
        <v>60678798</v>
      </c>
      <c r="G11" s="12" t="s">
        <v>416</v>
      </c>
      <c r="H11" s="75">
        <f>H12+H14</f>
        <v>764220</v>
      </c>
      <c r="I11" s="75">
        <f>ROUND(C11/1000,0)</f>
        <v>64998</v>
      </c>
      <c r="J11" s="75">
        <f>J12+J14</f>
        <v>60679</v>
      </c>
      <c r="K11" s="486">
        <f aca="true" t="shared" si="2" ref="K11:K72">J11/H11*100</f>
        <v>7.939991102038679</v>
      </c>
      <c r="L11" s="75">
        <f aca="true" t="shared" si="3" ref="L11:L72">J11</f>
        <v>60679</v>
      </c>
    </row>
    <row r="12" spans="1:12" ht="12.75" customHeight="1">
      <c r="A12" s="131" t="s">
        <v>442</v>
      </c>
      <c r="B12" s="163">
        <f>SUM(B23,B37,B42,B53,B60,B72,B82,B91,B97,B107,B118,B173,B181,B186)</f>
        <v>731791976</v>
      </c>
      <c r="C12" s="163">
        <f>SUM(C23,C37,C42,C53,C60,C72,C82,C91,C97,C107,C118,C173,C181,C186)</f>
        <v>60832377</v>
      </c>
      <c r="D12" s="163">
        <f>SUM(D23,D37,D42,D53,D60,D72,D82,D91,D97,D107,D118,D173,D181,D186)</f>
        <v>57116865</v>
      </c>
      <c r="E12" s="120">
        <f t="shared" si="0"/>
        <v>7.805068499411914</v>
      </c>
      <c r="F12" s="120">
        <f t="shared" si="1"/>
        <v>57116865</v>
      </c>
      <c r="G12" s="131" t="s">
        <v>442</v>
      </c>
      <c r="H12" s="172">
        <f aca="true" t="shared" si="4" ref="H12:H17">ROUND(B12/1000,0)</f>
        <v>731792</v>
      </c>
      <c r="I12" s="120">
        <f>ROUND(C12/1000,0)</f>
        <v>60832</v>
      </c>
      <c r="J12" s="163">
        <f>SUM(J23,J37,J42,J53,J60,J72,J82,J91,J97,J107,J118,J173,J181,J186)</f>
        <v>57117</v>
      </c>
      <c r="K12" s="494">
        <f t="shared" si="2"/>
        <v>7.80508669130026</v>
      </c>
      <c r="L12" s="120">
        <f t="shared" si="3"/>
        <v>57117</v>
      </c>
    </row>
    <row r="13" spans="1:12" ht="12.75" customHeight="1">
      <c r="A13" s="173" t="s">
        <v>443</v>
      </c>
      <c r="B13" s="163">
        <f>SUM(B54,B61,B83,B108,B119,B187)</f>
        <v>5473101</v>
      </c>
      <c r="C13" s="163">
        <f>SUM(C54,C61,C83,C108,C119,C187)</f>
        <v>0</v>
      </c>
      <c r="D13" s="163">
        <f>SUM(D54,D61,D83,D108,D119,D187)</f>
        <v>106600</v>
      </c>
      <c r="E13" s="120">
        <f t="shared" si="0"/>
        <v>1.947707524491143</v>
      </c>
      <c r="F13" s="120">
        <f t="shared" si="1"/>
        <v>106600</v>
      </c>
      <c r="G13" s="173" t="s">
        <v>443</v>
      </c>
      <c r="H13" s="172">
        <f t="shared" si="4"/>
        <v>5473</v>
      </c>
      <c r="I13" s="120"/>
      <c r="J13" s="163">
        <f>SUM(J54,J61,J83,J108,J119,J187)</f>
        <v>107</v>
      </c>
      <c r="K13" s="494">
        <f t="shared" si="2"/>
        <v>1.9550520738169195</v>
      </c>
      <c r="L13" s="120">
        <f t="shared" si="3"/>
        <v>107</v>
      </c>
    </row>
    <row r="14" spans="1:12" ht="12.75" customHeight="1">
      <c r="A14" s="131" t="s">
        <v>444</v>
      </c>
      <c r="B14" s="163">
        <f>SUM(B24,B55,B62,B73,B84,B92,B98,B109,B120,B174,B188)</f>
        <v>32427707</v>
      </c>
      <c r="C14" s="163">
        <f>SUM(C24,C55,C62,C73,C84,C92,C98,C109,C120,C174,C188)</f>
        <v>4165591</v>
      </c>
      <c r="D14" s="163">
        <f>SUM(D24,D55,D62,D73,D84,D92,D98,D109,D120,D174,D188)</f>
        <v>3561933</v>
      </c>
      <c r="E14" s="120">
        <f t="shared" si="0"/>
        <v>10.984227161050887</v>
      </c>
      <c r="F14" s="120">
        <f t="shared" si="1"/>
        <v>3561933</v>
      </c>
      <c r="G14" s="131" t="s">
        <v>444</v>
      </c>
      <c r="H14" s="172">
        <f t="shared" si="4"/>
        <v>32428</v>
      </c>
      <c r="I14" s="120">
        <f>ROUND(C14/1000,0)</f>
        <v>4166</v>
      </c>
      <c r="J14" s="163">
        <f>SUM(J24,J55,J62,J73,J84,J92,J98,J109,J120,J174,J188)</f>
        <v>3562</v>
      </c>
      <c r="K14" s="494">
        <f t="shared" si="2"/>
        <v>10.984334525718515</v>
      </c>
      <c r="L14" s="120">
        <f t="shared" si="3"/>
        <v>3562</v>
      </c>
    </row>
    <row r="15" spans="1:12" ht="12.75" customHeight="1">
      <c r="A15" s="131" t="s">
        <v>315</v>
      </c>
      <c r="B15" s="75">
        <f>SUM(B63)</f>
        <v>6699203</v>
      </c>
      <c r="C15" s="75">
        <f>SUM(C63)</f>
        <v>520066</v>
      </c>
      <c r="D15" s="75">
        <f>SUM(D63)</f>
        <v>468391</v>
      </c>
      <c r="E15" s="75">
        <f t="shared" si="0"/>
        <v>6.9917421520142025</v>
      </c>
      <c r="F15" s="75">
        <f t="shared" si="1"/>
        <v>468391</v>
      </c>
      <c r="G15" s="12" t="s">
        <v>315</v>
      </c>
      <c r="H15" s="75">
        <f t="shared" si="4"/>
        <v>6699</v>
      </c>
      <c r="I15" s="75">
        <f>ROUND(C15/1000,0)</f>
        <v>520</v>
      </c>
      <c r="J15" s="75">
        <f>SUM(J63)</f>
        <v>468</v>
      </c>
      <c r="K15" s="486">
        <f t="shared" si="2"/>
        <v>6.986117330944917</v>
      </c>
      <c r="L15" s="75">
        <f t="shared" si="3"/>
        <v>468</v>
      </c>
    </row>
    <row r="16" spans="1:12" ht="12.75" customHeight="1">
      <c r="A16" s="131" t="s">
        <v>316</v>
      </c>
      <c r="B16" s="75">
        <f>B10-B11-B15</f>
        <v>-46327102</v>
      </c>
      <c r="C16" s="75">
        <f>C10-C11-C15</f>
        <v>-11020964</v>
      </c>
      <c r="D16" s="75">
        <f>D10-D11-D15</f>
        <v>-5284008</v>
      </c>
      <c r="E16" s="75">
        <f t="shared" si="0"/>
        <v>11.405867779081023</v>
      </c>
      <c r="F16" s="75">
        <f t="shared" si="1"/>
        <v>-5284008</v>
      </c>
      <c r="G16" s="12" t="s">
        <v>316</v>
      </c>
      <c r="H16" s="75">
        <f t="shared" si="4"/>
        <v>-46327</v>
      </c>
      <c r="I16" s="75">
        <f>ROUND(C16/1000,0)</f>
        <v>-11021</v>
      </c>
      <c r="J16" s="75">
        <f>J10-J11-J15</f>
        <v>-5284</v>
      </c>
      <c r="K16" s="486">
        <f t="shared" si="2"/>
        <v>11.405875623286637</v>
      </c>
      <c r="L16" s="75">
        <f t="shared" si="3"/>
        <v>-5284</v>
      </c>
    </row>
    <row r="17" spans="1:12" ht="12.75" customHeight="1">
      <c r="A17" s="27" t="s">
        <v>445</v>
      </c>
      <c r="B17" s="75">
        <f>SUM(B65,B86,B111,B122,B190)</f>
        <v>48698241</v>
      </c>
      <c r="C17" s="75">
        <f>SUM(C65,C86,C111,C122,C190)</f>
        <v>2987830</v>
      </c>
      <c r="D17" s="75">
        <f>SUM(D65,D86,D111,D122,D190)</f>
        <v>8255618</v>
      </c>
      <c r="E17" s="75">
        <f t="shared" si="0"/>
        <v>16.952599992266663</v>
      </c>
      <c r="F17" s="75">
        <f t="shared" si="1"/>
        <v>8255618</v>
      </c>
      <c r="G17" s="35" t="s">
        <v>445</v>
      </c>
      <c r="H17" s="75">
        <f t="shared" si="4"/>
        <v>48698</v>
      </c>
      <c r="I17" s="75">
        <f>ROUND(C17/1000,0)</f>
        <v>2988</v>
      </c>
      <c r="J17" s="75">
        <f>SUM(J65,J86,J111,J122,J190)</f>
        <v>8256</v>
      </c>
      <c r="K17" s="486">
        <f t="shared" si="2"/>
        <v>16.95346831492053</v>
      </c>
      <c r="L17" s="75">
        <f t="shared" si="3"/>
        <v>8256</v>
      </c>
    </row>
    <row r="18" spans="1:12" ht="20.25" customHeight="1">
      <c r="A18" s="12" t="s">
        <v>323</v>
      </c>
      <c r="B18" s="120"/>
      <c r="C18" s="120"/>
      <c r="D18" s="120"/>
      <c r="E18" s="120"/>
      <c r="F18" s="120"/>
      <c r="G18" s="12" t="s">
        <v>323</v>
      </c>
      <c r="H18" s="120"/>
      <c r="I18" s="120"/>
      <c r="J18" s="120"/>
      <c r="K18" s="494"/>
      <c r="L18" s="120"/>
    </row>
    <row r="19" spans="1:12" ht="12.75" customHeight="1">
      <c r="A19" s="137" t="s">
        <v>446</v>
      </c>
      <c r="B19" s="120"/>
      <c r="C19" s="120"/>
      <c r="D19" s="120"/>
      <c r="E19" s="120"/>
      <c r="F19" s="120"/>
      <c r="G19" s="137" t="s">
        <v>446</v>
      </c>
      <c r="H19" s="120"/>
      <c r="I19" s="120"/>
      <c r="J19" s="120"/>
      <c r="K19" s="494"/>
      <c r="L19" s="120"/>
    </row>
    <row r="20" spans="1:12" ht="12.75" customHeight="1">
      <c r="A20" s="131" t="s">
        <v>447</v>
      </c>
      <c r="B20" s="163">
        <f>B21</f>
        <v>2874300</v>
      </c>
      <c r="C20" s="163">
        <v>237300</v>
      </c>
      <c r="D20" s="163">
        <f>D21</f>
        <v>1765</v>
      </c>
      <c r="E20" s="120">
        <f t="shared" si="0"/>
        <v>0.06140625543610618</v>
      </c>
      <c r="F20" s="120">
        <f t="shared" si="1"/>
        <v>1765</v>
      </c>
      <c r="G20" s="131" t="s">
        <v>447</v>
      </c>
      <c r="H20" s="163">
        <f>ROUND(B20/1000,0)</f>
        <v>2874</v>
      </c>
      <c r="I20" s="163">
        <f>ROUND(C20/1000,0)</f>
        <v>237</v>
      </c>
      <c r="J20" s="163">
        <f>J21</f>
        <v>2</v>
      </c>
      <c r="K20" s="494">
        <f t="shared" si="2"/>
        <v>0.06958942240779402</v>
      </c>
      <c r="L20" s="120">
        <f t="shared" si="3"/>
        <v>2</v>
      </c>
    </row>
    <row r="21" spans="1:12" ht="12.75" customHeight="1">
      <c r="A21" s="131" t="s">
        <v>448</v>
      </c>
      <c r="B21" s="163">
        <v>2874300</v>
      </c>
      <c r="C21" s="163"/>
      <c r="D21" s="163">
        <v>1765</v>
      </c>
      <c r="E21" s="120">
        <f t="shared" si="0"/>
        <v>0.06140625543610618</v>
      </c>
      <c r="F21" s="120">
        <f t="shared" si="1"/>
        <v>1765</v>
      </c>
      <c r="G21" s="131" t="s">
        <v>448</v>
      </c>
      <c r="H21" s="163">
        <f>ROUND(B21/1000,0)</f>
        <v>2874</v>
      </c>
      <c r="I21" s="163"/>
      <c r="J21" s="163">
        <f>ROUND(D21/1000,0)</f>
        <v>2</v>
      </c>
      <c r="K21" s="494">
        <f t="shared" si="2"/>
        <v>0.06958942240779402</v>
      </c>
      <c r="L21" s="120">
        <f t="shared" si="3"/>
        <v>2</v>
      </c>
    </row>
    <row r="22" spans="1:12" ht="12.75" customHeight="1">
      <c r="A22" s="131" t="s">
        <v>449</v>
      </c>
      <c r="B22" s="120">
        <f>B23+B24</f>
        <v>2874300</v>
      </c>
      <c r="C22" s="120">
        <f>C23+C24</f>
        <v>237300</v>
      </c>
      <c r="D22" s="120">
        <f>D23+D24</f>
        <v>193867</v>
      </c>
      <c r="E22" s="120">
        <f t="shared" si="0"/>
        <v>6.744842222454163</v>
      </c>
      <c r="F22" s="120">
        <f t="shared" si="1"/>
        <v>193867</v>
      </c>
      <c r="G22" s="131" t="s">
        <v>449</v>
      </c>
      <c r="H22" s="163">
        <f>ROUND(B22/1000,0)</f>
        <v>2874</v>
      </c>
      <c r="I22" s="163">
        <f>ROUND(C22/1000,0)</f>
        <v>237</v>
      </c>
      <c r="J22" s="163">
        <f>SUM(J23:J24)</f>
        <v>194</v>
      </c>
      <c r="K22" s="494">
        <f t="shared" si="2"/>
        <v>6.75017397355602</v>
      </c>
      <c r="L22" s="120">
        <f t="shared" si="3"/>
        <v>194</v>
      </c>
    </row>
    <row r="23" spans="1:12" ht="12.75" customHeight="1">
      <c r="A23" s="131" t="s">
        <v>450</v>
      </c>
      <c r="B23" s="163">
        <v>2856700</v>
      </c>
      <c r="C23" s="163">
        <v>231300</v>
      </c>
      <c r="D23" s="163">
        <v>190262</v>
      </c>
      <c r="E23" s="120">
        <f t="shared" si="0"/>
        <v>6.6602023313613605</v>
      </c>
      <c r="F23" s="120">
        <f t="shared" si="1"/>
        <v>190262</v>
      </c>
      <c r="G23" s="131" t="s">
        <v>450</v>
      </c>
      <c r="H23" s="163">
        <f>ROUND(B23/1000,0)</f>
        <v>2857</v>
      </c>
      <c r="I23" s="163">
        <f>ROUND(C23/1000,0)</f>
        <v>231</v>
      </c>
      <c r="J23" s="163">
        <f>ROUND(D23/1000,0)</f>
        <v>190</v>
      </c>
      <c r="K23" s="494">
        <f t="shared" si="2"/>
        <v>6.650332516625832</v>
      </c>
      <c r="L23" s="120">
        <f t="shared" si="3"/>
        <v>190</v>
      </c>
    </row>
    <row r="24" spans="1:12" ht="12.75" customHeight="1">
      <c r="A24" s="131" t="s">
        <v>444</v>
      </c>
      <c r="B24" s="163">
        <v>17600</v>
      </c>
      <c r="C24" s="163">
        <v>6000</v>
      </c>
      <c r="D24" s="163">
        <v>3605</v>
      </c>
      <c r="E24" s="120">
        <f t="shared" si="0"/>
        <v>20.482954545454547</v>
      </c>
      <c r="F24" s="120">
        <f t="shared" si="1"/>
        <v>3605</v>
      </c>
      <c r="G24" s="131" t="s">
        <v>444</v>
      </c>
      <c r="H24" s="163">
        <f>ROUND(B24/1000,0)</f>
        <v>18</v>
      </c>
      <c r="I24" s="163">
        <f>ROUND(C24/1000,0)</f>
        <v>6</v>
      </c>
      <c r="J24" s="163">
        <f>ROUND(D24/1000,0)</f>
        <v>4</v>
      </c>
      <c r="K24" s="494">
        <f t="shared" si="2"/>
        <v>22.22222222222222</v>
      </c>
      <c r="L24" s="120">
        <f t="shared" si="3"/>
        <v>4</v>
      </c>
    </row>
    <row r="25" spans="1:12" ht="12.75" customHeight="1">
      <c r="A25" s="12" t="s">
        <v>324</v>
      </c>
      <c r="B25" s="120"/>
      <c r="C25" s="120"/>
      <c r="D25" s="120"/>
      <c r="E25" s="120"/>
      <c r="F25" s="120"/>
      <c r="G25" s="12" t="s">
        <v>324</v>
      </c>
      <c r="H25" s="163"/>
      <c r="I25" s="163"/>
      <c r="J25" s="163"/>
      <c r="K25" s="494"/>
      <c r="L25" s="120"/>
    </row>
    <row r="26" spans="1:12" ht="24" customHeight="1">
      <c r="A26" s="74" t="s">
        <v>451</v>
      </c>
      <c r="B26" s="120"/>
      <c r="C26" s="120"/>
      <c r="D26" s="120"/>
      <c r="E26" s="120"/>
      <c r="F26" s="120"/>
      <c r="G26" s="90" t="s">
        <v>451</v>
      </c>
      <c r="H26" s="163"/>
      <c r="I26" s="163"/>
      <c r="J26" s="163"/>
      <c r="K26" s="494"/>
      <c r="L26" s="120"/>
    </row>
    <row r="27" spans="1:12" ht="12.75" customHeight="1">
      <c r="A27" s="131" t="s">
        <v>447</v>
      </c>
      <c r="B27" s="120">
        <f>B28+B33+B34+B35</f>
        <v>2820000</v>
      </c>
      <c r="C27" s="120">
        <v>275550</v>
      </c>
      <c r="D27" s="120">
        <f>D28+D33+D34+D35</f>
        <v>261790</v>
      </c>
      <c r="E27" s="120">
        <f t="shared" si="0"/>
        <v>9.283333333333333</v>
      </c>
      <c r="F27" s="120">
        <f t="shared" si="1"/>
        <v>261790</v>
      </c>
      <c r="G27" s="131" t="s">
        <v>447</v>
      </c>
      <c r="H27" s="163">
        <f>ROUND(B27/1000,0)</f>
        <v>2820</v>
      </c>
      <c r="I27" s="163">
        <f>ROUND(C27/1000,0)</f>
        <v>276</v>
      </c>
      <c r="J27" s="163">
        <f>SUM(J28,J33:J35)</f>
        <v>261</v>
      </c>
      <c r="K27" s="494">
        <f t="shared" si="2"/>
        <v>9.25531914893617</v>
      </c>
      <c r="L27" s="120">
        <f t="shared" si="3"/>
        <v>261</v>
      </c>
    </row>
    <row r="28" spans="1:12" ht="12.75" customHeight="1">
      <c r="A28" s="27" t="s">
        <v>452</v>
      </c>
      <c r="B28" s="163">
        <f>SUM(B29:B32)</f>
        <v>2555000</v>
      </c>
      <c r="C28" s="163"/>
      <c r="D28" s="163">
        <f>SUM(D29:D32)</f>
        <v>245164</v>
      </c>
      <c r="E28" s="120">
        <f t="shared" si="0"/>
        <v>9.59545988258317</v>
      </c>
      <c r="F28" s="120">
        <f t="shared" si="1"/>
        <v>245164</v>
      </c>
      <c r="G28" s="27" t="s">
        <v>452</v>
      </c>
      <c r="H28" s="163">
        <f aca="true" t="shared" si="5" ref="H28:H37">ROUND(B28/1000,0)</f>
        <v>2555</v>
      </c>
      <c r="I28" s="163"/>
      <c r="J28" s="163">
        <f>SUM(J29:J32)</f>
        <v>245</v>
      </c>
      <c r="K28" s="494">
        <f t="shared" si="2"/>
        <v>9.58904109589041</v>
      </c>
      <c r="L28" s="120">
        <f t="shared" si="3"/>
        <v>245</v>
      </c>
    </row>
    <row r="29" spans="1:12" ht="51">
      <c r="A29" s="36" t="s">
        <v>453</v>
      </c>
      <c r="B29" s="163">
        <v>2000000</v>
      </c>
      <c r="C29" s="163"/>
      <c r="D29" s="163">
        <v>150504</v>
      </c>
      <c r="E29" s="120">
        <f t="shared" si="0"/>
        <v>7.5252</v>
      </c>
      <c r="F29" s="120">
        <f t="shared" si="1"/>
        <v>150504</v>
      </c>
      <c r="G29" s="36" t="s">
        <v>453</v>
      </c>
      <c r="H29" s="163">
        <f t="shared" si="5"/>
        <v>2000</v>
      </c>
      <c r="I29" s="163"/>
      <c r="J29" s="163">
        <f>ROUND(D29/1000,0)-1</f>
        <v>150</v>
      </c>
      <c r="K29" s="494">
        <f t="shared" si="2"/>
        <v>7.5</v>
      </c>
      <c r="L29" s="120">
        <f t="shared" si="3"/>
        <v>150</v>
      </c>
    </row>
    <row r="30" spans="1:12" ht="38.25">
      <c r="A30" s="36" t="s">
        <v>454</v>
      </c>
      <c r="B30" s="163">
        <v>240000</v>
      </c>
      <c r="C30" s="163"/>
      <c r="D30" s="163">
        <v>47799</v>
      </c>
      <c r="E30" s="120">
        <f t="shared" si="0"/>
        <v>19.916249999999998</v>
      </c>
      <c r="F30" s="120">
        <f t="shared" si="1"/>
        <v>47799</v>
      </c>
      <c r="G30" s="36" t="s">
        <v>454</v>
      </c>
      <c r="H30" s="163">
        <f t="shared" si="5"/>
        <v>240</v>
      </c>
      <c r="I30" s="163"/>
      <c r="J30" s="163">
        <f>ROUND(D30/1000,0)</f>
        <v>48</v>
      </c>
      <c r="K30" s="494">
        <f t="shared" si="2"/>
        <v>20</v>
      </c>
      <c r="L30" s="120">
        <f t="shared" si="3"/>
        <v>48</v>
      </c>
    </row>
    <row r="31" spans="1:12" ht="25.5" customHeight="1">
      <c r="A31" s="36" t="s">
        <v>455</v>
      </c>
      <c r="B31" s="163">
        <v>145000</v>
      </c>
      <c r="C31" s="163"/>
      <c r="D31" s="163">
        <v>28681</v>
      </c>
      <c r="E31" s="120">
        <f t="shared" si="0"/>
        <v>19.78</v>
      </c>
      <c r="F31" s="120">
        <f t="shared" si="1"/>
        <v>28681</v>
      </c>
      <c r="G31" s="36" t="s">
        <v>455</v>
      </c>
      <c r="H31" s="163">
        <f t="shared" si="5"/>
        <v>145</v>
      </c>
      <c r="I31" s="163"/>
      <c r="J31" s="163">
        <f>ROUND(D31/1000,0)</f>
        <v>29</v>
      </c>
      <c r="K31" s="494">
        <f t="shared" si="2"/>
        <v>20</v>
      </c>
      <c r="L31" s="120">
        <f t="shared" si="3"/>
        <v>29</v>
      </c>
    </row>
    <row r="32" spans="1:12" ht="38.25">
      <c r="A32" s="36" t="s">
        <v>456</v>
      </c>
      <c r="B32" s="163">
        <v>170000</v>
      </c>
      <c r="C32" s="163"/>
      <c r="D32" s="163">
        <f>18141+39</f>
        <v>18180</v>
      </c>
      <c r="E32" s="120">
        <f t="shared" si="0"/>
        <v>10.694117647058823</v>
      </c>
      <c r="F32" s="120">
        <f t="shared" si="1"/>
        <v>18180</v>
      </c>
      <c r="G32" s="36" t="s">
        <v>456</v>
      </c>
      <c r="H32" s="163">
        <f t="shared" si="5"/>
        <v>170</v>
      </c>
      <c r="I32" s="163"/>
      <c r="J32" s="163">
        <f>ROUND(D32/1000,0)</f>
        <v>18</v>
      </c>
      <c r="K32" s="494">
        <f t="shared" si="2"/>
        <v>10.588235294117647</v>
      </c>
      <c r="L32" s="120">
        <f t="shared" si="3"/>
        <v>18</v>
      </c>
    </row>
    <row r="33" spans="1:12" ht="12.75" customHeight="1">
      <c r="A33" s="27" t="s">
        <v>457</v>
      </c>
      <c r="B33" s="163">
        <v>90000</v>
      </c>
      <c r="C33" s="163"/>
      <c r="D33" s="163"/>
      <c r="E33" s="120">
        <f t="shared" si="0"/>
        <v>0</v>
      </c>
      <c r="F33" s="120">
        <f t="shared" si="1"/>
        <v>0</v>
      </c>
      <c r="G33" s="27" t="s">
        <v>457</v>
      </c>
      <c r="H33" s="163">
        <f t="shared" si="5"/>
        <v>90</v>
      </c>
      <c r="I33" s="163"/>
      <c r="J33" s="163"/>
      <c r="K33" s="494"/>
      <c r="L33" s="120"/>
    </row>
    <row r="34" spans="1:12" ht="12.75" customHeight="1">
      <c r="A34" s="27" t="s">
        <v>458</v>
      </c>
      <c r="B34" s="163">
        <v>170000</v>
      </c>
      <c r="C34" s="163"/>
      <c r="D34" s="163">
        <v>18430</v>
      </c>
      <c r="E34" s="120">
        <f t="shared" si="0"/>
        <v>10.841176470588234</v>
      </c>
      <c r="F34" s="120">
        <f t="shared" si="1"/>
        <v>18430</v>
      </c>
      <c r="G34" s="27" t="s">
        <v>458</v>
      </c>
      <c r="H34" s="163">
        <f t="shared" si="5"/>
        <v>170</v>
      </c>
      <c r="I34" s="163"/>
      <c r="J34" s="163">
        <f>ROUND(D34/1000,0)</f>
        <v>18</v>
      </c>
      <c r="K34" s="494">
        <f t="shared" si="2"/>
        <v>10.588235294117647</v>
      </c>
      <c r="L34" s="120">
        <f t="shared" si="3"/>
        <v>18</v>
      </c>
    </row>
    <row r="35" spans="1:12" ht="12.75" customHeight="1">
      <c r="A35" s="174" t="s">
        <v>459</v>
      </c>
      <c r="B35" s="163">
        <v>5000</v>
      </c>
      <c r="C35" s="163"/>
      <c r="D35" s="163">
        <f>122-1926</f>
        <v>-1804</v>
      </c>
      <c r="E35" s="120">
        <f t="shared" si="0"/>
        <v>-36.08</v>
      </c>
      <c r="F35" s="120">
        <f t="shared" si="1"/>
        <v>-1804</v>
      </c>
      <c r="G35" s="174" t="s">
        <v>459</v>
      </c>
      <c r="H35" s="163">
        <f t="shared" si="5"/>
        <v>5</v>
      </c>
      <c r="I35" s="163"/>
      <c r="J35" s="163">
        <f>ROUND(D35/1000,0)</f>
        <v>-2</v>
      </c>
      <c r="K35" s="494"/>
      <c r="L35" s="120">
        <f t="shared" si="3"/>
        <v>-2</v>
      </c>
    </row>
    <row r="36" spans="1:12" ht="12.75" customHeight="1">
      <c r="A36" s="131" t="s">
        <v>449</v>
      </c>
      <c r="B36" s="120">
        <f>B37</f>
        <v>1205000</v>
      </c>
      <c r="C36" s="120">
        <f>C37</f>
        <v>119240</v>
      </c>
      <c r="D36" s="120">
        <f>D37</f>
        <v>40215</v>
      </c>
      <c r="E36" s="120">
        <f>D36/B36*100</f>
        <v>3.3373443983402487</v>
      </c>
      <c r="F36" s="120">
        <f>D36</f>
        <v>40215</v>
      </c>
      <c r="G36" s="131" t="s">
        <v>449</v>
      </c>
      <c r="H36" s="163">
        <f t="shared" si="5"/>
        <v>1205</v>
      </c>
      <c r="I36" s="163">
        <f>ROUND(C36/1000,0)</f>
        <v>119</v>
      </c>
      <c r="J36" s="163">
        <f>SUM(J37)</f>
        <v>40</v>
      </c>
      <c r="K36" s="494">
        <f t="shared" si="2"/>
        <v>3.319502074688797</v>
      </c>
      <c r="L36" s="120">
        <f t="shared" si="3"/>
        <v>40</v>
      </c>
    </row>
    <row r="37" spans="1:12" ht="12.75" customHeight="1">
      <c r="A37" s="131" t="s">
        <v>450</v>
      </c>
      <c r="B37" s="163">
        <v>1205000</v>
      </c>
      <c r="C37" s="163">
        <v>119240</v>
      </c>
      <c r="D37" s="163">
        <v>40215</v>
      </c>
      <c r="E37" s="120">
        <f t="shared" si="0"/>
        <v>3.3373443983402487</v>
      </c>
      <c r="F37" s="120">
        <f t="shared" si="1"/>
        <v>40215</v>
      </c>
      <c r="G37" s="131" t="s">
        <v>450</v>
      </c>
      <c r="H37" s="163">
        <f t="shared" si="5"/>
        <v>1205</v>
      </c>
      <c r="I37" s="163">
        <f>ROUND(C37/1000,0)</f>
        <v>119</v>
      </c>
      <c r="J37" s="163">
        <f>ROUND(D37/1000,0)</f>
        <v>40</v>
      </c>
      <c r="K37" s="494">
        <f t="shared" si="2"/>
        <v>3.319502074688797</v>
      </c>
      <c r="L37" s="120">
        <f t="shared" si="3"/>
        <v>40</v>
      </c>
    </row>
    <row r="38" spans="1:12" ht="24" customHeight="1">
      <c r="A38" s="74" t="s">
        <v>460</v>
      </c>
      <c r="B38" s="81"/>
      <c r="C38" s="81"/>
      <c r="D38" s="81"/>
      <c r="E38" s="120"/>
      <c r="F38" s="120"/>
      <c r="G38" s="74" t="s">
        <v>460</v>
      </c>
      <c r="H38" s="163"/>
      <c r="I38" s="163"/>
      <c r="J38" s="163"/>
      <c r="K38" s="494"/>
      <c r="L38" s="120"/>
    </row>
    <row r="39" spans="1:12" ht="12.75" customHeight="1">
      <c r="A39" s="131" t="s">
        <v>447</v>
      </c>
      <c r="B39" s="120">
        <f>B40</f>
        <v>500000</v>
      </c>
      <c r="C39" s="120">
        <v>250000</v>
      </c>
      <c r="D39" s="120">
        <f>D40</f>
        <v>358655</v>
      </c>
      <c r="E39" s="120">
        <f t="shared" si="0"/>
        <v>71.731</v>
      </c>
      <c r="F39" s="120">
        <f t="shared" si="1"/>
        <v>358655</v>
      </c>
      <c r="G39" s="131" t="s">
        <v>447</v>
      </c>
      <c r="H39" s="163">
        <f>ROUND(B39/1000,0)</f>
        <v>500</v>
      </c>
      <c r="I39" s="163">
        <f>ROUND(C39/1000,0)</f>
        <v>250</v>
      </c>
      <c r="J39" s="163">
        <f>J40</f>
        <v>359</v>
      </c>
      <c r="K39" s="494">
        <f t="shared" si="2"/>
        <v>71.8</v>
      </c>
      <c r="L39" s="120">
        <f t="shared" si="3"/>
        <v>359</v>
      </c>
    </row>
    <row r="40" spans="1:12" ht="12.75" customHeight="1">
      <c r="A40" s="175" t="s">
        <v>461</v>
      </c>
      <c r="B40" s="163">
        <v>500000</v>
      </c>
      <c r="C40" s="163"/>
      <c r="D40" s="163">
        <v>358655</v>
      </c>
      <c r="E40" s="120">
        <f t="shared" si="0"/>
        <v>71.731</v>
      </c>
      <c r="F40" s="120">
        <f t="shared" si="1"/>
        <v>358655</v>
      </c>
      <c r="G40" s="175" t="s">
        <v>461</v>
      </c>
      <c r="H40" s="163">
        <f>ROUND(B40/1000,0)</f>
        <v>500</v>
      </c>
      <c r="I40" s="163"/>
      <c r="J40" s="163">
        <f>ROUND(D40/1000,0)</f>
        <v>359</v>
      </c>
      <c r="K40" s="494">
        <f t="shared" si="2"/>
        <v>71.8</v>
      </c>
      <c r="L40" s="120">
        <f t="shared" si="3"/>
        <v>359</v>
      </c>
    </row>
    <row r="41" spans="1:12" ht="12.75" customHeight="1">
      <c r="A41" s="131" t="s">
        <v>449</v>
      </c>
      <c r="B41" s="120">
        <f>B42</f>
        <v>31300</v>
      </c>
      <c r="C41" s="120">
        <f>C42</f>
        <v>5050</v>
      </c>
      <c r="D41" s="120">
        <f>D42</f>
        <v>2757</v>
      </c>
      <c r="E41" s="120">
        <f t="shared" si="0"/>
        <v>8.808306709265176</v>
      </c>
      <c r="F41" s="120">
        <f t="shared" si="1"/>
        <v>2757</v>
      </c>
      <c r="G41" s="131" t="s">
        <v>449</v>
      </c>
      <c r="H41" s="163">
        <f>ROUND(B41/1000,0)</f>
        <v>31</v>
      </c>
      <c r="I41" s="163">
        <f>ROUND(C41/1000,0)</f>
        <v>5</v>
      </c>
      <c r="J41" s="163">
        <f>J42</f>
        <v>3</v>
      </c>
      <c r="K41" s="494">
        <f t="shared" si="2"/>
        <v>9.67741935483871</v>
      </c>
      <c r="L41" s="120">
        <f t="shared" si="3"/>
        <v>3</v>
      </c>
    </row>
    <row r="42" spans="1:12" ht="12.75" customHeight="1">
      <c r="A42" s="131" t="s">
        <v>462</v>
      </c>
      <c r="B42" s="163">
        <v>31300</v>
      </c>
      <c r="C42" s="163">
        <v>5050</v>
      </c>
      <c r="D42" s="163">
        <v>2757</v>
      </c>
      <c r="E42" s="120">
        <f t="shared" si="0"/>
        <v>8.808306709265176</v>
      </c>
      <c r="F42" s="120">
        <f t="shared" si="1"/>
        <v>2757</v>
      </c>
      <c r="G42" s="131" t="s">
        <v>462</v>
      </c>
      <c r="H42" s="163">
        <f>ROUND(B42/1000,0)</f>
        <v>31</v>
      </c>
      <c r="I42" s="163">
        <f>ROUND(C42/1000,0)</f>
        <v>5</v>
      </c>
      <c r="J42" s="163">
        <f>ROUND(D42/1000,0)</f>
        <v>3</v>
      </c>
      <c r="K42" s="494">
        <f t="shared" si="2"/>
        <v>9.67741935483871</v>
      </c>
      <c r="L42" s="120">
        <f t="shared" si="3"/>
        <v>3</v>
      </c>
    </row>
    <row r="43" spans="1:12" ht="12.75" customHeight="1">
      <c r="A43" s="74" t="s">
        <v>463</v>
      </c>
      <c r="B43" s="163"/>
      <c r="C43" s="163"/>
      <c r="D43" s="163"/>
      <c r="E43" s="120"/>
      <c r="F43" s="120"/>
      <c r="G43" s="74" t="s">
        <v>463</v>
      </c>
      <c r="H43" s="163"/>
      <c r="I43" s="163"/>
      <c r="J43" s="163"/>
      <c r="K43" s="494"/>
      <c r="L43" s="120"/>
    </row>
    <row r="44" spans="1:12" ht="12.75" customHeight="1">
      <c r="A44" s="131" t="s">
        <v>447</v>
      </c>
      <c r="B44" s="163">
        <f>B45</f>
        <v>75000</v>
      </c>
      <c r="C44" s="163">
        <v>34000</v>
      </c>
      <c r="D44" s="163">
        <f>D45</f>
        <v>29597</v>
      </c>
      <c r="E44" s="120">
        <f t="shared" si="0"/>
        <v>39.46266666666667</v>
      </c>
      <c r="F44" s="120">
        <f t="shared" si="1"/>
        <v>29597</v>
      </c>
      <c r="G44" s="131" t="s">
        <v>447</v>
      </c>
      <c r="H44" s="163">
        <f>ROUND(B44/1000,0)</f>
        <v>75</v>
      </c>
      <c r="I44" s="163">
        <f>ROUND(C44/1000,0)</f>
        <v>34</v>
      </c>
      <c r="J44" s="163">
        <f>J45</f>
        <v>30</v>
      </c>
      <c r="K44" s="494">
        <f t="shared" si="2"/>
        <v>40</v>
      </c>
      <c r="L44" s="120">
        <f t="shared" si="3"/>
        <v>30</v>
      </c>
    </row>
    <row r="45" spans="1:12" ht="12.75" customHeight="1">
      <c r="A45" s="27" t="s">
        <v>452</v>
      </c>
      <c r="B45" s="163">
        <f>SUM(B46:B47)</f>
        <v>75000</v>
      </c>
      <c r="C45" s="163"/>
      <c r="D45" s="163">
        <v>29597</v>
      </c>
      <c r="E45" s="120">
        <f t="shared" si="0"/>
        <v>39.46266666666667</v>
      </c>
      <c r="F45" s="120">
        <f t="shared" si="1"/>
        <v>29597</v>
      </c>
      <c r="G45" s="27" t="s">
        <v>452</v>
      </c>
      <c r="H45" s="163">
        <f>ROUND(B45/1000,0)</f>
        <v>75</v>
      </c>
      <c r="I45" s="163"/>
      <c r="J45" s="163">
        <f>ROUND(D45/1000,0)</f>
        <v>30</v>
      </c>
      <c r="K45" s="494">
        <f t="shared" si="2"/>
        <v>40</v>
      </c>
      <c r="L45" s="120">
        <f t="shared" si="3"/>
        <v>30</v>
      </c>
    </row>
    <row r="46" spans="1:12" ht="12.75">
      <c r="A46" s="36" t="s">
        <v>638</v>
      </c>
      <c r="B46" s="163">
        <v>15000</v>
      </c>
      <c r="C46" s="163"/>
      <c r="D46" s="163">
        <v>3054</v>
      </c>
      <c r="E46" s="120">
        <f t="shared" si="0"/>
        <v>20.36</v>
      </c>
      <c r="F46" s="120">
        <f t="shared" si="1"/>
        <v>3054</v>
      </c>
      <c r="G46" s="36" t="s">
        <v>638</v>
      </c>
      <c r="H46" s="163">
        <f>ROUND(B46/1000,0)</f>
        <v>15</v>
      </c>
      <c r="I46" s="163"/>
      <c r="J46" s="163">
        <f>ROUND(D46/1000,0)</f>
        <v>3</v>
      </c>
      <c r="K46" s="494">
        <f t="shared" si="2"/>
        <v>20</v>
      </c>
      <c r="L46" s="120">
        <f t="shared" si="3"/>
        <v>3</v>
      </c>
    </row>
    <row r="47" spans="1:12" ht="12.75">
      <c r="A47" s="36" t="s">
        <v>639</v>
      </c>
      <c r="B47" s="163">
        <v>60000</v>
      </c>
      <c r="C47" s="163"/>
      <c r="D47" s="163">
        <v>26543</v>
      </c>
      <c r="E47" s="120">
        <f t="shared" si="0"/>
        <v>44.23833333333334</v>
      </c>
      <c r="F47" s="120">
        <f t="shared" si="1"/>
        <v>26543</v>
      </c>
      <c r="G47" s="36" t="s">
        <v>639</v>
      </c>
      <c r="H47" s="163">
        <f>ROUND(B47/1000,0)</f>
        <v>60</v>
      </c>
      <c r="I47" s="163"/>
      <c r="J47" s="163">
        <f>ROUND(D47/1000,0)</f>
        <v>27</v>
      </c>
      <c r="K47" s="494">
        <f t="shared" si="2"/>
        <v>45</v>
      </c>
      <c r="L47" s="120">
        <f t="shared" si="3"/>
        <v>27</v>
      </c>
    </row>
    <row r="48" spans="1:12" ht="12.75" customHeight="1">
      <c r="A48" s="12" t="s">
        <v>326</v>
      </c>
      <c r="B48" s="120"/>
      <c r="C48" s="120"/>
      <c r="D48" s="120"/>
      <c r="E48" s="120"/>
      <c r="F48" s="120"/>
      <c r="G48" s="12" t="s">
        <v>326</v>
      </c>
      <c r="H48" s="163"/>
      <c r="I48" s="163"/>
      <c r="J48" s="163"/>
      <c r="K48" s="494"/>
      <c r="L48" s="120"/>
    </row>
    <row r="49" spans="1:12" ht="12.75" customHeight="1">
      <c r="A49" s="122" t="s">
        <v>640</v>
      </c>
      <c r="B49" s="120"/>
      <c r="C49" s="120"/>
      <c r="D49" s="120"/>
      <c r="E49" s="120"/>
      <c r="F49" s="120"/>
      <c r="G49" s="122" t="s">
        <v>640</v>
      </c>
      <c r="H49" s="163"/>
      <c r="I49" s="163"/>
      <c r="J49" s="163"/>
      <c r="K49" s="494"/>
      <c r="L49" s="120"/>
    </row>
    <row r="50" spans="1:12" ht="12.75" customHeight="1">
      <c r="A50" s="131" t="s">
        <v>447</v>
      </c>
      <c r="B50" s="120">
        <f>B51</f>
        <v>1508663</v>
      </c>
      <c r="C50" s="120">
        <v>200000</v>
      </c>
      <c r="D50" s="120">
        <f>D51</f>
        <v>200000</v>
      </c>
      <c r="E50" s="120">
        <f t="shared" si="0"/>
        <v>13.256771061529316</v>
      </c>
      <c r="F50" s="120">
        <f t="shared" si="1"/>
        <v>200000</v>
      </c>
      <c r="G50" s="131" t="s">
        <v>447</v>
      </c>
      <c r="H50" s="163">
        <f>ROUND(B50/1000,0)</f>
        <v>1509</v>
      </c>
      <c r="I50" s="163">
        <f>ROUND(C50/1000,0)</f>
        <v>200</v>
      </c>
      <c r="J50" s="163">
        <f>J51</f>
        <v>200</v>
      </c>
      <c r="K50" s="494">
        <f t="shared" si="2"/>
        <v>13.253810470510272</v>
      </c>
      <c r="L50" s="120">
        <f t="shared" si="3"/>
        <v>200</v>
      </c>
    </row>
    <row r="51" spans="1:12" ht="12.75" customHeight="1">
      <c r="A51" s="27" t="s">
        <v>641</v>
      </c>
      <c r="B51" s="163">
        <v>1508663</v>
      </c>
      <c r="C51" s="163"/>
      <c r="D51" s="163">
        <v>200000</v>
      </c>
      <c r="E51" s="120">
        <f t="shared" si="0"/>
        <v>13.256771061529316</v>
      </c>
      <c r="F51" s="120">
        <f t="shared" si="1"/>
        <v>200000</v>
      </c>
      <c r="G51" s="27" t="s">
        <v>641</v>
      </c>
      <c r="H51" s="163">
        <f>ROUND(B51/1000,0)</f>
        <v>1509</v>
      </c>
      <c r="I51" s="163"/>
      <c r="J51" s="163">
        <f>ROUND(D51/1000,0)</f>
        <v>200</v>
      </c>
      <c r="K51" s="494">
        <f t="shared" si="2"/>
        <v>13.253810470510272</v>
      </c>
      <c r="L51" s="120">
        <f t="shared" si="3"/>
        <v>200</v>
      </c>
    </row>
    <row r="52" spans="1:12" ht="12.75" customHeight="1">
      <c r="A52" s="131" t="s">
        <v>449</v>
      </c>
      <c r="B52" s="120">
        <f>SUM(B53+B55)</f>
        <v>1508663</v>
      </c>
      <c r="C52" s="120">
        <f>SUM(C53+C55)</f>
        <v>200000</v>
      </c>
      <c r="D52" s="120">
        <f>SUM(D53+D55)</f>
        <v>195000</v>
      </c>
      <c r="E52" s="120">
        <f t="shared" si="0"/>
        <v>12.925351784991083</v>
      </c>
      <c r="F52" s="120">
        <f t="shared" si="1"/>
        <v>195000</v>
      </c>
      <c r="G52" s="131" t="s">
        <v>449</v>
      </c>
      <c r="H52" s="163">
        <f>ROUND(B52/1000,0)</f>
        <v>1509</v>
      </c>
      <c r="I52" s="163">
        <f>ROUND(C52/1000,0)</f>
        <v>200</v>
      </c>
      <c r="J52" s="163">
        <f>J53+J55</f>
        <v>195</v>
      </c>
      <c r="K52" s="494">
        <f t="shared" si="2"/>
        <v>12.922465208747516</v>
      </c>
      <c r="L52" s="120">
        <f t="shared" si="3"/>
        <v>195</v>
      </c>
    </row>
    <row r="53" spans="1:12" ht="12.75" customHeight="1">
      <c r="A53" s="131" t="s">
        <v>642</v>
      </c>
      <c r="B53" s="163">
        <v>1333663</v>
      </c>
      <c r="C53" s="163">
        <v>175000</v>
      </c>
      <c r="D53" s="163">
        <v>175000</v>
      </c>
      <c r="E53" s="120">
        <f t="shared" si="0"/>
        <v>13.121755645916547</v>
      </c>
      <c r="F53" s="120">
        <f t="shared" si="1"/>
        <v>175000</v>
      </c>
      <c r="G53" s="131" t="s">
        <v>642</v>
      </c>
      <c r="H53" s="163">
        <f>ROUND(B53/1000,0)</f>
        <v>1334</v>
      </c>
      <c r="I53" s="163">
        <f>ROUND(C53/1000,0)</f>
        <v>175</v>
      </c>
      <c r="J53" s="163">
        <f>ROUND(D53/1000,0)</f>
        <v>175</v>
      </c>
      <c r="K53" s="494">
        <f t="shared" si="2"/>
        <v>13.118440779610193</v>
      </c>
      <c r="L53" s="120">
        <f t="shared" si="3"/>
        <v>175</v>
      </c>
    </row>
    <row r="54" spans="1:12" ht="12.75" customHeight="1">
      <c r="A54" s="173" t="s">
        <v>643</v>
      </c>
      <c r="B54" s="163">
        <v>300000</v>
      </c>
      <c r="C54" s="163"/>
      <c r="D54" s="163">
        <v>100000</v>
      </c>
      <c r="E54" s="120">
        <f t="shared" si="0"/>
        <v>33.33333333333333</v>
      </c>
      <c r="F54" s="120">
        <f t="shared" si="1"/>
        <v>100000</v>
      </c>
      <c r="G54" s="173" t="s">
        <v>643</v>
      </c>
      <c r="H54" s="163">
        <f>ROUND(B54/1000,0)</f>
        <v>300</v>
      </c>
      <c r="I54" s="163"/>
      <c r="J54" s="163">
        <f>ROUND(D54/1000,0)</f>
        <v>100</v>
      </c>
      <c r="K54" s="494">
        <f t="shared" si="2"/>
        <v>33.33333333333333</v>
      </c>
      <c r="L54" s="120">
        <f t="shared" si="3"/>
        <v>100</v>
      </c>
    </row>
    <row r="55" spans="1:12" ht="12.75" customHeight="1">
      <c r="A55" s="131" t="s">
        <v>644</v>
      </c>
      <c r="B55" s="163">
        <v>175000</v>
      </c>
      <c r="C55" s="163">
        <v>25000</v>
      </c>
      <c r="D55" s="163">
        <v>20000</v>
      </c>
      <c r="E55" s="120">
        <f t="shared" si="0"/>
        <v>11.428571428571429</v>
      </c>
      <c r="F55" s="120">
        <f t="shared" si="1"/>
        <v>20000</v>
      </c>
      <c r="G55" s="131" t="s">
        <v>644</v>
      </c>
      <c r="H55" s="163">
        <f>ROUND(B55/1000,0)</f>
        <v>175</v>
      </c>
      <c r="I55" s="163">
        <f>ROUND(C55/1000,0)</f>
        <v>25</v>
      </c>
      <c r="J55" s="163">
        <f>ROUND(D55/1000,0)</f>
        <v>20</v>
      </c>
      <c r="K55" s="494">
        <f t="shared" si="2"/>
        <v>11.428571428571429</v>
      </c>
      <c r="L55" s="120">
        <f t="shared" si="3"/>
        <v>20</v>
      </c>
    </row>
    <row r="56" spans="1:12" ht="12.75" customHeight="1">
      <c r="A56" s="74" t="s">
        <v>645</v>
      </c>
      <c r="B56" s="120"/>
      <c r="C56" s="120"/>
      <c r="D56" s="120"/>
      <c r="E56" s="120"/>
      <c r="F56" s="120"/>
      <c r="G56" s="74" t="s">
        <v>645</v>
      </c>
      <c r="H56" s="163"/>
      <c r="I56" s="163"/>
      <c r="J56" s="163"/>
      <c r="K56" s="494"/>
      <c r="L56" s="120"/>
    </row>
    <row r="57" spans="1:12" ht="12.75" customHeight="1">
      <c r="A57" s="131" t="s">
        <v>447</v>
      </c>
      <c r="B57" s="120">
        <f>B58</f>
        <v>1181502</v>
      </c>
      <c r="C57" s="120">
        <v>287171</v>
      </c>
      <c r="D57" s="120">
        <f>D58</f>
        <v>286271</v>
      </c>
      <c r="E57" s="120">
        <f t="shared" si="0"/>
        <v>24.229413069127265</v>
      </c>
      <c r="F57" s="120">
        <f t="shared" si="1"/>
        <v>286271</v>
      </c>
      <c r="G57" s="131" t="s">
        <v>447</v>
      </c>
      <c r="H57" s="163">
        <f>ROUND(B57/1000,0)</f>
        <v>1182</v>
      </c>
      <c r="I57" s="163">
        <f>ROUND(C57/1000,0)</f>
        <v>287</v>
      </c>
      <c r="J57" s="163">
        <f>J58</f>
        <v>286</v>
      </c>
      <c r="K57" s="494">
        <f t="shared" si="2"/>
        <v>24.196277495769884</v>
      </c>
      <c r="L57" s="120">
        <f t="shared" si="3"/>
        <v>286</v>
      </c>
    </row>
    <row r="58" spans="1:12" ht="12.75" customHeight="1">
      <c r="A58" s="27" t="s">
        <v>641</v>
      </c>
      <c r="B58" s="163">
        <v>1181502</v>
      </c>
      <c r="C58" s="163"/>
      <c r="D58" s="163">
        <v>286271</v>
      </c>
      <c r="E58" s="120">
        <f t="shared" si="0"/>
        <v>24.229413069127265</v>
      </c>
      <c r="F58" s="120">
        <f t="shared" si="1"/>
        <v>286271</v>
      </c>
      <c r="G58" s="27" t="s">
        <v>641</v>
      </c>
      <c r="H58" s="163">
        <f aca="true" t="shared" si="6" ref="H58:H65">ROUND(B58/1000,0)</f>
        <v>1182</v>
      </c>
      <c r="I58" s="163"/>
      <c r="J58" s="163">
        <f>ROUND(D58/1000,0)</f>
        <v>286</v>
      </c>
      <c r="K58" s="494">
        <f t="shared" si="2"/>
        <v>24.196277495769884</v>
      </c>
      <c r="L58" s="120">
        <f t="shared" si="3"/>
        <v>286</v>
      </c>
    </row>
    <row r="59" spans="1:12" ht="12.75" customHeight="1">
      <c r="A59" s="131" t="s">
        <v>449</v>
      </c>
      <c r="B59" s="120">
        <f>B60+B62</f>
        <v>1238299</v>
      </c>
      <c r="C59" s="120">
        <f>C60+C62</f>
        <v>305205</v>
      </c>
      <c r="D59" s="120">
        <f>D60+D62</f>
        <v>252733</v>
      </c>
      <c r="E59" s="120">
        <f t="shared" si="0"/>
        <v>20.409691035848372</v>
      </c>
      <c r="F59" s="120">
        <f t="shared" si="1"/>
        <v>252733</v>
      </c>
      <c r="G59" s="131" t="s">
        <v>449</v>
      </c>
      <c r="H59" s="163">
        <f t="shared" si="6"/>
        <v>1238</v>
      </c>
      <c r="I59" s="163">
        <f>ROUND(C59/1000,0)</f>
        <v>305</v>
      </c>
      <c r="J59" s="163">
        <f>J60+J62</f>
        <v>253</v>
      </c>
      <c r="K59" s="494">
        <f t="shared" si="2"/>
        <v>20.436187399030693</v>
      </c>
      <c r="L59" s="120">
        <f t="shared" si="3"/>
        <v>253</v>
      </c>
    </row>
    <row r="60" spans="1:12" ht="12.75" customHeight="1">
      <c r="A60" s="131" t="s">
        <v>642</v>
      </c>
      <c r="B60" s="163">
        <v>1235299</v>
      </c>
      <c r="C60" s="163">
        <v>305205</v>
      </c>
      <c r="D60" s="163">
        <v>252733</v>
      </c>
      <c r="E60" s="120">
        <f t="shared" si="0"/>
        <v>20.45925723245951</v>
      </c>
      <c r="F60" s="120">
        <f t="shared" si="1"/>
        <v>252733</v>
      </c>
      <c r="G60" s="131" t="s">
        <v>642</v>
      </c>
      <c r="H60" s="163">
        <f t="shared" si="6"/>
        <v>1235</v>
      </c>
      <c r="I60" s="163">
        <f>ROUND(C60/1000,0)</f>
        <v>305</v>
      </c>
      <c r="J60" s="163">
        <f>ROUND(D60/1000,0)</f>
        <v>253</v>
      </c>
      <c r="K60" s="494">
        <f t="shared" si="2"/>
        <v>20.48582995951417</v>
      </c>
      <c r="L60" s="120">
        <f t="shared" si="3"/>
        <v>253</v>
      </c>
    </row>
    <row r="61" spans="1:12" ht="12.75" customHeight="1">
      <c r="A61" s="173" t="s">
        <v>643</v>
      </c>
      <c r="B61" s="163">
        <f>115807+13080</f>
        <v>128887</v>
      </c>
      <c r="C61" s="163"/>
      <c r="D61" s="163">
        <v>6600</v>
      </c>
      <c r="E61" s="120">
        <f t="shared" si="0"/>
        <v>5.120764700861995</v>
      </c>
      <c r="F61" s="120">
        <f t="shared" si="1"/>
        <v>6600</v>
      </c>
      <c r="G61" s="173" t="s">
        <v>643</v>
      </c>
      <c r="H61" s="163">
        <f t="shared" si="6"/>
        <v>129</v>
      </c>
      <c r="I61" s="163"/>
      <c r="J61" s="163">
        <f>ROUND(D61/1000,0)</f>
        <v>7</v>
      </c>
      <c r="K61" s="494">
        <f t="shared" si="2"/>
        <v>5.426356589147287</v>
      </c>
      <c r="L61" s="120">
        <f t="shared" si="3"/>
        <v>7</v>
      </c>
    </row>
    <row r="62" spans="1:12" ht="12.75" customHeight="1">
      <c r="A62" s="131" t="s">
        <v>644</v>
      </c>
      <c r="B62" s="163">
        <v>3000</v>
      </c>
      <c r="C62" s="163"/>
      <c r="D62" s="163"/>
      <c r="E62" s="120"/>
      <c r="F62" s="120"/>
      <c r="G62" s="131" t="s">
        <v>644</v>
      </c>
      <c r="H62" s="163">
        <f t="shared" si="6"/>
        <v>3</v>
      </c>
      <c r="I62" s="163"/>
      <c r="J62" s="163"/>
      <c r="K62" s="494"/>
      <c r="L62" s="120"/>
    </row>
    <row r="63" spans="1:12" ht="12.75" customHeight="1">
      <c r="A63" s="131" t="s">
        <v>315</v>
      </c>
      <c r="B63" s="163">
        <v>6699203</v>
      </c>
      <c r="C63" s="163">
        <v>520066</v>
      </c>
      <c r="D63" s="163">
        <f>476120-7729</f>
        <v>468391</v>
      </c>
      <c r="E63" s="120">
        <f t="shared" si="0"/>
        <v>6.9917421520142025</v>
      </c>
      <c r="F63" s="120">
        <f t="shared" si="1"/>
        <v>468391</v>
      </c>
      <c r="G63" s="131" t="s">
        <v>315</v>
      </c>
      <c r="H63" s="163">
        <f t="shared" si="6"/>
        <v>6699</v>
      </c>
      <c r="I63" s="163">
        <f>ROUND(C63/1000,0)</f>
        <v>520</v>
      </c>
      <c r="J63" s="163">
        <f>ROUND(D63/1000,0)</f>
        <v>468</v>
      </c>
      <c r="K63" s="494">
        <f t="shared" si="2"/>
        <v>6.986117330944917</v>
      </c>
      <c r="L63" s="120">
        <f t="shared" si="3"/>
        <v>468</v>
      </c>
    </row>
    <row r="64" spans="1:12" ht="12.75" customHeight="1">
      <c r="A64" s="131" t="s">
        <v>316</v>
      </c>
      <c r="B64" s="163">
        <f>B57-B59-B63</f>
        <v>-6756000</v>
      </c>
      <c r="C64" s="163"/>
      <c r="D64" s="163">
        <f>D57-D59-D63</f>
        <v>-434853</v>
      </c>
      <c r="E64" s="120">
        <f t="shared" si="0"/>
        <v>6.436545293072824</v>
      </c>
      <c r="F64" s="120">
        <f t="shared" si="1"/>
        <v>-434853</v>
      </c>
      <c r="G64" s="131" t="s">
        <v>316</v>
      </c>
      <c r="H64" s="163">
        <f t="shared" si="6"/>
        <v>-6756</v>
      </c>
      <c r="I64" s="163"/>
      <c r="J64" s="163">
        <f>J57-J59-J63</f>
        <v>-435</v>
      </c>
      <c r="K64" s="494"/>
      <c r="L64" s="120">
        <f t="shared" si="3"/>
        <v>-435</v>
      </c>
    </row>
    <row r="65" spans="1:12" ht="12.75" customHeight="1">
      <c r="A65" s="131" t="s">
        <v>646</v>
      </c>
      <c r="B65" s="163">
        <v>6756000</v>
      </c>
      <c r="C65" s="163">
        <v>538100</v>
      </c>
      <c r="D65" s="163">
        <v>474562</v>
      </c>
      <c r="E65" s="120">
        <f t="shared" si="0"/>
        <v>7.024304322084074</v>
      </c>
      <c r="F65" s="120">
        <f t="shared" si="1"/>
        <v>474562</v>
      </c>
      <c r="G65" s="131" t="s">
        <v>646</v>
      </c>
      <c r="H65" s="163">
        <f t="shared" si="6"/>
        <v>6756</v>
      </c>
      <c r="I65" s="163">
        <f>ROUND(C65/1000,0)</f>
        <v>538</v>
      </c>
      <c r="J65" s="163">
        <f>ROUND(D65/1000,0)</f>
        <v>475</v>
      </c>
      <c r="K65" s="494">
        <f t="shared" si="2"/>
        <v>7.030787448194198</v>
      </c>
      <c r="L65" s="120">
        <f t="shared" si="3"/>
        <v>475</v>
      </c>
    </row>
    <row r="66" spans="1:12" ht="12.75" customHeight="1">
      <c r="A66" s="35" t="s">
        <v>327</v>
      </c>
      <c r="B66" s="120"/>
      <c r="C66" s="120"/>
      <c r="D66" s="120"/>
      <c r="E66" s="120"/>
      <c r="F66" s="120"/>
      <c r="G66" s="35" t="s">
        <v>327</v>
      </c>
      <c r="H66" s="163"/>
      <c r="I66" s="163"/>
      <c r="J66" s="163"/>
      <c r="K66" s="494"/>
      <c r="L66" s="120"/>
    </row>
    <row r="67" spans="1:12" ht="12.75" customHeight="1">
      <c r="A67" s="122" t="s">
        <v>647</v>
      </c>
      <c r="B67" s="120"/>
      <c r="C67" s="120"/>
      <c r="D67" s="120"/>
      <c r="E67" s="120"/>
      <c r="F67" s="120"/>
      <c r="G67" s="122" t="s">
        <v>647</v>
      </c>
      <c r="H67" s="163"/>
      <c r="I67" s="163"/>
      <c r="J67" s="163"/>
      <c r="K67" s="494"/>
      <c r="L67" s="120"/>
    </row>
    <row r="68" spans="1:12" ht="12.75" customHeight="1">
      <c r="A68" s="131" t="s">
        <v>447</v>
      </c>
      <c r="B68" s="120">
        <f>SUM(B69:B70)</f>
        <v>500000</v>
      </c>
      <c r="C68" s="120">
        <v>50000</v>
      </c>
      <c r="D68" s="120">
        <f>SUM(D69:D70)</f>
        <v>30077</v>
      </c>
      <c r="E68" s="120">
        <f t="shared" si="0"/>
        <v>6.0154</v>
      </c>
      <c r="F68" s="120">
        <f t="shared" si="1"/>
        <v>30077</v>
      </c>
      <c r="G68" s="131" t="s">
        <v>447</v>
      </c>
      <c r="H68" s="163">
        <f>ROUND(B68/1000,0)</f>
        <v>500</v>
      </c>
      <c r="I68" s="163">
        <f>ROUND(C68/1000,0)</f>
        <v>50</v>
      </c>
      <c r="J68" s="163">
        <f>SUM(J69:J70)</f>
        <v>30</v>
      </c>
      <c r="K68" s="494">
        <f t="shared" si="2"/>
        <v>6</v>
      </c>
      <c r="L68" s="120">
        <f t="shared" si="3"/>
        <v>30</v>
      </c>
    </row>
    <row r="69" spans="1:12" ht="12.75" customHeight="1">
      <c r="A69" s="27" t="s">
        <v>648</v>
      </c>
      <c r="B69" s="163">
        <v>300000</v>
      </c>
      <c r="C69" s="163"/>
      <c r="D69" s="163">
        <v>27295</v>
      </c>
      <c r="E69" s="120">
        <f t="shared" si="0"/>
        <v>9.098333333333333</v>
      </c>
      <c r="F69" s="120">
        <f t="shared" si="1"/>
        <v>27295</v>
      </c>
      <c r="G69" s="27" t="s">
        <v>648</v>
      </c>
      <c r="H69" s="163">
        <f>ROUND(B69/1000,0)</f>
        <v>300</v>
      </c>
      <c r="I69" s="163"/>
      <c r="J69" s="163">
        <f>ROUND(D69/1000,0)</f>
        <v>27</v>
      </c>
      <c r="K69" s="494">
        <f t="shared" si="2"/>
        <v>9</v>
      </c>
      <c r="L69" s="120">
        <f t="shared" si="3"/>
        <v>27</v>
      </c>
    </row>
    <row r="70" spans="1:12" ht="12.75" customHeight="1">
      <c r="A70" s="27" t="s">
        <v>649</v>
      </c>
      <c r="B70" s="163">
        <v>200000</v>
      </c>
      <c r="C70" s="163"/>
      <c r="D70" s="163">
        <f>425+2357</f>
        <v>2782</v>
      </c>
      <c r="E70" s="120">
        <f t="shared" si="0"/>
        <v>1.391</v>
      </c>
      <c r="F70" s="120">
        <f t="shared" si="1"/>
        <v>2782</v>
      </c>
      <c r="G70" s="27" t="s">
        <v>649</v>
      </c>
      <c r="H70" s="163">
        <f>ROUND(B70/1000,0)</f>
        <v>200</v>
      </c>
      <c r="I70" s="163"/>
      <c r="J70" s="163">
        <f>ROUND(D70/1000,0)</f>
        <v>3</v>
      </c>
      <c r="K70" s="494">
        <f t="shared" si="2"/>
        <v>1.5</v>
      </c>
      <c r="L70" s="120">
        <f t="shared" si="3"/>
        <v>3</v>
      </c>
    </row>
    <row r="71" spans="1:12" ht="12.75" customHeight="1">
      <c r="A71" s="131" t="s">
        <v>449</v>
      </c>
      <c r="B71" s="120">
        <f>SUM(B72:B73)</f>
        <v>500000</v>
      </c>
      <c r="C71" s="120">
        <f>SUM(C72:C73)</f>
        <v>50000</v>
      </c>
      <c r="D71" s="120">
        <f>SUM(D72:D73)</f>
        <v>6499</v>
      </c>
      <c r="E71" s="120">
        <f t="shared" si="0"/>
        <v>1.2997999999999998</v>
      </c>
      <c r="F71" s="120">
        <f t="shared" si="1"/>
        <v>6499</v>
      </c>
      <c r="G71" s="131" t="s">
        <v>449</v>
      </c>
      <c r="H71" s="163">
        <f>ROUND(B71/1000,0)</f>
        <v>500</v>
      </c>
      <c r="I71" s="163">
        <f>ROUND(C71/1000,0)</f>
        <v>50</v>
      </c>
      <c r="J71" s="163">
        <f>SUM(J72:J73)</f>
        <v>7</v>
      </c>
      <c r="K71" s="494">
        <f t="shared" si="2"/>
        <v>1.4000000000000001</v>
      </c>
      <c r="L71" s="120">
        <f t="shared" si="3"/>
        <v>7</v>
      </c>
    </row>
    <row r="72" spans="1:12" ht="12.75" customHeight="1">
      <c r="A72" s="131" t="s">
        <v>450</v>
      </c>
      <c r="B72" s="163">
        <v>413000</v>
      </c>
      <c r="C72" s="163">
        <v>50000</v>
      </c>
      <c r="D72" s="163">
        <v>6499</v>
      </c>
      <c r="E72" s="120">
        <f t="shared" si="0"/>
        <v>1.5736077481840194</v>
      </c>
      <c r="F72" s="120">
        <f t="shared" si="1"/>
        <v>6499</v>
      </c>
      <c r="G72" s="131" t="s">
        <v>450</v>
      </c>
      <c r="H72" s="163">
        <f>ROUND(B72/1000,0)</f>
        <v>413</v>
      </c>
      <c r="I72" s="163">
        <f>ROUND(C72/1000,0)</f>
        <v>50</v>
      </c>
      <c r="J72" s="163">
        <f>ROUND(D72/1000,0)+1</f>
        <v>7</v>
      </c>
      <c r="K72" s="494">
        <f t="shared" si="2"/>
        <v>1.694915254237288</v>
      </c>
      <c r="L72" s="120">
        <f t="shared" si="3"/>
        <v>7</v>
      </c>
    </row>
    <row r="73" spans="1:12" ht="12.75" customHeight="1">
      <c r="A73" s="131" t="s">
        <v>444</v>
      </c>
      <c r="B73" s="163">
        <v>87000</v>
      </c>
      <c r="C73" s="163"/>
      <c r="D73" s="163"/>
      <c r="E73" s="120"/>
      <c r="F73" s="120"/>
      <c r="G73" s="131" t="s">
        <v>444</v>
      </c>
      <c r="H73" s="163">
        <f>ROUND(B73/1000,0)</f>
        <v>87</v>
      </c>
      <c r="I73" s="163"/>
      <c r="J73" s="163"/>
      <c r="K73" s="494"/>
      <c r="L73" s="120"/>
    </row>
    <row r="74" spans="1:12" ht="12.75" customHeight="1">
      <c r="A74" s="12" t="s">
        <v>328</v>
      </c>
      <c r="B74" s="163"/>
      <c r="C74" s="163"/>
      <c r="D74" s="163"/>
      <c r="E74" s="120"/>
      <c r="F74" s="120"/>
      <c r="G74" s="12" t="s">
        <v>328</v>
      </c>
      <c r="H74" s="163"/>
      <c r="I74" s="163"/>
      <c r="J74" s="163"/>
      <c r="K74" s="494"/>
      <c r="L74" s="120"/>
    </row>
    <row r="75" spans="1:12" ht="12.75" customHeight="1">
      <c r="A75" s="122" t="s">
        <v>650</v>
      </c>
      <c r="B75" s="120"/>
      <c r="C75" s="120"/>
      <c r="D75" s="120"/>
      <c r="E75" s="120"/>
      <c r="F75" s="120"/>
      <c r="G75" s="122" t="s">
        <v>650</v>
      </c>
      <c r="H75" s="163"/>
      <c r="I75" s="163"/>
      <c r="J75" s="163"/>
      <c r="K75" s="494"/>
      <c r="L75" s="120"/>
    </row>
    <row r="76" spans="1:12" ht="12.75" customHeight="1">
      <c r="A76" s="131" t="s">
        <v>447</v>
      </c>
      <c r="B76" s="120">
        <f>SUM(B77:B80)</f>
        <v>59029520</v>
      </c>
      <c r="C76" s="120">
        <v>5065000</v>
      </c>
      <c r="D76" s="120">
        <f>SUM(D77:D80)</f>
        <v>4786166</v>
      </c>
      <c r="E76" s="120">
        <f aca="true" t="shared" si="7" ref="E76:E138">D76/B76*100</f>
        <v>8.108088969722267</v>
      </c>
      <c r="F76" s="120">
        <f aca="true" t="shared" si="8" ref="F76:F138">D76</f>
        <v>4786166</v>
      </c>
      <c r="G76" s="131" t="s">
        <v>447</v>
      </c>
      <c r="H76" s="163">
        <f>ROUND(B76/1000,0)</f>
        <v>59030</v>
      </c>
      <c r="I76" s="163">
        <f>ROUND(C76/1000,0)</f>
        <v>5065</v>
      </c>
      <c r="J76" s="163">
        <f>SUM(J77:J80)</f>
        <v>4786</v>
      </c>
      <c r="K76" s="494">
        <f aca="true" t="shared" si="9" ref="K76:K138">J76/H76*100</f>
        <v>8.107741826190072</v>
      </c>
      <c r="L76" s="120">
        <f aca="true" t="shared" si="10" ref="L76:L138">J76</f>
        <v>4786</v>
      </c>
    </row>
    <row r="77" spans="1:12" ht="12.75" customHeight="1">
      <c r="A77" s="131" t="s">
        <v>651</v>
      </c>
      <c r="B77" s="163">
        <v>8300000</v>
      </c>
      <c r="C77" s="163"/>
      <c r="D77" s="163">
        <f>624002+200000</f>
        <v>824002</v>
      </c>
      <c r="E77" s="120">
        <f>D77/B77*100</f>
        <v>9.927734939759036</v>
      </c>
      <c r="F77" s="120">
        <f>D77</f>
        <v>824002</v>
      </c>
      <c r="G77" s="131" t="s">
        <v>651</v>
      </c>
      <c r="H77" s="163">
        <f aca="true" t="shared" si="11" ref="H77:H86">ROUND(B77/1000,0)</f>
        <v>8300</v>
      </c>
      <c r="I77" s="163"/>
      <c r="J77" s="163">
        <f>ROUND(D77/1000,0)</f>
        <v>824</v>
      </c>
      <c r="K77" s="494">
        <f t="shared" si="9"/>
        <v>9.927710843373493</v>
      </c>
      <c r="L77" s="120">
        <f t="shared" si="10"/>
        <v>824</v>
      </c>
    </row>
    <row r="78" spans="1:12" ht="12.75" customHeight="1">
      <c r="A78" s="131" t="s">
        <v>652</v>
      </c>
      <c r="B78" s="163">
        <v>49067000</v>
      </c>
      <c r="C78" s="163"/>
      <c r="D78" s="163">
        <v>3472081</v>
      </c>
      <c r="E78" s="120">
        <f t="shared" si="7"/>
        <v>7.076203966005666</v>
      </c>
      <c r="F78" s="120">
        <f t="shared" si="8"/>
        <v>3472081</v>
      </c>
      <c r="G78" s="131" t="s">
        <v>652</v>
      </c>
      <c r="H78" s="163">
        <f t="shared" si="11"/>
        <v>49067</v>
      </c>
      <c r="I78" s="163"/>
      <c r="J78" s="163">
        <f>ROUND(D78/1000,0)</f>
        <v>3472</v>
      </c>
      <c r="K78" s="494">
        <f t="shared" si="9"/>
        <v>7.0760388856053975</v>
      </c>
      <c r="L78" s="120">
        <f t="shared" si="10"/>
        <v>3472</v>
      </c>
    </row>
    <row r="79" spans="1:12" ht="12.75" customHeight="1">
      <c r="A79" s="176" t="s">
        <v>361</v>
      </c>
      <c r="B79" s="163">
        <v>50000</v>
      </c>
      <c r="C79" s="163"/>
      <c r="D79" s="163">
        <v>230</v>
      </c>
      <c r="E79" s="120">
        <f>D79/B79*100</f>
        <v>0.45999999999999996</v>
      </c>
      <c r="F79" s="120">
        <f>D79</f>
        <v>230</v>
      </c>
      <c r="G79" s="177" t="s">
        <v>361</v>
      </c>
      <c r="H79" s="163">
        <f t="shared" si="11"/>
        <v>50</v>
      </c>
      <c r="I79" s="163"/>
      <c r="J79" s="163"/>
      <c r="K79" s="494"/>
      <c r="L79" s="120"/>
    </row>
    <row r="80" spans="1:12" ht="12.75" customHeight="1">
      <c r="A80" s="131" t="s">
        <v>362</v>
      </c>
      <c r="B80" s="163">
        <v>1612520</v>
      </c>
      <c r="C80" s="163"/>
      <c r="D80" s="163">
        <v>489853</v>
      </c>
      <c r="E80" s="120">
        <f t="shared" si="7"/>
        <v>30.37810383747178</v>
      </c>
      <c r="F80" s="120">
        <f t="shared" si="8"/>
        <v>489853</v>
      </c>
      <c r="G80" s="131" t="s">
        <v>362</v>
      </c>
      <c r="H80" s="163">
        <f t="shared" si="11"/>
        <v>1613</v>
      </c>
      <c r="I80" s="163"/>
      <c r="J80" s="163">
        <f>ROUND(D80/1000,0)</f>
        <v>490</v>
      </c>
      <c r="K80" s="494">
        <f t="shared" si="9"/>
        <v>30.378177309361437</v>
      </c>
      <c r="L80" s="120">
        <f t="shared" si="10"/>
        <v>490</v>
      </c>
    </row>
    <row r="81" spans="1:12" ht="12.75" customHeight="1">
      <c r="A81" s="131" t="s">
        <v>449</v>
      </c>
      <c r="B81" s="120">
        <f>B82+B84</f>
        <v>69029520</v>
      </c>
      <c r="C81" s="120">
        <f>C82+C84</f>
        <v>7430000</v>
      </c>
      <c r="D81" s="120">
        <f>D82+D84</f>
        <v>6566308</v>
      </c>
      <c r="E81" s="120">
        <f t="shared" si="7"/>
        <v>9.512318787672289</v>
      </c>
      <c r="F81" s="120">
        <f t="shared" si="8"/>
        <v>6566308</v>
      </c>
      <c r="G81" s="131" t="s">
        <v>449</v>
      </c>
      <c r="H81" s="163">
        <f t="shared" si="11"/>
        <v>69030</v>
      </c>
      <c r="I81" s="163">
        <f>ROUND(C81/1000,0)</f>
        <v>7430</v>
      </c>
      <c r="J81" s="163">
        <f>J82+J84</f>
        <v>6566</v>
      </c>
      <c r="K81" s="494">
        <f t="shared" si="9"/>
        <v>9.511806460959003</v>
      </c>
      <c r="L81" s="120">
        <f t="shared" si="10"/>
        <v>6566</v>
      </c>
    </row>
    <row r="82" spans="1:12" ht="13.5" customHeight="1">
      <c r="A82" s="131" t="s">
        <v>450</v>
      </c>
      <c r="B82" s="163">
        <v>48719154</v>
      </c>
      <c r="C82" s="163">
        <v>3790000</v>
      </c>
      <c r="D82" s="163">
        <v>3324293</v>
      </c>
      <c r="E82" s="120">
        <f t="shared" si="7"/>
        <v>6.823379979053003</v>
      </c>
      <c r="F82" s="120">
        <f t="shared" si="8"/>
        <v>3324293</v>
      </c>
      <c r="G82" s="131" t="s">
        <v>450</v>
      </c>
      <c r="H82" s="163">
        <f t="shared" si="11"/>
        <v>48719</v>
      </c>
      <c r="I82" s="163">
        <f>ROUND(C82/1000,0)</f>
        <v>3790</v>
      </c>
      <c r="J82" s="163">
        <f>ROUND(D82/1000,0)</f>
        <v>3324</v>
      </c>
      <c r="K82" s="494">
        <f t="shared" si="9"/>
        <v>6.822800139575936</v>
      </c>
      <c r="L82" s="120">
        <f t="shared" si="10"/>
        <v>3324</v>
      </c>
    </row>
    <row r="83" spans="1:12" ht="12.75" customHeight="1">
      <c r="A83" s="173" t="s">
        <v>653</v>
      </c>
      <c r="B83" s="163">
        <v>3724139</v>
      </c>
      <c r="C83" s="163"/>
      <c r="D83" s="163"/>
      <c r="E83" s="120"/>
      <c r="F83" s="120"/>
      <c r="G83" s="173" t="s">
        <v>653</v>
      </c>
      <c r="H83" s="163">
        <f t="shared" si="11"/>
        <v>3724</v>
      </c>
      <c r="I83" s="81"/>
      <c r="J83" s="163"/>
      <c r="K83" s="494"/>
      <c r="L83" s="120"/>
    </row>
    <row r="84" spans="1:12" ht="12.75" customHeight="1">
      <c r="A84" s="131" t="s">
        <v>444</v>
      </c>
      <c r="B84" s="163">
        <v>20310366</v>
      </c>
      <c r="C84" s="163">
        <v>3640000</v>
      </c>
      <c r="D84" s="163">
        <v>3242015</v>
      </c>
      <c r="E84" s="120">
        <f t="shared" si="7"/>
        <v>15.962366212406021</v>
      </c>
      <c r="F84" s="120">
        <f t="shared" si="8"/>
        <v>3242015</v>
      </c>
      <c r="G84" s="131" t="s">
        <v>444</v>
      </c>
      <c r="H84" s="163">
        <f t="shared" si="11"/>
        <v>20310</v>
      </c>
      <c r="I84" s="163">
        <f>ROUND(C84/1000,0)</f>
        <v>3640</v>
      </c>
      <c r="J84" s="163">
        <f>ROUND(D84/1000,0)</f>
        <v>3242</v>
      </c>
      <c r="K84" s="494">
        <f t="shared" si="9"/>
        <v>15.962580009847366</v>
      </c>
      <c r="L84" s="120">
        <f t="shared" si="10"/>
        <v>3242</v>
      </c>
    </row>
    <row r="85" spans="1:12" ht="12.75" customHeight="1">
      <c r="A85" s="131" t="s">
        <v>316</v>
      </c>
      <c r="B85" s="120">
        <f>B76-B81</f>
        <v>-10000000</v>
      </c>
      <c r="C85" s="120"/>
      <c r="D85" s="120">
        <f>D76-D81</f>
        <v>-1780142</v>
      </c>
      <c r="E85" s="120">
        <f t="shared" si="7"/>
        <v>17.80142</v>
      </c>
      <c r="F85" s="120">
        <f t="shared" si="8"/>
        <v>-1780142</v>
      </c>
      <c r="G85" s="131" t="s">
        <v>316</v>
      </c>
      <c r="H85" s="163">
        <f t="shared" si="11"/>
        <v>-10000</v>
      </c>
      <c r="I85" s="163">
        <f>ROUND(C85/1000,0)</f>
        <v>0</v>
      </c>
      <c r="J85" s="163">
        <f>J76-J81</f>
        <v>-1780</v>
      </c>
      <c r="K85" s="494"/>
      <c r="L85" s="120">
        <f t="shared" si="10"/>
        <v>-1780</v>
      </c>
    </row>
    <row r="86" spans="1:12" ht="12.75" customHeight="1">
      <c r="A86" s="27" t="s">
        <v>445</v>
      </c>
      <c r="B86" s="163">
        <v>10000000</v>
      </c>
      <c r="C86" s="163">
        <v>2365000</v>
      </c>
      <c r="D86" s="163">
        <f>1500000+101067</f>
        <v>1601067</v>
      </c>
      <c r="E86" s="120">
        <f t="shared" si="7"/>
        <v>16.010669999999998</v>
      </c>
      <c r="F86" s="120">
        <f t="shared" si="8"/>
        <v>1601067</v>
      </c>
      <c r="G86" s="27" t="s">
        <v>445</v>
      </c>
      <c r="H86" s="163">
        <f t="shared" si="11"/>
        <v>10000</v>
      </c>
      <c r="I86" s="163">
        <f>ROUND(C86/1000,0)</f>
        <v>2365</v>
      </c>
      <c r="J86" s="163">
        <f>ROUND(D86/1000,0)</f>
        <v>1601</v>
      </c>
      <c r="K86" s="494">
        <f t="shared" si="9"/>
        <v>16.009999999999998</v>
      </c>
      <c r="L86" s="120">
        <f t="shared" si="10"/>
        <v>1601</v>
      </c>
    </row>
    <row r="87" spans="1:12" ht="12.75" customHeight="1">
      <c r="A87" s="122" t="s">
        <v>654</v>
      </c>
      <c r="B87" s="120"/>
      <c r="C87" s="120"/>
      <c r="D87" s="120"/>
      <c r="E87" s="120"/>
      <c r="F87" s="120"/>
      <c r="G87" s="122" t="s">
        <v>654</v>
      </c>
      <c r="H87" s="163"/>
      <c r="I87" s="163"/>
      <c r="J87" s="163"/>
      <c r="K87" s="494"/>
      <c r="L87" s="120"/>
    </row>
    <row r="88" spans="1:12" ht="12.75" customHeight="1">
      <c r="A88" s="131" t="s">
        <v>447</v>
      </c>
      <c r="B88" s="120">
        <f>B89</f>
        <v>700000</v>
      </c>
      <c r="C88" s="120">
        <v>27000</v>
      </c>
      <c r="D88" s="120">
        <f>D89</f>
        <v>66555</v>
      </c>
      <c r="E88" s="120">
        <f t="shared" si="7"/>
        <v>9.507857142857143</v>
      </c>
      <c r="F88" s="120">
        <f t="shared" si="8"/>
        <v>66555</v>
      </c>
      <c r="G88" s="131" t="s">
        <v>447</v>
      </c>
      <c r="H88" s="163">
        <f>ROUND(B88/1000,0)</f>
        <v>700</v>
      </c>
      <c r="I88" s="163">
        <f>ROUND(C88/1000,0)</f>
        <v>27</v>
      </c>
      <c r="J88" s="163">
        <f>J89</f>
        <v>67</v>
      </c>
      <c r="K88" s="494">
        <f t="shared" si="9"/>
        <v>9.571428571428571</v>
      </c>
      <c r="L88" s="120">
        <f t="shared" si="10"/>
        <v>67</v>
      </c>
    </row>
    <row r="89" spans="1:12" ht="12.75" customHeight="1">
      <c r="A89" s="131" t="s">
        <v>655</v>
      </c>
      <c r="B89" s="163">
        <v>700000</v>
      </c>
      <c r="C89" s="163"/>
      <c r="D89" s="163">
        <v>66555</v>
      </c>
      <c r="E89" s="120">
        <f t="shared" si="7"/>
        <v>9.507857142857143</v>
      </c>
      <c r="F89" s="120">
        <f t="shared" si="8"/>
        <v>66555</v>
      </c>
      <c r="G89" s="131" t="s">
        <v>655</v>
      </c>
      <c r="H89" s="163">
        <f>ROUND(B89/1000,0)</f>
        <v>700</v>
      </c>
      <c r="I89" s="163"/>
      <c r="J89" s="163">
        <f>ROUND(D89/1000,0)</f>
        <v>67</v>
      </c>
      <c r="K89" s="494">
        <f t="shared" si="9"/>
        <v>9.571428571428571</v>
      </c>
      <c r="L89" s="120">
        <f t="shared" si="10"/>
        <v>67</v>
      </c>
    </row>
    <row r="90" spans="1:12" ht="12.75" customHeight="1">
      <c r="A90" s="131" t="s">
        <v>449</v>
      </c>
      <c r="B90" s="120">
        <f>SUM(B91:B92)</f>
        <v>700000</v>
      </c>
      <c r="C90" s="120">
        <f>SUM(C91:C92)</f>
        <v>27000</v>
      </c>
      <c r="D90" s="120">
        <f>SUM(D91:D92)</f>
        <v>6195</v>
      </c>
      <c r="E90" s="120">
        <f t="shared" si="7"/>
        <v>0.885</v>
      </c>
      <c r="F90" s="120">
        <f t="shared" si="8"/>
        <v>6195</v>
      </c>
      <c r="G90" s="131" t="s">
        <v>449</v>
      </c>
      <c r="H90" s="163">
        <f>ROUND(B90/1000,0)</f>
        <v>700</v>
      </c>
      <c r="I90" s="163">
        <f>ROUND(C90/1000,0)</f>
        <v>27</v>
      </c>
      <c r="J90" s="163">
        <f>SUM(J91:J92)</f>
        <v>6</v>
      </c>
      <c r="K90" s="494">
        <f t="shared" si="9"/>
        <v>0.8571428571428572</v>
      </c>
      <c r="L90" s="120">
        <f t="shared" si="10"/>
        <v>6</v>
      </c>
    </row>
    <row r="91" spans="1:12" ht="12.75" customHeight="1">
      <c r="A91" s="131" t="s">
        <v>450</v>
      </c>
      <c r="B91" s="163">
        <v>450000</v>
      </c>
      <c r="C91" s="163">
        <v>25000</v>
      </c>
      <c r="D91" s="163">
        <v>6195</v>
      </c>
      <c r="E91" s="120">
        <f t="shared" si="7"/>
        <v>1.3766666666666667</v>
      </c>
      <c r="F91" s="120">
        <f t="shared" si="8"/>
        <v>6195</v>
      </c>
      <c r="G91" s="131" t="s">
        <v>450</v>
      </c>
      <c r="H91" s="163">
        <f>ROUND(B91/1000,0)</f>
        <v>450</v>
      </c>
      <c r="I91" s="163">
        <f>ROUND(C91/1000,0)</f>
        <v>25</v>
      </c>
      <c r="J91" s="163">
        <f>ROUND(D91/1000,0)</f>
        <v>6</v>
      </c>
      <c r="K91" s="494">
        <f t="shared" si="9"/>
        <v>1.3333333333333335</v>
      </c>
      <c r="L91" s="120">
        <f t="shared" si="10"/>
        <v>6</v>
      </c>
    </row>
    <row r="92" spans="1:12" ht="12.75" customHeight="1">
      <c r="A92" s="131" t="s">
        <v>444</v>
      </c>
      <c r="B92" s="163">
        <v>250000</v>
      </c>
      <c r="C92" s="163">
        <v>2000</v>
      </c>
      <c r="D92" s="163"/>
      <c r="E92" s="120"/>
      <c r="F92" s="120"/>
      <c r="G92" s="131" t="s">
        <v>444</v>
      </c>
      <c r="H92" s="163">
        <f>ROUND(B92/1000,0)</f>
        <v>250</v>
      </c>
      <c r="I92" s="163">
        <f>ROUND(C92/1000,0)</f>
        <v>2</v>
      </c>
      <c r="J92" s="163"/>
      <c r="K92" s="494"/>
      <c r="L92" s="120"/>
    </row>
    <row r="93" spans="1:12" ht="12.75" customHeight="1">
      <c r="A93" s="74" t="s">
        <v>656</v>
      </c>
      <c r="B93" s="120"/>
      <c r="C93" s="120"/>
      <c r="D93" s="120"/>
      <c r="E93" s="120"/>
      <c r="F93" s="120"/>
      <c r="G93" s="74" t="s">
        <v>656</v>
      </c>
      <c r="H93" s="163"/>
      <c r="I93" s="163"/>
      <c r="J93" s="163"/>
      <c r="K93" s="494"/>
      <c r="L93" s="120"/>
    </row>
    <row r="94" spans="1:12" ht="12.75" customHeight="1">
      <c r="A94" s="131" t="s">
        <v>447</v>
      </c>
      <c r="B94" s="163">
        <f>B95</f>
        <v>2000000</v>
      </c>
      <c r="C94" s="163">
        <v>42000</v>
      </c>
      <c r="D94" s="163">
        <f>D95</f>
        <v>173512</v>
      </c>
      <c r="E94" s="120">
        <f t="shared" si="7"/>
        <v>8.6756</v>
      </c>
      <c r="F94" s="120">
        <f t="shared" si="8"/>
        <v>173512</v>
      </c>
      <c r="G94" s="131" t="s">
        <v>447</v>
      </c>
      <c r="H94" s="163">
        <f>ROUND(B94/1000,0)</f>
        <v>2000</v>
      </c>
      <c r="I94" s="163">
        <f>ROUND(C94/1000,0)</f>
        <v>42</v>
      </c>
      <c r="J94" s="163">
        <f>J95</f>
        <v>174</v>
      </c>
      <c r="K94" s="494">
        <f t="shared" si="9"/>
        <v>8.7</v>
      </c>
      <c r="L94" s="120">
        <f t="shared" si="10"/>
        <v>174</v>
      </c>
    </row>
    <row r="95" spans="1:12" ht="12.75" customHeight="1">
      <c r="A95" s="131" t="s">
        <v>657</v>
      </c>
      <c r="B95" s="163">
        <v>2000000</v>
      </c>
      <c r="C95" s="163"/>
      <c r="D95" s="163">
        <v>173512</v>
      </c>
      <c r="E95" s="120">
        <f t="shared" si="7"/>
        <v>8.6756</v>
      </c>
      <c r="F95" s="120">
        <f t="shared" si="8"/>
        <v>173512</v>
      </c>
      <c r="G95" s="131" t="s">
        <v>657</v>
      </c>
      <c r="H95" s="163">
        <f>ROUND(B95/1000,0)</f>
        <v>2000</v>
      </c>
      <c r="I95" s="163"/>
      <c r="J95" s="163">
        <f>ROUND(D95/1000,0)</f>
        <v>174</v>
      </c>
      <c r="K95" s="494">
        <f t="shared" si="9"/>
        <v>8.7</v>
      </c>
      <c r="L95" s="120">
        <f t="shared" si="10"/>
        <v>174</v>
      </c>
    </row>
    <row r="96" spans="1:12" ht="12.75" customHeight="1">
      <c r="A96" s="131" t="s">
        <v>449</v>
      </c>
      <c r="B96" s="120">
        <f>SUM(B97:B98)</f>
        <v>2000000</v>
      </c>
      <c r="C96" s="120">
        <f>SUM(C97:C98)</f>
        <v>42000</v>
      </c>
      <c r="D96" s="120">
        <f>SUM(D97:D98)</f>
        <v>5043</v>
      </c>
      <c r="E96" s="120">
        <f t="shared" si="7"/>
        <v>0.25215</v>
      </c>
      <c r="F96" s="120">
        <f t="shared" si="8"/>
        <v>5043</v>
      </c>
      <c r="G96" s="131" t="s">
        <v>449</v>
      </c>
      <c r="H96" s="163">
        <f>ROUND(B96/1000,0)</f>
        <v>2000</v>
      </c>
      <c r="I96" s="163">
        <f>ROUND(C96/1000,0)</f>
        <v>42</v>
      </c>
      <c r="J96" s="163">
        <f>SUM(J97:J98)</f>
        <v>5</v>
      </c>
      <c r="K96" s="494"/>
      <c r="L96" s="120">
        <f t="shared" si="10"/>
        <v>5</v>
      </c>
    </row>
    <row r="97" spans="1:12" ht="12.75" customHeight="1">
      <c r="A97" s="131" t="s">
        <v>450</v>
      </c>
      <c r="B97" s="163">
        <v>1000000</v>
      </c>
      <c r="C97" s="163">
        <v>22000</v>
      </c>
      <c r="D97" s="163"/>
      <c r="E97" s="120"/>
      <c r="F97" s="120"/>
      <c r="G97" s="131" t="s">
        <v>450</v>
      </c>
      <c r="H97" s="163">
        <f>ROUND(B97/1000,0)</f>
        <v>1000</v>
      </c>
      <c r="I97" s="163">
        <f>ROUND(C97/1000,0)</f>
        <v>22</v>
      </c>
      <c r="J97" s="163"/>
      <c r="K97" s="494"/>
      <c r="L97" s="120"/>
    </row>
    <row r="98" spans="1:12" ht="12.75" customHeight="1">
      <c r="A98" s="131" t="s">
        <v>444</v>
      </c>
      <c r="B98" s="163">
        <v>1000000</v>
      </c>
      <c r="C98" s="163">
        <v>20000</v>
      </c>
      <c r="D98" s="163">
        <v>5043</v>
      </c>
      <c r="E98" s="120">
        <f t="shared" si="7"/>
        <v>0.5043</v>
      </c>
      <c r="F98" s="120">
        <f t="shared" si="8"/>
        <v>5043</v>
      </c>
      <c r="G98" s="131" t="s">
        <v>444</v>
      </c>
      <c r="H98" s="163">
        <f>ROUND(B98/1000,0)</f>
        <v>1000</v>
      </c>
      <c r="I98" s="163">
        <f>ROUND(C98/1000,0)</f>
        <v>20</v>
      </c>
      <c r="J98" s="163">
        <f>ROUND(D98/1000,0)</f>
        <v>5</v>
      </c>
      <c r="K98" s="494">
        <f t="shared" si="9"/>
        <v>0.5</v>
      </c>
      <c r="L98" s="120">
        <f t="shared" si="10"/>
        <v>5</v>
      </c>
    </row>
    <row r="99" spans="1:13" ht="12.75" customHeight="1">
      <c r="A99" s="131" t="s">
        <v>329</v>
      </c>
      <c r="B99" s="120"/>
      <c r="C99" s="120"/>
      <c r="D99" s="131"/>
      <c r="E99" s="131"/>
      <c r="F99" s="131"/>
      <c r="G99" s="131" t="s">
        <v>329</v>
      </c>
      <c r="H99" s="131"/>
      <c r="I99" s="131"/>
      <c r="J99" s="131"/>
      <c r="K99" s="494"/>
      <c r="L99" s="131"/>
      <c r="M99" s="131"/>
    </row>
    <row r="100" spans="1:13" ht="12.75" customHeight="1">
      <c r="A100" s="116" t="s">
        <v>658</v>
      </c>
      <c r="B100" s="120"/>
      <c r="C100" s="120"/>
      <c r="D100" s="131"/>
      <c r="E100" s="131"/>
      <c r="F100" s="131"/>
      <c r="G100" s="131" t="s">
        <v>658</v>
      </c>
      <c r="H100" s="131"/>
      <c r="I100" s="131"/>
      <c r="J100" s="131"/>
      <c r="K100" s="494"/>
      <c r="L100" s="131"/>
      <c r="M100" s="131"/>
    </row>
    <row r="101" spans="1:12" ht="12.75" customHeight="1">
      <c r="A101" s="131" t="s">
        <v>447</v>
      </c>
      <c r="B101" s="120">
        <f>SUM(B102:B105)</f>
        <v>138355904</v>
      </c>
      <c r="C101" s="120">
        <v>10371703</v>
      </c>
      <c r="D101" s="120">
        <f>SUM(D102:D105)</f>
        <v>10194682</v>
      </c>
      <c r="E101" s="120">
        <f t="shared" si="7"/>
        <v>7.3684473920245575</v>
      </c>
      <c r="F101" s="120">
        <f t="shared" si="8"/>
        <v>10194682</v>
      </c>
      <c r="G101" s="131" t="s">
        <v>447</v>
      </c>
      <c r="H101" s="163">
        <f>ROUND(B101/1000,0)</f>
        <v>138356</v>
      </c>
      <c r="I101" s="163">
        <f>ROUND(C101/1000,0)</f>
        <v>10372</v>
      </c>
      <c r="J101" s="163">
        <f>SUM(J102:J105)</f>
        <v>10195</v>
      </c>
      <c r="K101" s="494">
        <f t="shared" si="9"/>
        <v>7.3686721211946</v>
      </c>
      <c r="L101" s="120">
        <f t="shared" si="10"/>
        <v>10195</v>
      </c>
    </row>
    <row r="102" spans="1:12" ht="12.75" customHeight="1">
      <c r="A102" s="131" t="s">
        <v>659</v>
      </c>
      <c r="B102" s="120">
        <v>80619197</v>
      </c>
      <c r="C102" s="120"/>
      <c r="D102" s="120">
        <f>623124+5206096</f>
        <v>5829220</v>
      </c>
      <c r="E102" s="120">
        <f t="shared" si="7"/>
        <v>7.230560731087412</v>
      </c>
      <c r="F102" s="120">
        <f t="shared" si="8"/>
        <v>5829220</v>
      </c>
      <c r="G102" s="131" t="s">
        <v>659</v>
      </c>
      <c r="H102" s="163">
        <f aca="true" t="shared" si="12" ref="H102:H111">ROUND(B102/1000,0)</f>
        <v>80619</v>
      </c>
      <c r="I102" s="163"/>
      <c r="J102" s="163">
        <f>ROUND(D102/1000,0)</f>
        <v>5829</v>
      </c>
      <c r="K102" s="494">
        <f t="shared" si="9"/>
        <v>7.2303055111078045</v>
      </c>
      <c r="L102" s="120">
        <f t="shared" si="10"/>
        <v>5829</v>
      </c>
    </row>
    <row r="103" spans="1:12" ht="12.75" customHeight="1">
      <c r="A103" s="131" t="s">
        <v>660</v>
      </c>
      <c r="B103" s="120">
        <v>54461193</v>
      </c>
      <c r="C103" s="120"/>
      <c r="D103" s="120">
        <f>338901+2816647+400000+347279+97790+21357+34859+53465+48106+40000+45001</f>
        <v>4243405</v>
      </c>
      <c r="E103" s="120">
        <f t="shared" si="7"/>
        <v>7.791612277020814</v>
      </c>
      <c r="F103" s="120">
        <f t="shared" si="8"/>
        <v>4243405</v>
      </c>
      <c r="G103" s="131" t="s">
        <v>660</v>
      </c>
      <c r="H103" s="163">
        <f t="shared" si="12"/>
        <v>54461</v>
      </c>
      <c r="I103" s="163"/>
      <c r="J103" s="163">
        <f>ROUND(D103/1000,0)+1</f>
        <v>4244</v>
      </c>
      <c r="K103" s="494">
        <f t="shared" si="9"/>
        <v>7.792732414021042</v>
      </c>
      <c r="L103" s="120">
        <f t="shared" si="10"/>
        <v>4244</v>
      </c>
    </row>
    <row r="104" spans="1:12" ht="12.75" customHeight="1">
      <c r="A104" s="176" t="s">
        <v>361</v>
      </c>
      <c r="B104" s="120">
        <v>3209846</v>
      </c>
      <c r="C104" s="120"/>
      <c r="D104" s="120">
        <f>5750+390+1000+114837+80</f>
        <v>122057</v>
      </c>
      <c r="E104" s="120">
        <f t="shared" si="7"/>
        <v>3.8025811830224874</v>
      </c>
      <c r="F104" s="120">
        <f t="shared" si="8"/>
        <v>122057</v>
      </c>
      <c r="G104" s="177" t="s">
        <v>361</v>
      </c>
      <c r="H104" s="163">
        <f t="shared" si="12"/>
        <v>3210</v>
      </c>
      <c r="I104" s="163"/>
      <c r="J104" s="163">
        <f>ROUND(D104/1000,0)</f>
        <v>122</v>
      </c>
      <c r="K104" s="494">
        <f t="shared" si="9"/>
        <v>3.8006230529595015</v>
      </c>
      <c r="L104" s="120">
        <f t="shared" si="10"/>
        <v>122</v>
      </c>
    </row>
    <row r="105" spans="1:12" ht="12.75" customHeight="1">
      <c r="A105" s="131" t="s">
        <v>362</v>
      </c>
      <c r="B105" s="120">
        <v>65668</v>
      </c>
      <c r="C105" s="120"/>
      <c r="D105" s="120"/>
      <c r="E105" s="120">
        <f t="shared" si="7"/>
        <v>0</v>
      </c>
      <c r="F105" s="120">
        <f t="shared" si="8"/>
        <v>0</v>
      </c>
      <c r="G105" s="131" t="s">
        <v>362</v>
      </c>
      <c r="H105" s="163">
        <f t="shared" si="12"/>
        <v>66</v>
      </c>
      <c r="I105" s="163"/>
      <c r="J105" s="163"/>
      <c r="K105" s="494"/>
      <c r="L105" s="120"/>
    </row>
    <row r="106" spans="1:12" ht="12.75" customHeight="1">
      <c r="A106" s="131" t="s">
        <v>449</v>
      </c>
      <c r="B106" s="120">
        <f>B107+B109</f>
        <v>141458002</v>
      </c>
      <c r="C106" s="120">
        <f>C107+C109</f>
        <v>10451703</v>
      </c>
      <c r="D106" s="120">
        <f>D107+D109</f>
        <v>9705738</v>
      </c>
      <c r="E106" s="120">
        <f t="shared" si="7"/>
        <v>6.861215246062927</v>
      </c>
      <c r="F106" s="120">
        <f t="shared" si="8"/>
        <v>9705738</v>
      </c>
      <c r="G106" s="131" t="s">
        <v>449</v>
      </c>
      <c r="H106" s="163">
        <f t="shared" si="12"/>
        <v>141458</v>
      </c>
      <c r="I106" s="163">
        <f>ROUND(C106/1000,0)</f>
        <v>10452</v>
      </c>
      <c r="J106" s="163">
        <f>SUM(J107,J109)</f>
        <v>9706</v>
      </c>
      <c r="K106" s="494">
        <f t="shared" si="9"/>
        <v>6.861400557055805</v>
      </c>
      <c r="L106" s="120">
        <f t="shared" si="10"/>
        <v>9706</v>
      </c>
    </row>
    <row r="107" spans="1:12" ht="12.75" customHeight="1">
      <c r="A107" s="131" t="s">
        <v>450</v>
      </c>
      <c r="B107" s="120">
        <v>137124381</v>
      </c>
      <c r="C107" s="120">
        <v>10221092</v>
      </c>
      <c r="D107" s="120">
        <v>9441713</v>
      </c>
      <c r="E107" s="120">
        <f t="shared" si="7"/>
        <v>6.885510024654186</v>
      </c>
      <c r="F107" s="120">
        <f t="shared" si="8"/>
        <v>9441713</v>
      </c>
      <c r="G107" s="131" t="s">
        <v>450</v>
      </c>
      <c r="H107" s="163">
        <f t="shared" si="12"/>
        <v>137124</v>
      </c>
      <c r="I107" s="163">
        <f>ROUND(C107/1000,0)</f>
        <v>10221</v>
      </c>
      <c r="J107" s="163">
        <f>ROUND(D107/1000,0)</f>
        <v>9442</v>
      </c>
      <c r="K107" s="494">
        <f t="shared" si="9"/>
        <v>6.885738455704327</v>
      </c>
      <c r="L107" s="120">
        <f t="shared" si="10"/>
        <v>9442</v>
      </c>
    </row>
    <row r="108" spans="1:12" ht="12.75" customHeight="1">
      <c r="A108" s="173" t="s">
        <v>653</v>
      </c>
      <c r="B108" s="120">
        <v>1288396</v>
      </c>
      <c r="C108" s="120"/>
      <c r="D108" s="120"/>
      <c r="E108" s="120">
        <f t="shared" si="7"/>
        <v>0</v>
      </c>
      <c r="F108" s="120">
        <f t="shared" si="8"/>
        <v>0</v>
      </c>
      <c r="G108" s="173" t="s">
        <v>653</v>
      </c>
      <c r="H108" s="163">
        <f t="shared" si="12"/>
        <v>1288</v>
      </c>
      <c r="I108" s="163"/>
      <c r="J108" s="163"/>
      <c r="K108" s="494"/>
      <c r="L108" s="120"/>
    </row>
    <row r="109" spans="1:12" ht="12.75" customHeight="1">
      <c r="A109" s="131" t="s">
        <v>444</v>
      </c>
      <c r="B109" s="120">
        <v>4333621</v>
      </c>
      <c r="C109" s="120">
        <v>230611</v>
      </c>
      <c r="D109" s="120">
        <v>264025</v>
      </c>
      <c r="E109" s="120">
        <f t="shared" si="7"/>
        <v>6.092480168431895</v>
      </c>
      <c r="F109" s="120">
        <f t="shared" si="8"/>
        <v>264025</v>
      </c>
      <c r="G109" s="131" t="s">
        <v>444</v>
      </c>
      <c r="H109" s="163">
        <f t="shared" si="12"/>
        <v>4334</v>
      </c>
      <c r="I109" s="163">
        <f>ROUND(C109/1000,0)</f>
        <v>231</v>
      </c>
      <c r="J109" s="163">
        <f>ROUND(D109/1000,0)</f>
        <v>264</v>
      </c>
      <c r="K109" s="494">
        <f t="shared" si="9"/>
        <v>6.091370558375635</v>
      </c>
      <c r="L109" s="120">
        <f t="shared" si="10"/>
        <v>264</v>
      </c>
    </row>
    <row r="110" spans="1:12" ht="12.75" customHeight="1">
      <c r="A110" s="131" t="s">
        <v>316</v>
      </c>
      <c r="B110" s="120">
        <f>B101-B106</f>
        <v>-3102098</v>
      </c>
      <c r="C110" s="120"/>
      <c r="D110" s="120">
        <f>D101-D106</f>
        <v>488944</v>
      </c>
      <c r="E110" s="120">
        <f t="shared" si="7"/>
        <v>-15.76171997145158</v>
      </c>
      <c r="F110" s="120">
        <f t="shared" si="8"/>
        <v>488944</v>
      </c>
      <c r="G110" s="131" t="s">
        <v>316</v>
      </c>
      <c r="H110" s="163">
        <f t="shared" si="12"/>
        <v>-3102</v>
      </c>
      <c r="I110" s="163">
        <f>ROUND(C110/1000,0)</f>
        <v>0</v>
      </c>
      <c r="J110" s="163">
        <f>J101-J106</f>
        <v>489</v>
      </c>
      <c r="K110" s="494"/>
      <c r="L110" s="120">
        <f t="shared" si="10"/>
        <v>489</v>
      </c>
    </row>
    <row r="111" spans="1:12" ht="12.75" customHeight="1">
      <c r="A111" s="131" t="s">
        <v>646</v>
      </c>
      <c r="B111" s="120">
        <v>3102098</v>
      </c>
      <c r="C111" s="120">
        <v>80000</v>
      </c>
      <c r="D111" s="120">
        <v>259296</v>
      </c>
      <c r="E111" s="120">
        <f t="shared" si="7"/>
        <v>8.358730123935478</v>
      </c>
      <c r="F111" s="120">
        <f t="shared" si="8"/>
        <v>259296</v>
      </c>
      <c r="G111" s="131" t="s">
        <v>646</v>
      </c>
      <c r="H111" s="163">
        <f t="shared" si="12"/>
        <v>3102</v>
      </c>
      <c r="I111" s="163">
        <f>ROUND(C111/1000,0)</f>
        <v>80</v>
      </c>
      <c r="J111" s="163">
        <f>ROUND(D111/1000,0)</f>
        <v>259</v>
      </c>
      <c r="K111" s="494">
        <f t="shared" si="9"/>
        <v>8.349451966473243</v>
      </c>
      <c r="L111" s="120">
        <f t="shared" si="10"/>
        <v>259</v>
      </c>
    </row>
    <row r="112" spans="1:12" ht="12.75" customHeight="1">
      <c r="A112" s="122" t="s">
        <v>661</v>
      </c>
      <c r="B112" s="120"/>
      <c r="C112" s="120"/>
      <c r="D112" s="120"/>
      <c r="E112" s="120"/>
      <c r="F112" s="120"/>
      <c r="G112" s="122" t="s">
        <v>661</v>
      </c>
      <c r="H112" s="163"/>
      <c r="I112" s="163"/>
      <c r="J112" s="163"/>
      <c r="K112" s="494"/>
      <c r="L112" s="120"/>
    </row>
    <row r="113" spans="1:12" ht="12.75" customHeight="1">
      <c r="A113" s="131" t="s">
        <v>447</v>
      </c>
      <c r="B113" s="120">
        <f>SUM(B114:B116)</f>
        <v>503125370</v>
      </c>
      <c r="C113" s="120">
        <v>37020270</v>
      </c>
      <c r="D113" s="120">
        <f>SUM(D114:D116)</f>
        <v>38970366</v>
      </c>
      <c r="E113" s="120">
        <f t="shared" si="7"/>
        <v>7.74565711126831</v>
      </c>
      <c r="F113" s="120">
        <f t="shared" si="8"/>
        <v>38970366</v>
      </c>
      <c r="G113" s="131" t="s">
        <v>447</v>
      </c>
      <c r="H113" s="163">
        <f aca="true" t="shared" si="13" ref="H113:I116">ROUND(B113/1000,0)</f>
        <v>503125</v>
      </c>
      <c r="I113" s="163">
        <f t="shared" si="13"/>
        <v>37020</v>
      </c>
      <c r="J113" s="163">
        <f>SUM(J114:J116)</f>
        <v>38970</v>
      </c>
      <c r="K113" s="494">
        <f t="shared" si="9"/>
        <v>7.745590062111801</v>
      </c>
      <c r="L113" s="120">
        <f t="shared" si="10"/>
        <v>38970</v>
      </c>
    </row>
    <row r="114" spans="1:12" ht="12.75" customHeight="1">
      <c r="A114" s="131" t="s">
        <v>662</v>
      </c>
      <c r="B114" s="163">
        <v>495585390</v>
      </c>
      <c r="C114" s="163"/>
      <c r="D114" s="163">
        <v>38145749</v>
      </c>
      <c r="E114" s="120">
        <f t="shared" si="7"/>
        <v>7.697109271118747</v>
      </c>
      <c r="F114" s="120">
        <f t="shared" si="8"/>
        <v>38145749</v>
      </c>
      <c r="G114" s="131" t="s">
        <v>662</v>
      </c>
      <c r="H114" s="163">
        <f t="shared" si="13"/>
        <v>495585</v>
      </c>
      <c r="I114" s="163">
        <f t="shared" si="13"/>
        <v>0</v>
      </c>
      <c r="J114" s="163">
        <f>ROUND(D114/1000,0)</f>
        <v>38146</v>
      </c>
      <c r="K114" s="494">
        <f t="shared" si="9"/>
        <v>7.697165975564232</v>
      </c>
      <c r="L114" s="120">
        <f t="shared" si="10"/>
        <v>38146</v>
      </c>
    </row>
    <row r="115" spans="1:12" ht="12.75" customHeight="1">
      <c r="A115" s="131" t="s">
        <v>663</v>
      </c>
      <c r="B115" s="163">
        <v>6592694</v>
      </c>
      <c r="C115" s="163"/>
      <c r="D115" s="163">
        <v>414040</v>
      </c>
      <c r="E115" s="120">
        <f t="shared" si="7"/>
        <v>6.280285418980465</v>
      </c>
      <c r="F115" s="120">
        <f t="shared" si="8"/>
        <v>414040</v>
      </c>
      <c r="G115" s="131" t="s">
        <v>663</v>
      </c>
      <c r="H115" s="163">
        <f t="shared" si="13"/>
        <v>6593</v>
      </c>
      <c r="I115" s="163">
        <f t="shared" si="13"/>
        <v>0</v>
      </c>
      <c r="J115" s="163">
        <f>ROUND(D115/1000,0)+41</f>
        <v>455</v>
      </c>
      <c r="K115" s="494">
        <f t="shared" si="9"/>
        <v>6.901258910966177</v>
      </c>
      <c r="L115" s="120">
        <f t="shared" si="10"/>
        <v>455</v>
      </c>
    </row>
    <row r="116" spans="1:12" ht="12.75" customHeight="1">
      <c r="A116" s="131" t="s">
        <v>664</v>
      </c>
      <c r="B116" s="163">
        <f>7539980-B115</f>
        <v>947286</v>
      </c>
      <c r="C116" s="163"/>
      <c r="D116" s="163">
        <f>824617-414040</f>
        <v>410577</v>
      </c>
      <c r="E116" s="120">
        <f t="shared" si="7"/>
        <v>43.34245412684237</v>
      </c>
      <c r="F116" s="120">
        <f t="shared" si="8"/>
        <v>410577</v>
      </c>
      <c r="G116" s="131" t="s">
        <v>664</v>
      </c>
      <c r="H116" s="163">
        <f t="shared" si="13"/>
        <v>947</v>
      </c>
      <c r="I116" s="163">
        <f t="shared" si="13"/>
        <v>0</v>
      </c>
      <c r="J116" s="163">
        <f>ROUND(D116/1000,0)-1-41</f>
        <v>369</v>
      </c>
      <c r="K116" s="494">
        <f t="shared" si="9"/>
        <v>38.965153115100314</v>
      </c>
      <c r="L116" s="120">
        <f t="shared" si="10"/>
        <v>369</v>
      </c>
    </row>
    <row r="117" spans="1:12" ht="12.75" customHeight="1">
      <c r="A117" s="131" t="s">
        <v>665</v>
      </c>
      <c r="B117" s="120">
        <f>B118+B120</f>
        <v>531273828</v>
      </c>
      <c r="C117" s="120">
        <f>C118+C120</f>
        <v>45495340</v>
      </c>
      <c r="D117" s="120">
        <f>D118+D120</f>
        <v>43403370</v>
      </c>
      <c r="E117" s="120">
        <f t="shared" si="7"/>
        <v>8.169679685406976</v>
      </c>
      <c r="F117" s="120">
        <f t="shared" si="8"/>
        <v>43403370</v>
      </c>
      <c r="G117" s="131" t="s">
        <v>666</v>
      </c>
      <c r="H117" s="163">
        <f aca="true" t="shared" si="14" ref="H117:H122">ROUND(B117/1000,0)</f>
        <v>531274</v>
      </c>
      <c r="I117" s="163">
        <f>I118+I120</f>
        <v>45496</v>
      </c>
      <c r="J117" s="163">
        <f>J118+J120</f>
        <v>43403</v>
      </c>
      <c r="K117" s="494">
        <f t="shared" si="9"/>
        <v>8.169607396559968</v>
      </c>
      <c r="L117" s="120">
        <f t="shared" si="10"/>
        <v>43403</v>
      </c>
    </row>
    <row r="118" spans="1:12" ht="12.75" customHeight="1">
      <c r="A118" s="131" t="s">
        <v>450</v>
      </c>
      <c r="B118" s="163">
        <v>527848828</v>
      </c>
      <c r="C118" s="163">
        <v>45260560</v>
      </c>
      <c r="D118" s="163">
        <v>43383325</v>
      </c>
      <c r="E118" s="120">
        <f t="shared" si="7"/>
        <v>8.218891981702004</v>
      </c>
      <c r="F118" s="120">
        <f t="shared" si="8"/>
        <v>43383325</v>
      </c>
      <c r="G118" s="131" t="s">
        <v>450</v>
      </c>
      <c r="H118" s="163">
        <f t="shared" si="14"/>
        <v>527849</v>
      </c>
      <c r="I118" s="163">
        <f>ROUND(C118/1000,0)</f>
        <v>45261</v>
      </c>
      <c r="J118" s="163">
        <f>ROUND(D118/1000,0)</f>
        <v>43383</v>
      </c>
      <c r="K118" s="494">
        <f t="shared" si="9"/>
        <v>8.218827732931198</v>
      </c>
      <c r="L118" s="120">
        <f t="shared" si="10"/>
        <v>43383</v>
      </c>
    </row>
    <row r="119" spans="1:12" ht="12.75" customHeight="1">
      <c r="A119" s="173" t="s">
        <v>653</v>
      </c>
      <c r="B119" s="163">
        <v>10782</v>
      </c>
      <c r="C119" s="163"/>
      <c r="D119" s="163"/>
      <c r="E119" s="120"/>
      <c r="F119" s="120"/>
      <c r="G119" s="173" t="s">
        <v>653</v>
      </c>
      <c r="H119" s="163">
        <f t="shared" si="14"/>
        <v>11</v>
      </c>
      <c r="I119" s="163"/>
      <c r="J119" s="163"/>
      <c r="K119" s="494"/>
      <c r="L119" s="120"/>
    </row>
    <row r="120" spans="1:12" ht="12.75" customHeight="1">
      <c r="A120" s="131" t="s">
        <v>444</v>
      </c>
      <c r="B120" s="163">
        <v>3425000</v>
      </c>
      <c r="C120" s="163">
        <v>234780</v>
      </c>
      <c r="D120" s="163">
        <v>20045</v>
      </c>
      <c r="E120" s="120">
        <f t="shared" si="7"/>
        <v>0.5852554744525548</v>
      </c>
      <c r="F120" s="120">
        <f t="shared" si="8"/>
        <v>20045</v>
      </c>
      <c r="G120" s="131" t="s">
        <v>444</v>
      </c>
      <c r="H120" s="163">
        <f t="shared" si="14"/>
        <v>3425</v>
      </c>
      <c r="I120" s="163">
        <f>ROUND(C120/1000,0)</f>
        <v>235</v>
      </c>
      <c r="J120" s="163">
        <f>ROUND(D120/1000,0)</f>
        <v>20</v>
      </c>
      <c r="K120" s="494">
        <f t="shared" si="9"/>
        <v>0.583941605839416</v>
      </c>
      <c r="L120" s="120">
        <f t="shared" si="10"/>
        <v>20</v>
      </c>
    </row>
    <row r="121" spans="1:12" ht="12.75" customHeight="1">
      <c r="A121" s="131" t="s">
        <v>316</v>
      </c>
      <c r="B121" s="163">
        <f>B113-B117</f>
        <v>-28148458</v>
      </c>
      <c r="C121" s="163"/>
      <c r="D121" s="163">
        <f>D113-D117</f>
        <v>-4433004</v>
      </c>
      <c r="E121" s="120">
        <f t="shared" si="7"/>
        <v>15.748656640445455</v>
      </c>
      <c r="F121" s="120">
        <f t="shared" si="8"/>
        <v>-4433004</v>
      </c>
      <c r="G121" s="131" t="s">
        <v>316</v>
      </c>
      <c r="H121" s="163">
        <f t="shared" si="14"/>
        <v>-28148</v>
      </c>
      <c r="I121" s="163"/>
      <c r="J121" s="163">
        <f>J113-J117</f>
        <v>-4433</v>
      </c>
      <c r="K121" s="494"/>
      <c r="L121" s="120">
        <f t="shared" si="10"/>
        <v>-4433</v>
      </c>
    </row>
    <row r="122" spans="1:12" ht="12.75" customHeight="1">
      <c r="A122" s="131" t="s">
        <v>646</v>
      </c>
      <c r="B122" s="163">
        <v>28211768</v>
      </c>
      <c r="C122" s="163"/>
      <c r="D122" s="163">
        <v>5920693</v>
      </c>
      <c r="E122" s="120">
        <f t="shared" si="7"/>
        <v>20.98660743275643</v>
      </c>
      <c r="F122" s="120">
        <f t="shared" si="8"/>
        <v>5920693</v>
      </c>
      <c r="G122" s="131" t="s">
        <v>646</v>
      </c>
      <c r="H122" s="163">
        <f t="shared" si="14"/>
        <v>28212</v>
      </c>
      <c r="I122" s="163"/>
      <c r="J122" s="163">
        <f>ROUND(D122/1000,0)</f>
        <v>5921</v>
      </c>
      <c r="K122" s="494">
        <f t="shared" si="9"/>
        <v>20.987523039841204</v>
      </c>
      <c r="L122" s="120">
        <f t="shared" si="10"/>
        <v>5921</v>
      </c>
    </row>
    <row r="123" spans="1:12" ht="12.75" customHeight="1">
      <c r="A123" s="122" t="s">
        <v>667</v>
      </c>
      <c r="B123" s="120"/>
      <c r="C123" s="120"/>
      <c r="D123" s="120"/>
      <c r="E123" s="120"/>
      <c r="F123" s="120"/>
      <c r="G123" s="122" t="s">
        <v>667</v>
      </c>
      <c r="H123" s="163"/>
      <c r="I123" s="163"/>
      <c r="J123" s="163"/>
      <c r="K123" s="494"/>
      <c r="L123" s="120"/>
    </row>
    <row r="124" spans="1:12" ht="12.75" customHeight="1">
      <c r="A124" s="131" t="s">
        <v>447</v>
      </c>
      <c r="B124" s="120">
        <f>SUM(B125:B127)</f>
        <v>404005990</v>
      </c>
      <c r="C124" s="120">
        <v>29912540</v>
      </c>
      <c r="D124" s="120">
        <f>SUM(D125:D127)</f>
        <v>31522248</v>
      </c>
      <c r="E124" s="120">
        <f t="shared" si="7"/>
        <v>7.802420949253748</v>
      </c>
      <c r="F124" s="120">
        <f t="shared" si="8"/>
        <v>31522248</v>
      </c>
      <c r="G124" s="131" t="s">
        <v>447</v>
      </c>
      <c r="H124" s="163">
        <f>ROUND(B124/1000,0)</f>
        <v>404006</v>
      </c>
      <c r="I124" s="163">
        <f>ROUND(C124/1000,0)</f>
        <v>29913</v>
      </c>
      <c r="J124" s="163">
        <f>SUM(J125:J127)</f>
        <v>31522</v>
      </c>
      <c r="K124" s="494">
        <f t="shared" si="9"/>
        <v>7.802359370900431</v>
      </c>
      <c r="L124" s="120">
        <f t="shared" si="10"/>
        <v>31522</v>
      </c>
    </row>
    <row r="125" spans="1:12" ht="12.75" customHeight="1">
      <c r="A125" s="173" t="s">
        <v>662</v>
      </c>
      <c r="B125" s="178">
        <v>381116067</v>
      </c>
      <c r="C125" s="178"/>
      <c r="D125" s="178">
        <v>29435911</v>
      </c>
      <c r="E125" s="120">
        <f t="shared" si="7"/>
        <v>7.723607989478963</v>
      </c>
      <c r="F125" s="120">
        <f t="shared" si="8"/>
        <v>29435911</v>
      </c>
      <c r="G125" s="173" t="s">
        <v>662</v>
      </c>
      <c r="H125" s="163">
        <f aca="true" t="shared" si="15" ref="H125:H131">ROUND(B125/1000,0)</f>
        <v>381116</v>
      </c>
      <c r="I125" s="163"/>
      <c r="J125" s="163">
        <f>ROUND(D125/1000,0)</f>
        <v>29436</v>
      </c>
      <c r="K125" s="494">
        <f t="shared" si="9"/>
        <v>7.723632699755455</v>
      </c>
      <c r="L125" s="120">
        <f t="shared" si="10"/>
        <v>29436</v>
      </c>
    </row>
    <row r="126" spans="1:12" ht="12.75" customHeight="1">
      <c r="A126" s="173" t="s">
        <v>663</v>
      </c>
      <c r="B126" s="178">
        <v>3958763</v>
      </c>
      <c r="C126" s="178"/>
      <c r="D126" s="178">
        <v>238946</v>
      </c>
      <c r="E126" s="120">
        <f t="shared" si="7"/>
        <v>6.035875347930654</v>
      </c>
      <c r="F126" s="120">
        <f t="shared" si="8"/>
        <v>238946</v>
      </c>
      <c r="G126" s="173" t="s">
        <v>663</v>
      </c>
      <c r="H126" s="163">
        <f t="shared" si="15"/>
        <v>3959</v>
      </c>
      <c r="I126" s="163"/>
      <c r="J126" s="163">
        <f>ROUND(D126/1000,0)+41</f>
        <v>280</v>
      </c>
      <c r="K126" s="494">
        <f t="shared" si="9"/>
        <v>7.072493053801465</v>
      </c>
      <c r="L126" s="120">
        <f t="shared" si="10"/>
        <v>280</v>
      </c>
    </row>
    <row r="127" spans="1:12" ht="12.75" customHeight="1">
      <c r="A127" s="173" t="s">
        <v>664</v>
      </c>
      <c r="B127" s="178">
        <f>22889923-B126</f>
        <v>18931160</v>
      </c>
      <c r="C127" s="178"/>
      <c r="D127" s="178">
        <f>2086337-D126</f>
        <v>1847391</v>
      </c>
      <c r="E127" s="120">
        <f t="shared" si="7"/>
        <v>9.758466993042159</v>
      </c>
      <c r="F127" s="120">
        <f t="shared" si="8"/>
        <v>1847391</v>
      </c>
      <c r="G127" s="173" t="s">
        <v>664</v>
      </c>
      <c r="H127" s="163">
        <f t="shared" si="15"/>
        <v>18931</v>
      </c>
      <c r="I127" s="163"/>
      <c r="J127" s="163">
        <f>ROUND(D127/1000,0)-41</f>
        <v>1806</v>
      </c>
      <c r="K127" s="494">
        <f t="shared" si="9"/>
        <v>9.539908087264276</v>
      </c>
      <c r="L127" s="120">
        <f t="shared" si="10"/>
        <v>1806</v>
      </c>
    </row>
    <row r="128" spans="1:12" ht="12.75" customHeight="1">
      <c r="A128" s="131" t="s">
        <v>449</v>
      </c>
      <c r="B128" s="120">
        <f>B129</f>
        <v>420523274</v>
      </c>
      <c r="C128" s="120">
        <f>C129</f>
        <v>37274115</v>
      </c>
      <c r="D128" s="120">
        <f>D129</f>
        <v>36147027</v>
      </c>
      <c r="E128" s="120">
        <f t="shared" si="7"/>
        <v>8.59572566725522</v>
      </c>
      <c r="F128" s="120">
        <f t="shared" si="8"/>
        <v>36147027</v>
      </c>
      <c r="G128" s="131" t="s">
        <v>449</v>
      </c>
      <c r="H128" s="163">
        <f t="shared" si="15"/>
        <v>420523</v>
      </c>
      <c r="I128" s="163">
        <f>ROUND(C128/1000,0)</f>
        <v>37274</v>
      </c>
      <c r="J128" s="163">
        <f>J129</f>
        <v>36147</v>
      </c>
      <c r="K128" s="494">
        <f t="shared" si="9"/>
        <v>8.595724847392413</v>
      </c>
      <c r="L128" s="120">
        <f t="shared" si="10"/>
        <v>36147</v>
      </c>
    </row>
    <row r="129" spans="1:12" ht="12.75" customHeight="1">
      <c r="A129" s="173" t="s">
        <v>668</v>
      </c>
      <c r="B129" s="178">
        <v>420523274</v>
      </c>
      <c r="C129" s="178">
        <v>37274115</v>
      </c>
      <c r="D129" s="178">
        <v>36147027</v>
      </c>
      <c r="E129" s="120">
        <f t="shared" si="7"/>
        <v>8.59572566725522</v>
      </c>
      <c r="F129" s="120">
        <f t="shared" si="8"/>
        <v>36147027</v>
      </c>
      <c r="G129" s="173" t="s">
        <v>668</v>
      </c>
      <c r="H129" s="163">
        <f t="shared" si="15"/>
        <v>420523</v>
      </c>
      <c r="I129" s="163">
        <f>ROUND(C129/1000,0)</f>
        <v>37274</v>
      </c>
      <c r="J129" s="163">
        <f>ROUND(D129/1000,0)</f>
        <v>36147</v>
      </c>
      <c r="K129" s="494">
        <f t="shared" si="9"/>
        <v>8.595724847392413</v>
      </c>
      <c r="L129" s="120">
        <f t="shared" si="10"/>
        <v>36147</v>
      </c>
    </row>
    <row r="130" spans="1:12" ht="12.75" customHeight="1">
      <c r="A130" s="131" t="s">
        <v>316</v>
      </c>
      <c r="B130" s="163">
        <f>B124-B128</f>
        <v>-16517284</v>
      </c>
      <c r="C130" s="163">
        <f>C124-C128</f>
        <v>-7361575</v>
      </c>
      <c r="D130" s="163">
        <f>D124-D128</f>
        <v>-4624779</v>
      </c>
      <c r="E130" s="120">
        <f t="shared" si="7"/>
        <v>27.99963359593502</v>
      </c>
      <c r="F130" s="120">
        <f t="shared" si="8"/>
        <v>-4624779</v>
      </c>
      <c r="G130" s="131" t="s">
        <v>316</v>
      </c>
      <c r="H130" s="163">
        <f t="shared" si="15"/>
        <v>-16517</v>
      </c>
      <c r="I130" s="163">
        <f>ROUND(C130/1000,0)</f>
        <v>-7362</v>
      </c>
      <c r="J130" s="163">
        <f>J124-J128</f>
        <v>-4625</v>
      </c>
      <c r="K130" s="494"/>
      <c r="L130" s="120">
        <f t="shared" si="10"/>
        <v>-4625</v>
      </c>
    </row>
    <row r="131" spans="1:12" ht="12.75" customHeight="1">
      <c r="A131" s="131" t="s">
        <v>646</v>
      </c>
      <c r="B131" s="163">
        <v>16517284</v>
      </c>
      <c r="C131" s="163">
        <v>7361575</v>
      </c>
      <c r="D131" s="163">
        <v>4626538</v>
      </c>
      <c r="E131" s="120">
        <f t="shared" si="7"/>
        <v>28.010283046534767</v>
      </c>
      <c r="F131" s="120">
        <f t="shared" si="8"/>
        <v>4626538</v>
      </c>
      <c r="G131" s="131" t="s">
        <v>646</v>
      </c>
      <c r="H131" s="163">
        <f t="shared" si="15"/>
        <v>16517</v>
      </c>
      <c r="I131" s="163">
        <f>ROUND(C131/1000,0)</f>
        <v>7362</v>
      </c>
      <c r="J131" s="163">
        <f>ROUND(D131/1000,0)</f>
        <v>4627</v>
      </c>
      <c r="K131" s="494">
        <f t="shared" si="9"/>
        <v>28.01356178482775</v>
      </c>
      <c r="L131" s="120">
        <f t="shared" si="10"/>
        <v>4627</v>
      </c>
    </row>
    <row r="132" spans="1:12" ht="12.75" customHeight="1">
      <c r="A132" s="122" t="s">
        <v>669</v>
      </c>
      <c r="B132" s="120"/>
      <c r="C132" s="120"/>
      <c r="D132" s="120"/>
      <c r="E132" s="120"/>
      <c r="F132" s="120"/>
      <c r="G132" s="122" t="s">
        <v>669</v>
      </c>
      <c r="H132" s="163"/>
      <c r="I132" s="163"/>
      <c r="J132" s="163"/>
      <c r="K132" s="494"/>
      <c r="L132" s="120"/>
    </row>
    <row r="133" spans="1:12" ht="12.75" customHeight="1">
      <c r="A133" s="131" t="s">
        <v>447</v>
      </c>
      <c r="B133" s="120">
        <f>SUM(B134:B136)</f>
        <v>33701584</v>
      </c>
      <c r="C133" s="120">
        <v>3339472</v>
      </c>
      <c r="D133" s="120">
        <f>SUM(D134:D136)</f>
        <v>3414519</v>
      </c>
      <c r="E133" s="120">
        <f t="shared" si="7"/>
        <v>10.131627641003462</v>
      </c>
      <c r="F133" s="120">
        <f t="shared" si="8"/>
        <v>3414519</v>
      </c>
      <c r="G133" s="131" t="s">
        <v>447</v>
      </c>
      <c r="H133" s="163">
        <f>ROUND(B133/1000,0)</f>
        <v>33702</v>
      </c>
      <c r="I133" s="163">
        <f>ROUND(C133/1000,0)</f>
        <v>3339</v>
      </c>
      <c r="J133" s="163">
        <f>SUM(J134:J136)</f>
        <v>3415</v>
      </c>
      <c r="K133" s="494">
        <f t="shared" si="9"/>
        <v>10.132929796451249</v>
      </c>
      <c r="L133" s="120">
        <f t="shared" si="10"/>
        <v>3415</v>
      </c>
    </row>
    <row r="134" spans="1:12" ht="12.75" customHeight="1">
      <c r="A134" s="173" t="s">
        <v>662</v>
      </c>
      <c r="B134" s="178">
        <v>30619372</v>
      </c>
      <c r="C134" s="178"/>
      <c r="D134" s="178">
        <v>2330705</v>
      </c>
      <c r="E134" s="120">
        <f t="shared" si="7"/>
        <v>7.611864149271252</v>
      </c>
      <c r="F134" s="120">
        <f t="shared" si="8"/>
        <v>2330705</v>
      </c>
      <c r="G134" s="173" t="s">
        <v>662</v>
      </c>
      <c r="H134" s="163">
        <f aca="true" t="shared" si="16" ref="H134:H140">ROUND(B134/1000,0)</f>
        <v>30619</v>
      </c>
      <c r="I134" s="163"/>
      <c r="J134" s="163">
        <f>ROUND(D134/1000,0)</f>
        <v>2331</v>
      </c>
      <c r="K134" s="494">
        <f t="shared" si="9"/>
        <v>7.612920082301838</v>
      </c>
      <c r="L134" s="120">
        <f t="shared" si="10"/>
        <v>2331</v>
      </c>
    </row>
    <row r="135" spans="1:12" ht="12.75" customHeight="1">
      <c r="A135" s="173" t="s">
        <v>663</v>
      </c>
      <c r="B135" s="178">
        <v>443931</v>
      </c>
      <c r="C135" s="178"/>
      <c r="D135" s="178">
        <v>26574</v>
      </c>
      <c r="E135" s="120">
        <f t="shared" si="7"/>
        <v>5.986065402055725</v>
      </c>
      <c r="F135" s="120">
        <f t="shared" si="8"/>
        <v>26574</v>
      </c>
      <c r="G135" s="173" t="s">
        <v>663</v>
      </c>
      <c r="H135" s="163">
        <f t="shared" si="16"/>
        <v>444</v>
      </c>
      <c r="I135" s="163"/>
      <c r="J135" s="163">
        <f>ROUND(D135/1000,0)</f>
        <v>27</v>
      </c>
      <c r="K135" s="494">
        <f t="shared" si="9"/>
        <v>6.081081081081082</v>
      </c>
      <c r="L135" s="120">
        <f t="shared" si="10"/>
        <v>27</v>
      </c>
    </row>
    <row r="136" spans="1:12" ht="12.75" customHeight="1">
      <c r="A136" s="173" t="s">
        <v>664</v>
      </c>
      <c r="B136" s="178">
        <f>3082212-B135</f>
        <v>2638281</v>
      </c>
      <c r="C136" s="178"/>
      <c r="D136" s="178">
        <f>1083814-D135</f>
        <v>1057240</v>
      </c>
      <c r="E136" s="120">
        <f t="shared" si="7"/>
        <v>40.07306272531243</v>
      </c>
      <c r="F136" s="120">
        <f t="shared" si="8"/>
        <v>1057240</v>
      </c>
      <c r="G136" s="173" t="s">
        <v>664</v>
      </c>
      <c r="H136" s="163">
        <f t="shared" si="16"/>
        <v>2638</v>
      </c>
      <c r="I136" s="163"/>
      <c r="J136" s="163">
        <f>ROUND(D136/1000,0)</f>
        <v>1057</v>
      </c>
      <c r="K136" s="494">
        <f t="shared" si="9"/>
        <v>40.068233510235025</v>
      </c>
      <c r="L136" s="120">
        <f t="shared" si="10"/>
        <v>1057</v>
      </c>
    </row>
    <row r="137" spans="1:12" ht="12.75" customHeight="1">
      <c r="A137" s="131" t="s">
        <v>449</v>
      </c>
      <c r="B137" s="120">
        <f>B138</f>
        <v>34352435</v>
      </c>
      <c r="C137" s="120">
        <f>C138</f>
        <v>2584412</v>
      </c>
      <c r="D137" s="120">
        <f>D138</f>
        <v>2009810</v>
      </c>
      <c r="E137" s="120">
        <f t="shared" si="7"/>
        <v>5.850560520673425</v>
      </c>
      <c r="F137" s="120">
        <f t="shared" si="8"/>
        <v>2009810</v>
      </c>
      <c r="G137" s="131" t="s">
        <v>449</v>
      </c>
      <c r="H137" s="163">
        <f t="shared" si="16"/>
        <v>34352</v>
      </c>
      <c r="I137" s="163">
        <f>ROUND(C137/1000,0)</f>
        <v>2584</v>
      </c>
      <c r="J137" s="163">
        <f>J138</f>
        <v>2010</v>
      </c>
      <c r="K137" s="494">
        <f t="shared" si="9"/>
        <v>5.851187703772706</v>
      </c>
      <c r="L137" s="120">
        <f t="shared" si="10"/>
        <v>2010</v>
      </c>
    </row>
    <row r="138" spans="1:12" ht="12.75" customHeight="1">
      <c r="A138" s="173" t="s">
        <v>668</v>
      </c>
      <c r="B138" s="178">
        <v>34352435</v>
      </c>
      <c r="C138" s="178">
        <v>2584412</v>
      </c>
      <c r="D138" s="178">
        <v>2009810</v>
      </c>
      <c r="E138" s="120">
        <f t="shared" si="7"/>
        <v>5.850560520673425</v>
      </c>
      <c r="F138" s="120">
        <f t="shared" si="8"/>
        <v>2009810</v>
      </c>
      <c r="G138" s="173" t="s">
        <v>668</v>
      </c>
      <c r="H138" s="163">
        <f t="shared" si="16"/>
        <v>34352</v>
      </c>
      <c r="I138" s="163">
        <f>ROUND(C138/1000,0)</f>
        <v>2584</v>
      </c>
      <c r="J138" s="163">
        <f>ROUND(D138/1000,0)</f>
        <v>2010</v>
      </c>
      <c r="K138" s="494">
        <f t="shared" si="9"/>
        <v>5.851187703772706</v>
      </c>
      <c r="L138" s="120">
        <f t="shared" si="10"/>
        <v>2010</v>
      </c>
    </row>
    <row r="139" spans="1:12" ht="12.75" customHeight="1">
      <c r="A139" s="131" t="s">
        <v>316</v>
      </c>
      <c r="B139" s="120">
        <f>B133-B137</f>
        <v>-650851</v>
      </c>
      <c r="C139" s="120">
        <f>C133-C137</f>
        <v>755060</v>
      </c>
      <c r="D139" s="120">
        <f>D133-D137</f>
        <v>1404709</v>
      </c>
      <c r="E139" s="120">
        <f aca="true" t="shared" si="17" ref="E139:E186">D139/B139*100</f>
        <v>-215.82651021508764</v>
      </c>
      <c r="F139" s="120">
        <f aca="true" t="shared" si="18" ref="F139:F189">D139</f>
        <v>1404709</v>
      </c>
      <c r="G139" s="131" t="s">
        <v>316</v>
      </c>
      <c r="H139" s="163">
        <f t="shared" si="16"/>
        <v>-651</v>
      </c>
      <c r="I139" s="163">
        <f>ROUND(C139/1000,0)</f>
        <v>755</v>
      </c>
      <c r="J139" s="163">
        <f>J133-J137</f>
        <v>1405</v>
      </c>
      <c r="K139" s="494"/>
      <c r="L139" s="120">
        <f aca="true" t="shared" si="19" ref="L139:L189">J139</f>
        <v>1405</v>
      </c>
    </row>
    <row r="140" spans="1:12" ht="12.75" customHeight="1">
      <c r="A140" s="131" t="s">
        <v>646</v>
      </c>
      <c r="B140" s="120">
        <v>650851</v>
      </c>
      <c r="C140" s="120">
        <v>755060</v>
      </c>
      <c r="D140" s="120"/>
      <c r="E140" s="120"/>
      <c r="F140" s="120"/>
      <c r="G140" s="131" t="s">
        <v>646</v>
      </c>
      <c r="H140" s="163">
        <f t="shared" si="16"/>
        <v>651</v>
      </c>
      <c r="I140" s="163">
        <f>ROUND(C140/1000,0)</f>
        <v>755</v>
      </c>
      <c r="J140" s="163"/>
      <c r="K140" s="494"/>
      <c r="L140" s="120"/>
    </row>
    <row r="141" spans="1:12" ht="12.75" customHeight="1">
      <c r="A141" s="122" t="s">
        <v>670</v>
      </c>
      <c r="B141" s="120"/>
      <c r="C141" s="120"/>
      <c r="D141" s="120"/>
      <c r="E141" s="120"/>
      <c r="F141" s="120"/>
      <c r="G141" s="122" t="s">
        <v>670</v>
      </c>
      <c r="H141" s="163"/>
      <c r="I141" s="163"/>
      <c r="J141" s="163"/>
      <c r="K141" s="494"/>
      <c r="L141" s="120"/>
    </row>
    <row r="142" spans="1:12" ht="12.75" customHeight="1">
      <c r="A142" s="131" t="s">
        <v>447</v>
      </c>
      <c r="B142" s="120">
        <f>SUM(B143:B144)</f>
        <v>1323732</v>
      </c>
      <c r="C142" s="120">
        <v>97688</v>
      </c>
      <c r="D142" s="120">
        <f>SUM(D143:D144)</f>
        <v>101268</v>
      </c>
      <c r="E142" s="120">
        <f t="shared" si="17"/>
        <v>7.650189011068706</v>
      </c>
      <c r="F142" s="120">
        <f t="shared" si="18"/>
        <v>101268</v>
      </c>
      <c r="G142" s="131" t="s">
        <v>447</v>
      </c>
      <c r="H142" s="163">
        <f>ROUND(B142/1000,0)</f>
        <v>1324</v>
      </c>
      <c r="I142" s="163">
        <f>ROUND(C142/1000,0)</f>
        <v>98</v>
      </c>
      <c r="J142" s="163">
        <f>SUM(J143:J144)</f>
        <v>101</v>
      </c>
      <c r="K142" s="494">
        <f aca="true" t="shared" si="20" ref="K142:K186">J142/H142*100</f>
        <v>7.628398791540786</v>
      </c>
      <c r="L142" s="120">
        <f t="shared" si="19"/>
        <v>101</v>
      </c>
    </row>
    <row r="143" spans="1:12" ht="12.75" customHeight="1">
      <c r="A143" s="173" t="s">
        <v>662</v>
      </c>
      <c r="B143" s="178">
        <v>1302952</v>
      </c>
      <c r="C143" s="178"/>
      <c r="D143" s="178">
        <v>99179</v>
      </c>
      <c r="E143" s="120">
        <f t="shared" si="17"/>
        <v>7.611869048130707</v>
      </c>
      <c r="F143" s="120">
        <f t="shared" si="18"/>
        <v>99179</v>
      </c>
      <c r="G143" s="173" t="s">
        <v>662</v>
      </c>
      <c r="H143" s="163">
        <f>ROUND(B143/1000,0)</f>
        <v>1303</v>
      </c>
      <c r="I143" s="163"/>
      <c r="J143" s="163">
        <f>ROUND(D143/1000,0)</f>
        <v>99</v>
      </c>
      <c r="K143" s="494">
        <f t="shared" si="20"/>
        <v>7.597851112816577</v>
      </c>
      <c r="L143" s="120">
        <f t="shared" si="19"/>
        <v>99</v>
      </c>
    </row>
    <row r="144" spans="1:12" ht="12.75" customHeight="1">
      <c r="A144" s="173" t="s">
        <v>664</v>
      </c>
      <c r="B144" s="178">
        <v>20780</v>
      </c>
      <c r="C144" s="178"/>
      <c r="D144" s="178">
        <v>2089</v>
      </c>
      <c r="E144" s="120">
        <f t="shared" si="17"/>
        <v>10.05293551491819</v>
      </c>
      <c r="F144" s="120">
        <f t="shared" si="18"/>
        <v>2089</v>
      </c>
      <c r="G144" s="173" t="s">
        <v>664</v>
      </c>
      <c r="H144" s="163">
        <f>ROUND(B144/1000,0)</f>
        <v>21</v>
      </c>
      <c r="I144" s="163"/>
      <c r="J144" s="163">
        <f>ROUND(D144/1000,0)</f>
        <v>2</v>
      </c>
      <c r="K144" s="494">
        <f t="shared" si="20"/>
        <v>9.523809523809524</v>
      </c>
      <c r="L144" s="120">
        <f t="shared" si="19"/>
        <v>2</v>
      </c>
    </row>
    <row r="145" spans="1:12" ht="12.75" customHeight="1">
      <c r="A145" s="131" t="s">
        <v>449</v>
      </c>
      <c r="B145" s="120">
        <f>B146</f>
        <v>1260422</v>
      </c>
      <c r="C145" s="120">
        <f>C146</f>
        <v>93302</v>
      </c>
      <c r="D145" s="120">
        <f>D146</f>
        <v>72533</v>
      </c>
      <c r="E145" s="120">
        <f t="shared" si="17"/>
        <v>5.754659947224025</v>
      </c>
      <c r="F145" s="120">
        <f t="shared" si="18"/>
        <v>72533</v>
      </c>
      <c r="G145" s="131" t="s">
        <v>449</v>
      </c>
      <c r="H145" s="163">
        <f>ROUND(B145/1000,0)</f>
        <v>1260</v>
      </c>
      <c r="I145" s="163">
        <f>ROUND(C145/1000,0)</f>
        <v>93</v>
      </c>
      <c r="J145" s="163">
        <f>J146</f>
        <v>73</v>
      </c>
      <c r="K145" s="494">
        <f t="shared" si="20"/>
        <v>5.7936507936507935</v>
      </c>
      <c r="L145" s="120">
        <f t="shared" si="19"/>
        <v>73</v>
      </c>
    </row>
    <row r="146" spans="1:12" ht="12.75" customHeight="1">
      <c r="A146" s="173" t="s">
        <v>668</v>
      </c>
      <c r="B146" s="178">
        <v>1260422</v>
      </c>
      <c r="C146" s="178">
        <v>93302</v>
      </c>
      <c r="D146" s="178">
        <v>72533</v>
      </c>
      <c r="E146" s="120">
        <f t="shared" si="17"/>
        <v>5.754659947224025</v>
      </c>
      <c r="F146" s="120">
        <f t="shared" si="18"/>
        <v>72533</v>
      </c>
      <c r="G146" s="173" t="s">
        <v>668</v>
      </c>
      <c r="H146" s="163">
        <f>ROUND(B146/1000,0)</f>
        <v>1260</v>
      </c>
      <c r="I146" s="163">
        <f>ROUND(C146/1000,0)</f>
        <v>93</v>
      </c>
      <c r="J146" s="163">
        <f>ROUND(D146/1000,0)</f>
        <v>73</v>
      </c>
      <c r="K146" s="494">
        <f t="shared" si="20"/>
        <v>5.7936507936507935</v>
      </c>
      <c r="L146" s="120">
        <f t="shared" si="19"/>
        <v>73</v>
      </c>
    </row>
    <row r="147" spans="1:12" ht="12.75" customHeight="1">
      <c r="A147" s="131" t="s">
        <v>316</v>
      </c>
      <c r="B147" s="120">
        <f>B142-B145</f>
        <v>63310</v>
      </c>
      <c r="C147" s="120">
        <f>C142-C145</f>
        <v>4386</v>
      </c>
      <c r="D147" s="120">
        <f>D142-D145</f>
        <v>28735</v>
      </c>
      <c r="E147" s="120">
        <f t="shared" si="17"/>
        <v>45.387774443215925</v>
      </c>
      <c r="F147" s="120">
        <f t="shared" si="18"/>
        <v>28735</v>
      </c>
      <c r="G147" s="131" t="s">
        <v>316</v>
      </c>
      <c r="H147" s="163">
        <f>ROUND(B147/1000,0)</f>
        <v>63</v>
      </c>
      <c r="I147" s="163">
        <f>ROUND(C147/1000,0)</f>
        <v>4</v>
      </c>
      <c r="J147" s="163">
        <f>J142-J145</f>
        <v>28</v>
      </c>
      <c r="K147" s="494"/>
      <c r="L147" s="120">
        <f t="shared" si="19"/>
        <v>28</v>
      </c>
    </row>
    <row r="148" spans="1:12" ht="25.5">
      <c r="A148" s="74" t="s">
        <v>671</v>
      </c>
      <c r="B148" s="120"/>
      <c r="C148" s="120"/>
      <c r="D148" s="120"/>
      <c r="E148" s="120"/>
      <c r="F148" s="120"/>
      <c r="G148" s="74" t="s">
        <v>671</v>
      </c>
      <c r="H148" s="163"/>
      <c r="I148" s="163"/>
      <c r="J148" s="163"/>
      <c r="K148" s="494"/>
      <c r="L148" s="120"/>
    </row>
    <row r="149" spans="1:12" ht="12.75" customHeight="1">
      <c r="A149" s="131" t="s">
        <v>447</v>
      </c>
      <c r="B149" s="120">
        <f>SUM(B150:B151)</f>
        <v>82726409</v>
      </c>
      <c r="C149" s="120">
        <v>6094293</v>
      </c>
      <c r="D149" s="120">
        <f>SUM(D150:D151)</f>
        <v>6358705</v>
      </c>
      <c r="E149" s="120">
        <f t="shared" si="17"/>
        <v>7.6864269546620845</v>
      </c>
      <c r="F149" s="120">
        <f t="shared" si="18"/>
        <v>6358705</v>
      </c>
      <c r="G149" s="131" t="s">
        <v>447</v>
      </c>
      <c r="H149" s="163">
        <f>ROUND(B149/1000,0)</f>
        <v>82726</v>
      </c>
      <c r="I149" s="163">
        <f>ROUND(C149/1000,0)</f>
        <v>6094</v>
      </c>
      <c r="J149" s="163">
        <f>SUM(J150:J151)</f>
        <v>6359</v>
      </c>
      <c r="K149" s="494">
        <f t="shared" si="20"/>
        <v>7.686821555496458</v>
      </c>
      <c r="L149" s="120">
        <f t="shared" si="19"/>
        <v>6359</v>
      </c>
    </row>
    <row r="150" spans="1:12" ht="12.75" customHeight="1">
      <c r="A150" s="173" t="s">
        <v>662</v>
      </c>
      <c r="B150" s="178">
        <v>82546999</v>
      </c>
      <c r="C150" s="178"/>
      <c r="D150" s="178">
        <v>6282605</v>
      </c>
      <c r="E150" s="120">
        <f t="shared" si="17"/>
        <v>7.610942948998062</v>
      </c>
      <c r="F150" s="120">
        <f t="shared" si="18"/>
        <v>6282605</v>
      </c>
      <c r="G150" s="173" t="s">
        <v>662</v>
      </c>
      <c r="H150" s="163">
        <f aca="true" t="shared" si="21" ref="H150:H155">ROUND(B150/1000,0)</f>
        <v>82547</v>
      </c>
      <c r="I150" s="163"/>
      <c r="J150" s="163">
        <f>ROUND(D150/1000,0)</f>
        <v>6283</v>
      </c>
      <c r="K150" s="494">
        <f t="shared" si="20"/>
        <v>7.611421372066822</v>
      </c>
      <c r="L150" s="120">
        <f t="shared" si="19"/>
        <v>6283</v>
      </c>
    </row>
    <row r="151" spans="1:12" ht="12.75" customHeight="1">
      <c r="A151" s="173" t="s">
        <v>664</v>
      </c>
      <c r="B151" s="178">
        <v>179410</v>
      </c>
      <c r="C151" s="178"/>
      <c r="D151" s="178">
        <v>76100</v>
      </c>
      <c r="E151" s="120">
        <f t="shared" si="17"/>
        <v>42.416810657154</v>
      </c>
      <c r="F151" s="120">
        <f t="shared" si="18"/>
        <v>76100</v>
      </c>
      <c r="G151" s="173" t="s">
        <v>664</v>
      </c>
      <c r="H151" s="163">
        <f t="shared" si="21"/>
        <v>179</v>
      </c>
      <c r="I151" s="163"/>
      <c r="J151" s="163">
        <f>ROUND(D151/1000,0)</f>
        <v>76</v>
      </c>
      <c r="K151" s="494">
        <f t="shared" si="20"/>
        <v>42.45810055865922</v>
      </c>
      <c r="L151" s="120">
        <f t="shared" si="19"/>
        <v>76</v>
      </c>
    </row>
    <row r="152" spans="1:12" ht="12.75" customHeight="1">
      <c r="A152" s="131" t="s">
        <v>449</v>
      </c>
      <c r="B152" s="120">
        <f>B153</f>
        <v>91505042</v>
      </c>
      <c r="C152" s="120">
        <f>C153</f>
        <v>7788524</v>
      </c>
      <c r="D152" s="120">
        <f>D153</f>
        <v>7652802</v>
      </c>
      <c r="E152" s="120">
        <f t="shared" si="17"/>
        <v>8.363257185325372</v>
      </c>
      <c r="F152" s="120">
        <f t="shared" si="18"/>
        <v>7652802</v>
      </c>
      <c r="G152" s="131" t="s">
        <v>449</v>
      </c>
      <c r="H152" s="163">
        <f t="shared" si="21"/>
        <v>91505</v>
      </c>
      <c r="I152" s="163">
        <f>ROUND(C152/1000,0)</f>
        <v>7789</v>
      </c>
      <c r="J152" s="163">
        <f>J153</f>
        <v>7653</v>
      </c>
      <c r="K152" s="494">
        <f t="shared" si="20"/>
        <v>8.36347740560625</v>
      </c>
      <c r="L152" s="120">
        <f t="shared" si="19"/>
        <v>7653</v>
      </c>
    </row>
    <row r="153" spans="1:12" ht="12.75" customHeight="1">
      <c r="A153" s="173" t="s">
        <v>668</v>
      </c>
      <c r="B153" s="178">
        <v>91505042</v>
      </c>
      <c r="C153" s="178">
        <v>7788524</v>
      </c>
      <c r="D153" s="178">
        <v>7652802</v>
      </c>
      <c r="E153" s="120">
        <f t="shared" si="17"/>
        <v>8.363257185325372</v>
      </c>
      <c r="F153" s="120">
        <f t="shared" si="18"/>
        <v>7652802</v>
      </c>
      <c r="G153" s="173" t="s">
        <v>668</v>
      </c>
      <c r="H153" s="163">
        <f t="shared" si="21"/>
        <v>91505</v>
      </c>
      <c r="I153" s="163">
        <f>ROUND(C153/1000,0)</f>
        <v>7789</v>
      </c>
      <c r="J153" s="163">
        <f>ROUND(D153/1000,0)</f>
        <v>7653</v>
      </c>
      <c r="K153" s="494">
        <f t="shared" si="20"/>
        <v>8.36347740560625</v>
      </c>
      <c r="L153" s="120">
        <f t="shared" si="19"/>
        <v>7653</v>
      </c>
    </row>
    <row r="154" spans="1:12" ht="12.75" customHeight="1">
      <c r="A154" s="131" t="s">
        <v>316</v>
      </c>
      <c r="B154" s="120">
        <f>B149-B152</f>
        <v>-8778633</v>
      </c>
      <c r="C154" s="120">
        <f>C149-C152</f>
        <v>-1694231</v>
      </c>
      <c r="D154" s="120">
        <f>D149-D152</f>
        <v>-1294097</v>
      </c>
      <c r="E154" s="120">
        <f t="shared" si="17"/>
        <v>14.741440951000001</v>
      </c>
      <c r="F154" s="120">
        <f t="shared" si="18"/>
        <v>-1294097</v>
      </c>
      <c r="G154" s="131" t="s">
        <v>316</v>
      </c>
      <c r="H154" s="163">
        <f t="shared" si="21"/>
        <v>-8779</v>
      </c>
      <c r="I154" s="163">
        <f>ROUND(C154/1000,0)</f>
        <v>-1694</v>
      </c>
      <c r="J154" s="163">
        <f>J149-J152</f>
        <v>-1294</v>
      </c>
      <c r="K154" s="494"/>
      <c r="L154" s="120">
        <f t="shared" si="19"/>
        <v>-1294</v>
      </c>
    </row>
    <row r="155" spans="1:12" ht="12.75" customHeight="1">
      <c r="A155" s="131" t="s">
        <v>646</v>
      </c>
      <c r="B155" s="163">
        <v>8778633</v>
      </c>
      <c r="C155" s="163">
        <v>1694231</v>
      </c>
      <c r="D155" s="163">
        <v>1294155</v>
      </c>
      <c r="E155" s="120">
        <f t="shared" si="17"/>
        <v>14.742101646121897</v>
      </c>
      <c r="F155" s="120">
        <f t="shared" si="18"/>
        <v>1294155</v>
      </c>
      <c r="G155" s="131" t="s">
        <v>646</v>
      </c>
      <c r="H155" s="163">
        <f t="shared" si="21"/>
        <v>8779</v>
      </c>
      <c r="I155" s="163">
        <f>ROUND(C155/1000,0)</f>
        <v>1694</v>
      </c>
      <c r="J155" s="163">
        <f>ROUND(D155/1000,0)</f>
        <v>1294</v>
      </c>
      <c r="K155" s="494">
        <f t="shared" si="20"/>
        <v>14.739719785852603</v>
      </c>
      <c r="L155" s="120">
        <f t="shared" si="19"/>
        <v>1294</v>
      </c>
    </row>
    <row r="156" spans="1:12" ht="25.5">
      <c r="A156" s="90" t="s">
        <v>672</v>
      </c>
      <c r="B156" s="120"/>
      <c r="C156" s="120"/>
      <c r="D156" s="120"/>
      <c r="E156" s="120"/>
      <c r="F156" s="120"/>
      <c r="G156" s="74" t="s">
        <v>672</v>
      </c>
      <c r="H156" s="163"/>
      <c r="I156" s="163"/>
      <c r="J156" s="163"/>
      <c r="K156" s="494"/>
      <c r="L156" s="120"/>
    </row>
    <row r="157" spans="1:12" ht="12.75" customHeight="1">
      <c r="A157" s="131" t="s">
        <v>447</v>
      </c>
      <c r="B157" s="120">
        <f>SUM(B158:B159)</f>
        <v>9843296</v>
      </c>
      <c r="C157" s="120">
        <v>591852</v>
      </c>
      <c r="D157" s="120">
        <f>SUM(D158:D159)</f>
        <v>591852</v>
      </c>
      <c r="E157" s="120">
        <f t="shared" si="17"/>
        <v>6.0127420733868</v>
      </c>
      <c r="F157" s="120">
        <f t="shared" si="18"/>
        <v>591852</v>
      </c>
      <c r="G157" s="131" t="s">
        <v>447</v>
      </c>
      <c r="H157" s="163">
        <f>ROUND(B157/1000,0)</f>
        <v>9843</v>
      </c>
      <c r="I157" s="163">
        <f>ROUND(C157/1000,0)</f>
        <v>592</v>
      </c>
      <c r="J157" s="163">
        <f>SUM(J158:J159)</f>
        <v>592</v>
      </c>
      <c r="K157" s="494">
        <f t="shared" si="20"/>
        <v>6.014426495986996</v>
      </c>
      <c r="L157" s="120">
        <f t="shared" si="19"/>
        <v>592</v>
      </c>
    </row>
    <row r="158" spans="1:12" ht="12.75" customHeight="1">
      <c r="A158" s="173" t="s">
        <v>663</v>
      </c>
      <c r="B158" s="178">
        <f>300000+1890000</f>
        <v>2190000</v>
      </c>
      <c r="C158" s="178"/>
      <c r="D158" s="178">
        <v>148520</v>
      </c>
      <c r="E158" s="120">
        <f t="shared" si="17"/>
        <v>6.7817351598173525</v>
      </c>
      <c r="F158" s="120">
        <f t="shared" si="18"/>
        <v>148520</v>
      </c>
      <c r="G158" s="173" t="s">
        <v>663</v>
      </c>
      <c r="H158" s="163">
        <f aca="true" t="shared" si="22" ref="H158:H165">ROUND(B158/1000,0)</f>
        <v>2190</v>
      </c>
      <c r="I158" s="163"/>
      <c r="J158" s="163">
        <f>ROUND(D158/1000,0)</f>
        <v>149</v>
      </c>
      <c r="K158" s="494">
        <f t="shared" si="20"/>
        <v>6.803652968036529</v>
      </c>
      <c r="L158" s="120">
        <f t="shared" si="19"/>
        <v>149</v>
      </c>
    </row>
    <row r="159" spans="1:12" ht="12.75" customHeight="1">
      <c r="A159" s="173" t="s">
        <v>664</v>
      </c>
      <c r="B159" s="178">
        <f>9843296-B158</f>
        <v>7653296</v>
      </c>
      <c r="C159" s="178"/>
      <c r="D159" s="178">
        <f>591852-D158</f>
        <v>443332</v>
      </c>
      <c r="E159" s="120">
        <f t="shared" si="17"/>
        <v>5.792693762269224</v>
      </c>
      <c r="F159" s="120">
        <f t="shared" si="18"/>
        <v>443332</v>
      </c>
      <c r="G159" s="173" t="s">
        <v>664</v>
      </c>
      <c r="H159" s="163">
        <f t="shared" si="22"/>
        <v>7653</v>
      </c>
      <c r="I159" s="163"/>
      <c r="J159" s="163">
        <f>ROUND(D159/1000,0)</f>
        <v>443</v>
      </c>
      <c r="K159" s="494">
        <f t="shared" si="20"/>
        <v>5.788579641970469</v>
      </c>
      <c r="L159" s="120">
        <f t="shared" si="19"/>
        <v>443</v>
      </c>
    </row>
    <row r="160" spans="1:12" ht="12.75" customHeight="1">
      <c r="A160" s="131" t="s">
        <v>449</v>
      </c>
      <c r="B160" s="120">
        <f>B161+B163</f>
        <v>12108296</v>
      </c>
      <c r="C160" s="120">
        <f>C161+C163</f>
        <v>770562</v>
      </c>
      <c r="D160" s="120">
        <f>D161+D163</f>
        <v>536870</v>
      </c>
      <c r="E160" s="120">
        <f t="shared" si="17"/>
        <v>4.433902177482282</v>
      </c>
      <c r="F160" s="120">
        <f t="shared" si="18"/>
        <v>536870</v>
      </c>
      <c r="G160" s="131" t="s">
        <v>449</v>
      </c>
      <c r="H160" s="163">
        <f t="shared" si="22"/>
        <v>12108</v>
      </c>
      <c r="I160" s="163">
        <f>ROUND(C160/1000,0)</f>
        <v>771</v>
      </c>
      <c r="J160" s="163">
        <f>J161+J163</f>
        <v>537</v>
      </c>
      <c r="K160" s="494">
        <f t="shared" si="20"/>
        <v>4.435084241823588</v>
      </c>
      <c r="L160" s="120">
        <f t="shared" si="19"/>
        <v>537</v>
      </c>
    </row>
    <row r="161" spans="1:12" ht="12.75" customHeight="1">
      <c r="A161" s="36" t="s">
        <v>668</v>
      </c>
      <c r="B161" s="178">
        <v>8683296</v>
      </c>
      <c r="C161" s="178">
        <v>535782</v>
      </c>
      <c r="D161" s="178">
        <v>516825</v>
      </c>
      <c r="E161" s="120">
        <f t="shared" si="17"/>
        <v>5.951944975732717</v>
      </c>
      <c r="F161" s="120">
        <f t="shared" si="18"/>
        <v>516825</v>
      </c>
      <c r="G161" s="36" t="s">
        <v>668</v>
      </c>
      <c r="H161" s="163">
        <f t="shared" si="22"/>
        <v>8683</v>
      </c>
      <c r="I161" s="163">
        <f>ROUND(C161/1000,0)</f>
        <v>536</v>
      </c>
      <c r="J161" s="163">
        <f>ROUND(D161/1000,0)</f>
        <v>517</v>
      </c>
      <c r="K161" s="494">
        <f t="shared" si="20"/>
        <v>5.954163307612577</v>
      </c>
      <c r="L161" s="120">
        <f t="shared" si="19"/>
        <v>517</v>
      </c>
    </row>
    <row r="162" spans="1:12" ht="12.75" customHeight="1">
      <c r="A162" s="173" t="s">
        <v>653</v>
      </c>
      <c r="B162" s="178">
        <v>10782</v>
      </c>
      <c r="C162" s="178"/>
      <c r="D162" s="178"/>
      <c r="E162" s="120">
        <f t="shared" si="17"/>
        <v>0</v>
      </c>
      <c r="F162" s="120">
        <f t="shared" si="18"/>
        <v>0</v>
      </c>
      <c r="G162" s="173" t="s">
        <v>653</v>
      </c>
      <c r="H162" s="163">
        <f t="shared" si="22"/>
        <v>11</v>
      </c>
      <c r="I162" s="163"/>
      <c r="J162" s="163"/>
      <c r="K162" s="494"/>
      <c r="L162" s="120"/>
    </row>
    <row r="163" spans="1:12" ht="12.75" customHeight="1">
      <c r="A163" s="36" t="s">
        <v>673</v>
      </c>
      <c r="B163" s="178">
        <v>3425000</v>
      </c>
      <c r="C163" s="178">
        <v>234780</v>
      </c>
      <c r="D163" s="178">
        <v>20045</v>
      </c>
      <c r="E163" s="120">
        <f t="shared" si="17"/>
        <v>0.5852554744525548</v>
      </c>
      <c r="F163" s="120">
        <f t="shared" si="18"/>
        <v>20045</v>
      </c>
      <c r="G163" s="36" t="s">
        <v>673</v>
      </c>
      <c r="H163" s="163">
        <f t="shared" si="22"/>
        <v>3425</v>
      </c>
      <c r="I163" s="163">
        <f>ROUND(C163/1000,0)</f>
        <v>235</v>
      </c>
      <c r="J163" s="163">
        <f>ROUND(D163/1000,0)</f>
        <v>20</v>
      </c>
      <c r="K163" s="494">
        <f t="shared" si="20"/>
        <v>0.583941605839416</v>
      </c>
      <c r="L163" s="120">
        <f t="shared" si="19"/>
        <v>20</v>
      </c>
    </row>
    <row r="164" spans="1:12" ht="12.75" customHeight="1">
      <c r="A164" s="131" t="s">
        <v>316</v>
      </c>
      <c r="B164" s="120">
        <f>B157-B160</f>
        <v>-2265000</v>
      </c>
      <c r="C164" s="120">
        <f>C157-C160</f>
        <v>-178710</v>
      </c>
      <c r="D164" s="120">
        <f>D157-D160</f>
        <v>54982</v>
      </c>
      <c r="E164" s="120">
        <f t="shared" si="17"/>
        <v>-2.4274613686534217</v>
      </c>
      <c r="F164" s="120">
        <f t="shared" si="18"/>
        <v>54982</v>
      </c>
      <c r="G164" s="131" t="s">
        <v>316</v>
      </c>
      <c r="H164" s="163">
        <f t="shared" si="22"/>
        <v>-2265</v>
      </c>
      <c r="I164" s="163">
        <f>ROUND(C164/1000,0)</f>
        <v>-179</v>
      </c>
      <c r="J164" s="163">
        <f>J157-J160</f>
        <v>55</v>
      </c>
      <c r="K164" s="494"/>
      <c r="L164" s="120">
        <f t="shared" si="19"/>
        <v>55</v>
      </c>
    </row>
    <row r="165" spans="1:12" ht="12.75" customHeight="1">
      <c r="A165" s="131" t="s">
        <v>646</v>
      </c>
      <c r="B165" s="163">
        <v>2265000</v>
      </c>
      <c r="C165" s="163">
        <v>178710</v>
      </c>
      <c r="D165" s="163">
        <v>116977</v>
      </c>
      <c r="E165" s="120">
        <f t="shared" si="17"/>
        <v>5.164547461368653</v>
      </c>
      <c r="F165" s="120">
        <f t="shared" si="18"/>
        <v>116977</v>
      </c>
      <c r="G165" s="131" t="s">
        <v>646</v>
      </c>
      <c r="H165" s="163">
        <f t="shared" si="22"/>
        <v>2265</v>
      </c>
      <c r="I165" s="163">
        <f>ROUND(C165/1000,0)</f>
        <v>179</v>
      </c>
      <c r="J165" s="163">
        <f>ROUND(D165/1000,0)</f>
        <v>117</v>
      </c>
      <c r="K165" s="494">
        <f t="shared" si="20"/>
        <v>5.1655629139072845</v>
      </c>
      <c r="L165" s="120">
        <f t="shared" si="19"/>
        <v>117</v>
      </c>
    </row>
    <row r="166" spans="1:12" ht="24" customHeight="1">
      <c r="A166" s="35" t="s">
        <v>331</v>
      </c>
      <c r="B166" s="120"/>
      <c r="C166" s="120"/>
      <c r="D166" s="120"/>
      <c r="E166" s="120"/>
      <c r="F166" s="120"/>
      <c r="G166" s="35" t="s">
        <v>331</v>
      </c>
      <c r="H166" s="163"/>
      <c r="I166" s="163"/>
      <c r="J166" s="163"/>
      <c r="K166" s="494"/>
      <c r="L166" s="120"/>
    </row>
    <row r="167" spans="1:12" ht="12.75" customHeight="1">
      <c r="A167" s="122" t="s">
        <v>674</v>
      </c>
      <c r="B167" s="120"/>
      <c r="C167" s="120"/>
      <c r="D167" s="120"/>
      <c r="E167" s="120"/>
      <c r="F167" s="120"/>
      <c r="G167" s="122" t="s">
        <v>674</v>
      </c>
      <c r="H167" s="163"/>
      <c r="I167" s="163"/>
      <c r="J167" s="163"/>
      <c r="K167" s="494"/>
      <c r="L167" s="120"/>
    </row>
    <row r="168" spans="1:12" ht="12.75" customHeight="1">
      <c r="A168" s="131" t="s">
        <v>447</v>
      </c>
      <c r="B168" s="120">
        <f>SUM(B169:B171)</f>
        <v>9519100</v>
      </c>
      <c r="C168" s="120">
        <v>444403</v>
      </c>
      <c r="D168" s="120">
        <f>SUM(D169:D171)</f>
        <v>319634</v>
      </c>
      <c r="E168" s="120">
        <f t="shared" si="17"/>
        <v>3.357817440724438</v>
      </c>
      <c r="F168" s="120">
        <f t="shared" si="18"/>
        <v>319634</v>
      </c>
      <c r="G168" s="131" t="s">
        <v>447</v>
      </c>
      <c r="H168" s="163">
        <f>ROUND(B168/1000,0)</f>
        <v>9519</v>
      </c>
      <c r="I168" s="163">
        <f>ROUND(C168/1000,0)</f>
        <v>444</v>
      </c>
      <c r="J168" s="163">
        <f>SUM(J169:J171)</f>
        <v>319</v>
      </c>
      <c r="K168" s="494">
        <f t="shared" si="20"/>
        <v>3.3511923521378293</v>
      </c>
      <c r="L168" s="120">
        <f t="shared" si="19"/>
        <v>319</v>
      </c>
    </row>
    <row r="169" spans="1:12" ht="12.75" customHeight="1">
      <c r="A169" s="131" t="s">
        <v>675</v>
      </c>
      <c r="B169" s="163">
        <v>8951000</v>
      </c>
      <c r="C169" s="163"/>
      <c r="D169" s="163">
        <v>281090</v>
      </c>
      <c r="E169" s="120">
        <f t="shared" si="17"/>
        <v>3.140319517372361</v>
      </c>
      <c r="F169" s="120">
        <f t="shared" si="18"/>
        <v>281090</v>
      </c>
      <c r="G169" s="131" t="s">
        <v>675</v>
      </c>
      <c r="H169" s="163">
        <f aca="true" t="shared" si="23" ref="H169:H174">ROUND(B169/1000,0)</f>
        <v>8951</v>
      </c>
      <c r="I169" s="163"/>
      <c r="J169" s="163">
        <f>ROUND(D169/1000,0)</f>
        <v>281</v>
      </c>
      <c r="K169" s="494">
        <f t="shared" si="20"/>
        <v>3.1393140431236732</v>
      </c>
      <c r="L169" s="120">
        <f t="shared" si="19"/>
        <v>281</v>
      </c>
    </row>
    <row r="170" spans="1:12" ht="12.75" customHeight="1">
      <c r="A170" s="27" t="s">
        <v>676</v>
      </c>
      <c r="B170" s="163">
        <v>350000</v>
      </c>
      <c r="C170" s="163"/>
      <c r="D170" s="163">
        <v>35122</v>
      </c>
      <c r="E170" s="120">
        <f t="shared" si="17"/>
        <v>10.034857142857142</v>
      </c>
      <c r="F170" s="120">
        <f t="shared" si="18"/>
        <v>35122</v>
      </c>
      <c r="G170" s="27" t="s">
        <v>676</v>
      </c>
      <c r="H170" s="163">
        <f t="shared" si="23"/>
        <v>350</v>
      </c>
      <c r="I170" s="163"/>
      <c r="J170" s="163">
        <f>ROUND(D170/1000,0)</f>
        <v>35</v>
      </c>
      <c r="K170" s="494">
        <f t="shared" si="20"/>
        <v>10</v>
      </c>
      <c r="L170" s="120">
        <f t="shared" si="19"/>
        <v>35</v>
      </c>
    </row>
    <row r="171" spans="1:12" ht="12.75" customHeight="1">
      <c r="A171" s="176" t="s">
        <v>361</v>
      </c>
      <c r="B171" s="163">
        <f>150000+68100</f>
        <v>218100</v>
      </c>
      <c r="C171" s="163"/>
      <c r="D171" s="163">
        <f>926+2496</f>
        <v>3422</v>
      </c>
      <c r="E171" s="120">
        <f t="shared" si="17"/>
        <v>1.569005043558001</v>
      </c>
      <c r="F171" s="120">
        <f t="shared" si="18"/>
        <v>3422</v>
      </c>
      <c r="G171" s="177" t="s">
        <v>361</v>
      </c>
      <c r="H171" s="163">
        <f t="shared" si="23"/>
        <v>218</v>
      </c>
      <c r="I171" s="163"/>
      <c r="J171" s="163">
        <f>ROUND(D171/1000,0)</f>
        <v>3</v>
      </c>
      <c r="K171" s="494">
        <f t="shared" si="20"/>
        <v>1.3761467889908259</v>
      </c>
      <c r="L171" s="120">
        <f t="shared" si="19"/>
        <v>3</v>
      </c>
    </row>
    <row r="172" spans="1:12" ht="12.75" customHeight="1">
      <c r="A172" s="131" t="s">
        <v>449</v>
      </c>
      <c r="B172" s="120">
        <f>SUM(B173:B174)</f>
        <v>9370924</v>
      </c>
      <c r="C172" s="120">
        <f>SUM(C173:C174)</f>
        <v>437727</v>
      </c>
      <c r="D172" s="120">
        <f>SUM(D173:D174)</f>
        <v>122313</v>
      </c>
      <c r="E172" s="120">
        <f t="shared" si="17"/>
        <v>1.3052394833209617</v>
      </c>
      <c r="F172" s="120">
        <f t="shared" si="18"/>
        <v>122313</v>
      </c>
      <c r="G172" s="131" t="s">
        <v>449</v>
      </c>
      <c r="H172" s="163">
        <f t="shared" si="23"/>
        <v>9371</v>
      </c>
      <c r="I172" s="163">
        <f>ROUND(C172/1000,0)</f>
        <v>438</v>
      </c>
      <c r="J172" s="163">
        <f>SUM(J173:J174)</f>
        <v>122</v>
      </c>
      <c r="K172" s="494">
        <f t="shared" si="20"/>
        <v>1.3018888058905134</v>
      </c>
      <c r="L172" s="120">
        <f t="shared" si="19"/>
        <v>122</v>
      </c>
    </row>
    <row r="173" spans="1:12" ht="12.75" customHeight="1">
      <c r="A173" s="131" t="s">
        <v>450</v>
      </c>
      <c r="B173" s="163">
        <v>6547804</v>
      </c>
      <c r="C173" s="163">
        <v>430527</v>
      </c>
      <c r="D173" s="163">
        <v>115113</v>
      </c>
      <c r="E173" s="120">
        <f t="shared" si="17"/>
        <v>1.7580397947159079</v>
      </c>
      <c r="F173" s="120">
        <f t="shared" si="18"/>
        <v>115113</v>
      </c>
      <c r="G173" s="131" t="s">
        <v>450</v>
      </c>
      <c r="H173" s="163">
        <f t="shared" si="23"/>
        <v>6548</v>
      </c>
      <c r="I173" s="163">
        <f>ROUND(C173/1000,0)</f>
        <v>431</v>
      </c>
      <c r="J173" s="163">
        <f>ROUND(D173/1000,0)</f>
        <v>115</v>
      </c>
      <c r="K173" s="494">
        <f t="shared" si="20"/>
        <v>1.756261453879047</v>
      </c>
      <c r="L173" s="120">
        <f t="shared" si="19"/>
        <v>115</v>
      </c>
    </row>
    <row r="174" spans="1:12" ht="12.75" customHeight="1">
      <c r="A174" s="131" t="s">
        <v>444</v>
      </c>
      <c r="B174" s="163">
        <v>2823120</v>
      </c>
      <c r="C174" s="163">
        <v>7200</v>
      </c>
      <c r="D174" s="163">
        <v>7200</v>
      </c>
      <c r="E174" s="120">
        <f t="shared" si="17"/>
        <v>0.2550369803621525</v>
      </c>
      <c r="F174" s="120">
        <f t="shared" si="18"/>
        <v>7200</v>
      </c>
      <c r="G174" s="131" t="s">
        <v>444</v>
      </c>
      <c r="H174" s="163">
        <f t="shared" si="23"/>
        <v>2823</v>
      </c>
      <c r="I174" s="163">
        <f>ROUND(C174/1000,0)</f>
        <v>7</v>
      </c>
      <c r="J174" s="163">
        <f>ROUND(D174/1000,0)</f>
        <v>7</v>
      </c>
      <c r="K174" s="494">
        <f t="shared" si="20"/>
        <v>0.2479631597591215</v>
      </c>
      <c r="L174" s="120">
        <f t="shared" si="19"/>
        <v>7</v>
      </c>
    </row>
    <row r="175" spans="1:12" ht="12.75" customHeight="1">
      <c r="A175" s="12" t="s">
        <v>332</v>
      </c>
      <c r="B175" s="120"/>
      <c r="C175" s="120"/>
      <c r="D175" s="120"/>
      <c r="E175" s="120"/>
      <c r="F175" s="120"/>
      <c r="G175" s="12" t="s">
        <v>332</v>
      </c>
      <c r="H175" s="163"/>
      <c r="I175" s="163"/>
      <c r="J175" s="163"/>
      <c r="K175" s="494"/>
      <c r="L175" s="120"/>
    </row>
    <row r="176" spans="1:12" ht="12.75" customHeight="1">
      <c r="A176" s="122" t="s">
        <v>677</v>
      </c>
      <c r="B176" s="120"/>
      <c r="C176" s="120"/>
      <c r="D176" s="120"/>
      <c r="E176" s="120"/>
      <c r="F176" s="120"/>
      <c r="G176" s="122" t="s">
        <v>677</v>
      </c>
      <c r="H176" s="163"/>
      <c r="I176" s="163"/>
      <c r="J176" s="163"/>
      <c r="K176" s="494"/>
      <c r="L176" s="120"/>
    </row>
    <row r="177" spans="1:12" ht="12.75" customHeight="1">
      <c r="A177" s="131" t="s">
        <v>447</v>
      </c>
      <c r="B177" s="120">
        <f>SUM(B178:B179)</f>
        <v>2272860</v>
      </c>
      <c r="C177" s="120">
        <v>183000</v>
      </c>
      <c r="D177" s="120">
        <f>SUM(D178:D179)</f>
        <v>169870</v>
      </c>
      <c r="E177" s="120">
        <f t="shared" si="17"/>
        <v>7.4738435275379915</v>
      </c>
      <c r="F177" s="120">
        <f t="shared" si="18"/>
        <v>169870</v>
      </c>
      <c r="G177" s="131" t="s">
        <v>447</v>
      </c>
      <c r="H177" s="163">
        <f>ROUND(B177/1000,0)</f>
        <v>2273</v>
      </c>
      <c r="I177" s="163">
        <f>ROUND(C177/1000,0)</f>
        <v>183</v>
      </c>
      <c r="J177" s="163">
        <f>SUM(J178:J179)</f>
        <v>170</v>
      </c>
      <c r="K177" s="494">
        <f t="shared" si="20"/>
        <v>7.479102507699076</v>
      </c>
      <c r="L177" s="120">
        <f t="shared" si="19"/>
        <v>170</v>
      </c>
    </row>
    <row r="178" spans="1:12" ht="24.75" customHeight="1">
      <c r="A178" s="27" t="s">
        <v>678</v>
      </c>
      <c r="B178" s="163">
        <v>1608660</v>
      </c>
      <c r="C178" s="163"/>
      <c r="D178" s="163">
        <v>112997</v>
      </c>
      <c r="E178" s="120">
        <f t="shared" si="17"/>
        <v>7.024293511369711</v>
      </c>
      <c r="F178" s="120">
        <f t="shared" si="18"/>
        <v>112997</v>
      </c>
      <c r="G178" s="27" t="s">
        <v>678</v>
      </c>
      <c r="H178" s="163">
        <f>ROUND(B178/1000,0)</f>
        <v>1609</v>
      </c>
      <c r="I178" s="163"/>
      <c r="J178" s="163">
        <f>ROUND(D178/1000,0)</f>
        <v>113</v>
      </c>
      <c r="K178" s="494">
        <f t="shared" si="20"/>
        <v>7.0229956494717225</v>
      </c>
      <c r="L178" s="120">
        <f t="shared" si="19"/>
        <v>113</v>
      </c>
    </row>
    <row r="179" spans="1:12" ht="24" customHeight="1">
      <c r="A179" s="27" t="s">
        <v>679</v>
      </c>
      <c r="B179" s="163">
        <v>664200</v>
      </c>
      <c r="C179" s="163"/>
      <c r="D179" s="163">
        <v>56873</v>
      </c>
      <c r="E179" s="120">
        <f t="shared" si="17"/>
        <v>8.562631737428486</v>
      </c>
      <c r="F179" s="120">
        <f t="shared" si="18"/>
        <v>56873</v>
      </c>
      <c r="G179" s="27" t="s">
        <v>679</v>
      </c>
      <c r="H179" s="163">
        <f>ROUND(B179/1000,0)</f>
        <v>664</v>
      </c>
      <c r="I179" s="163"/>
      <c r="J179" s="163">
        <f>ROUND(D179/1000,0)</f>
        <v>57</v>
      </c>
      <c r="K179" s="494">
        <f t="shared" si="20"/>
        <v>8.58433734939759</v>
      </c>
      <c r="L179" s="120">
        <f t="shared" si="19"/>
        <v>57</v>
      </c>
    </row>
    <row r="180" spans="1:12" ht="12.75" customHeight="1">
      <c r="A180" s="131" t="s">
        <v>449</v>
      </c>
      <c r="B180" s="120">
        <f>B181</f>
        <v>2272860</v>
      </c>
      <c r="C180" s="120">
        <f>C181</f>
        <v>183000</v>
      </c>
      <c r="D180" s="120">
        <f>D181</f>
        <v>170835</v>
      </c>
      <c r="E180" s="120">
        <f t="shared" si="17"/>
        <v>7.516301048018796</v>
      </c>
      <c r="F180" s="120">
        <f t="shared" si="18"/>
        <v>170835</v>
      </c>
      <c r="G180" s="131" t="s">
        <v>449</v>
      </c>
      <c r="H180" s="163">
        <f>ROUND(B180/1000,0)</f>
        <v>2273</v>
      </c>
      <c r="I180" s="163">
        <f>ROUND(C180/1000,0)</f>
        <v>183</v>
      </c>
      <c r="J180" s="163">
        <f>J181</f>
        <v>171</v>
      </c>
      <c r="K180" s="494">
        <f t="shared" si="20"/>
        <v>7.5230972283326</v>
      </c>
      <c r="L180" s="120">
        <f t="shared" si="19"/>
        <v>171</v>
      </c>
    </row>
    <row r="181" spans="1:12" ht="12.75" customHeight="1">
      <c r="A181" s="131" t="s">
        <v>450</v>
      </c>
      <c r="B181" s="163">
        <v>2272860</v>
      </c>
      <c r="C181" s="163">
        <v>183000</v>
      </c>
      <c r="D181" s="163">
        <v>170835</v>
      </c>
      <c r="E181" s="120">
        <f t="shared" si="17"/>
        <v>7.516301048018796</v>
      </c>
      <c r="F181" s="120">
        <f t="shared" si="18"/>
        <v>170835</v>
      </c>
      <c r="G181" s="131" t="s">
        <v>450</v>
      </c>
      <c r="H181" s="163">
        <f>ROUND(B181/1000,0)</f>
        <v>2273</v>
      </c>
      <c r="I181" s="163">
        <f>ROUND(C181/1000,0)</f>
        <v>183</v>
      </c>
      <c r="J181" s="163">
        <f>ROUND(D181/1000,0)</f>
        <v>171</v>
      </c>
      <c r="K181" s="494">
        <f t="shared" si="20"/>
        <v>7.5230972283326</v>
      </c>
      <c r="L181" s="120">
        <f t="shared" si="19"/>
        <v>171</v>
      </c>
    </row>
    <row r="182" spans="1:12" ht="25.5" customHeight="1">
      <c r="A182" s="35" t="s">
        <v>680</v>
      </c>
      <c r="B182" s="120"/>
      <c r="C182" s="120"/>
      <c r="D182" s="120"/>
      <c r="E182" s="120"/>
      <c r="F182" s="120"/>
      <c r="G182" s="35" t="s">
        <v>680</v>
      </c>
      <c r="H182" s="163"/>
      <c r="I182" s="163"/>
      <c r="J182" s="163"/>
      <c r="K182" s="494"/>
      <c r="L182" s="120"/>
    </row>
    <row r="183" spans="1:12" ht="12.75" customHeight="1">
      <c r="A183" s="176" t="s">
        <v>447</v>
      </c>
      <c r="B183" s="120">
        <f>B184</f>
        <v>129565</v>
      </c>
      <c r="C183" s="120">
        <v>9673</v>
      </c>
      <c r="D183" s="120">
        <f>D184</f>
        <v>14241</v>
      </c>
      <c r="E183" s="120">
        <f t="shared" si="17"/>
        <v>10.991394280862888</v>
      </c>
      <c r="F183" s="120">
        <f t="shared" si="18"/>
        <v>14241</v>
      </c>
      <c r="G183" s="177" t="s">
        <v>447</v>
      </c>
      <c r="H183" s="163">
        <f>ROUND(B183/1000,0)</f>
        <v>130</v>
      </c>
      <c r="I183" s="163">
        <f>ROUND(C183/1000,0)</f>
        <v>10</v>
      </c>
      <c r="J183" s="163">
        <f>J184</f>
        <v>14</v>
      </c>
      <c r="K183" s="494">
        <f t="shared" si="20"/>
        <v>10.76923076923077</v>
      </c>
      <c r="L183" s="120">
        <f t="shared" si="19"/>
        <v>14</v>
      </c>
    </row>
    <row r="184" spans="1:12" ht="12.75" customHeight="1">
      <c r="A184" s="27" t="s">
        <v>361</v>
      </c>
      <c r="B184" s="163">
        <v>129565</v>
      </c>
      <c r="C184" s="163"/>
      <c r="D184" s="163">
        <v>14241</v>
      </c>
      <c r="E184" s="120">
        <f t="shared" si="17"/>
        <v>10.991394280862888</v>
      </c>
      <c r="F184" s="120">
        <f t="shared" si="18"/>
        <v>14241</v>
      </c>
      <c r="G184" s="27" t="s">
        <v>361</v>
      </c>
      <c r="H184" s="163">
        <f aca="true" t="shared" si="24" ref="H184:H190">ROUND(B184/1000,0)</f>
        <v>130</v>
      </c>
      <c r="I184" s="163"/>
      <c r="J184" s="163">
        <f>ROUND(D184/1000,0)</f>
        <v>14</v>
      </c>
      <c r="K184" s="494">
        <f t="shared" si="20"/>
        <v>10.76923076923077</v>
      </c>
      <c r="L184" s="120">
        <f t="shared" si="19"/>
        <v>14</v>
      </c>
    </row>
    <row r="185" spans="1:12" ht="12.75" customHeight="1">
      <c r="A185" s="131" t="s">
        <v>449</v>
      </c>
      <c r="B185" s="120">
        <f>B186+B188</f>
        <v>756987</v>
      </c>
      <c r="C185" s="120">
        <f>C186+C188</f>
        <v>14403</v>
      </c>
      <c r="D185" s="120">
        <f>D186+D188</f>
        <v>7925</v>
      </c>
      <c r="E185" s="120">
        <f t="shared" si="17"/>
        <v>1.0469136193884439</v>
      </c>
      <c r="F185" s="120">
        <f t="shared" si="18"/>
        <v>7925</v>
      </c>
      <c r="G185" s="131" t="s">
        <v>449</v>
      </c>
      <c r="H185" s="163">
        <f t="shared" si="24"/>
        <v>757</v>
      </c>
      <c r="I185" s="163">
        <f>ROUND(C185/1000,0)</f>
        <v>14</v>
      </c>
      <c r="J185" s="163">
        <f>J186+J188</f>
        <v>8</v>
      </c>
      <c r="K185" s="494">
        <f t="shared" si="20"/>
        <v>1.0568031704095113</v>
      </c>
      <c r="L185" s="120">
        <f t="shared" si="19"/>
        <v>8</v>
      </c>
    </row>
    <row r="186" spans="1:12" ht="12.75" customHeight="1">
      <c r="A186" s="131" t="s">
        <v>450</v>
      </c>
      <c r="B186" s="163">
        <v>753987</v>
      </c>
      <c r="C186" s="163">
        <v>14403</v>
      </c>
      <c r="D186" s="163">
        <v>7925</v>
      </c>
      <c r="E186" s="120">
        <f t="shared" si="17"/>
        <v>1.0510791300115254</v>
      </c>
      <c r="F186" s="120">
        <f t="shared" si="18"/>
        <v>7925</v>
      </c>
      <c r="G186" s="131" t="s">
        <v>450</v>
      </c>
      <c r="H186" s="163">
        <f t="shared" si="24"/>
        <v>754</v>
      </c>
      <c r="I186" s="163">
        <f>ROUND(C186/1000,0)</f>
        <v>14</v>
      </c>
      <c r="J186" s="163">
        <f>ROUND(D186/1000,0)</f>
        <v>8</v>
      </c>
      <c r="K186" s="494">
        <f t="shared" si="20"/>
        <v>1.0610079575596816</v>
      </c>
      <c r="L186" s="120">
        <f t="shared" si="19"/>
        <v>8</v>
      </c>
    </row>
    <row r="187" spans="1:12" ht="12.75" customHeight="1">
      <c r="A187" s="173" t="s">
        <v>653</v>
      </c>
      <c r="B187" s="163">
        <v>20897</v>
      </c>
      <c r="C187" s="163"/>
      <c r="D187" s="163"/>
      <c r="E187" s="120"/>
      <c r="F187" s="120"/>
      <c r="G187" s="173" t="s">
        <v>653</v>
      </c>
      <c r="H187" s="163">
        <f t="shared" si="24"/>
        <v>21</v>
      </c>
      <c r="I187" s="163"/>
      <c r="J187" s="163"/>
      <c r="K187" s="494"/>
      <c r="L187" s="120"/>
    </row>
    <row r="188" spans="1:12" ht="12.75" customHeight="1">
      <c r="A188" s="131" t="s">
        <v>444</v>
      </c>
      <c r="B188" s="163">
        <v>3000</v>
      </c>
      <c r="C188" s="163"/>
      <c r="D188" s="163"/>
      <c r="E188" s="120"/>
      <c r="F188" s="120"/>
      <c r="G188" s="131" t="s">
        <v>444</v>
      </c>
      <c r="H188" s="163">
        <f t="shared" si="24"/>
        <v>3</v>
      </c>
      <c r="I188" s="163"/>
      <c r="J188" s="163"/>
      <c r="K188" s="494"/>
      <c r="L188" s="120"/>
    </row>
    <row r="189" spans="1:12" ht="12.75" customHeight="1">
      <c r="A189" s="131" t="s">
        <v>316</v>
      </c>
      <c r="B189" s="120">
        <f>B183-B185</f>
        <v>-627422</v>
      </c>
      <c r="C189" s="120"/>
      <c r="D189" s="120">
        <f>D183-D185</f>
        <v>6316</v>
      </c>
      <c r="E189" s="120">
        <f>-D189/B189*100</f>
        <v>1.0066589950623346</v>
      </c>
      <c r="F189" s="120">
        <f t="shared" si="18"/>
        <v>6316</v>
      </c>
      <c r="G189" s="131" t="s">
        <v>316</v>
      </c>
      <c r="H189" s="163">
        <f t="shared" si="24"/>
        <v>-627</v>
      </c>
      <c r="I189" s="163">
        <f>I183-I185</f>
        <v>-4</v>
      </c>
      <c r="J189" s="163">
        <f>J183-J185</f>
        <v>6</v>
      </c>
      <c r="K189" s="494"/>
      <c r="L189" s="120">
        <f t="shared" si="19"/>
        <v>6</v>
      </c>
    </row>
    <row r="190" spans="1:12" ht="12.75" customHeight="1">
      <c r="A190" s="131" t="s">
        <v>646</v>
      </c>
      <c r="B190" s="120">
        <v>628375</v>
      </c>
      <c r="C190" s="120">
        <v>4730</v>
      </c>
      <c r="D190" s="120"/>
      <c r="E190" s="120"/>
      <c r="F190" s="120"/>
      <c r="G190" s="131" t="s">
        <v>646</v>
      </c>
      <c r="H190" s="163">
        <f t="shared" si="24"/>
        <v>628</v>
      </c>
      <c r="I190" s="163">
        <f>ROUND(C190/1000,0)</f>
        <v>5</v>
      </c>
      <c r="J190" s="163"/>
      <c r="K190" s="494"/>
      <c r="L190" s="120"/>
    </row>
    <row r="191" spans="2:12" ht="17.25" customHeight="1">
      <c r="B191" s="45"/>
      <c r="C191" s="45"/>
      <c r="D191" s="45"/>
      <c r="E191" s="45"/>
      <c r="F191" s="45"/>
      <c r="H191" s="45"/>
      <c r="I191" s="45"/>
      <c r="J191" s="45"/>
      <c r="K191" s="45"/>
      <c r="L191" s="45"/>
    </row>
    <row r="192" spans="1:12" ht="17.25" customHeight="1">
      <c r="A192" s="626"/>
      <c r="B192" s="626"/>
      <c r="C192" s="626"/>
      <c r="D192" s="626"/>
      <c r="E192" s="626"/>
      <c r="F192" s="168"/>
      <c r="G192" s="626" t="s">
        <v>681</v>
      </c>
      <c r="H192" s="626"/>
      <c r="I192" s="626"/>
      <c r="J192" s="179">
        <v>3016</v>
      </c>
      <c r="K192" s="626" t="s">
        <v>682</v>
      </c>
      <c r="L192" s="626"/>
    </row>
    <row r="193" spans="3:12" ht="17.25" customHeight="1">
      <c r="C193" s="180"/>
      <c r="D193" s="180"/>
      <c r="E193" s="45"/>
      <c r="F193" s="168"/>
      <c r="I193" s="180"/>
      <c r="J193" s="180"/>
      <c r="K193" s="45"/>
      <c r="L193" s="168"/>
    </row>
    <row r="194" spans="3:12" ht="17.25" customHeight="1">
      <c r="C194" s="168"/>
      <c r="D194" s="168"/>
      <c r="E194" s="5"/>
      <c r="F194" s="168"/>
      <c r="I194" s="168"/>
      <c r="J194" s="168"/>
      <c r="K194" s="5"/>
      <c r="L194" s="168"/>
    </row>
    <row r="195" spans="1:12" ht="17.25" customHeight="1">
      <c r="A195" s="63" t="s">
        <v>408</v>
      </c>
      <c r="B195" s="62"/>
      <c r="C195" s="62"/>
      <c r="D195" s="62" t="s">
        <v>409</v>
      </c>
      <c r="E195" s="33"/>
      <c r="F195" s="168"/>
      <c r="G195" s="181" t="s">
        <v>683</v>
      </c>
      <c r="H195" s="1"/>
      <c r="I195" s="1"/>
      <c r="J195" s="1" t="s">
        <v>296</v>
      </c>
      <c r="K195" s="33"/>
      <c r="L195" s="168"/>
    </row>
    <row r="196" spans="5:12" ht="17.25" customHeight="1">
      <c r="E196" s="168"/>
      <c r="F196" s="168"/>
      <c r="K196" s="168"/>
      <c r="L196" s="168"/>
    </row>
    <row r="197" spans="2:12" ht="17.25" customHeight="1">
      <c r="B197" s="168"/>
      <c r="C197" s="168"/>
      <c r="D197" s="168"/>
      <c r="E197" s="168"/>
      <c r="F197" s="168"/>
      <c r="H197" s="168"/>
      <c r="I197" s="168"/>
      <c r="J197" s="168"/>
      <c r="K197" s="168"/>
      <c r="L197" s="168"/>
    </row>
    <row r="198" spans="1:12" ht="17.25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</row>
    <row r="199" spans="1:12" ht="17.25" customHeight="1">
      <c r="A199" s="182" t="s">
        <v>684</v>
      </c>
      <c r="D199" s="168"/>
      <c r="E199" s="168"/>
      <c r="F199" s="168"/>
      <c r="J199" s="168"/>
      <c r="K199" s="168"/>
      <c r="L199" s="168"/>
    </row>
    <row r="200" spans="1:12" ht="17.25" customHeight="1">
      <c r="A200" s="182" t="s">
        <v>562</v>
      </c>
      <c r="B200" s="168"/>
      <c r="C200" s="168"/>
      <c r="D200" s="168"/>
      <c r="E200" s="168"/>
      <c r="F200" s="168"/>
      <c r="H200" s="168"/>
      <c r="I200" s="168"/>
      <c r="J200" s="168"/>
      <c r="K200" s="168"/>
      <c r="L200" s="168"/>
    </row>
    <row r="201" spans="5:12" ht="17.25" customHeight="1">
      <c r="E201" s="168"/>
      <c r="F201" s="168"/>
      <c r="K201" s="168"/>
      <c r="L201" s="168"/>
    </row>
    <row r="202" spans="1:12" ht="17.25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</row>
    <row r="203" spans="2:12" ht="17.25" customHeight="1">
      <c r="B203" s="168"/>
      <c r="C203" s="168"/>
      <c r="D203" s="168"/>
      <c r="E203" s="168"/>
      <c r="F203" s="168"/>
      <c r="G203" s="182" t="s">
        <v>684</v>
      </c>
      <c r="H203" s="168"/>
      <c r="I203" s="168"/>
      <c r="J203" s="168"/>
      <c r="K203" s="168"/>
      <c r="L203" s="168"/>
    </row>
    <row r="204" spans="4:10" ht="17.25" customHeight="1">
      <c r="D204" s="168"/>
      <c r="G204" s="182" t="s">
        <v>562</v>
      </c>
      <c r="J204" s="168"/>
    </row>
  </sheetData>
  <mergeCells count="9">
    <mergeCell ref="G2:L2"/>
    <mergeCell ref="G4:L4"/>
    <mergeCell ref="G5:L5"/>
    <mergeCell ref="G192:I192"/>
    <mergeCell ref="K192:L192"/>
    <mergeCell ref="A2:F2"/>
    <mergeCell ref="A4:F4"/>
    <mergeCell ref="A5:F5"/>
    <mergeCell ref="A192:E192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portrait" paperSize="9" scale="87" r:id="rId1"/>
  <headerFooter alignWithMargins="0">
    <oddFooter>&amp;R&amp;P</oddFooter>
  </headerFooter>
  <rowBreaks count="3" manualBreakCount="3">
    <brk id="47" max="255" man="1"/>
    <brk id="98" max="255" man="1"/>
    <brk id="1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zoomScale="75" zoomScaleNormal="75" workbookViewId="0" topLeftCell="A42">
      <selection activeCell="D74" sqref="D74"/>
    </sheetView>
  </sheetViews>
  <sheetFormatPr defaultColWidth="9.140625" defaultRowHeight="17.25" customHeight="1"/>
  <cols>
    <col min="1" max="1" width="35.57421875" style="50" customWidth="1"/>
    <col min="2" max="2" width="12.421875" style="50" bestFit="1" customWidth="1"/>
    <col min="3" max="3" width="12.140625" style="50" customWidth="1"/>
    <col min="4" max="4" width="13.140625" style="50" bestFit="1" customWidth="1"/>
    <col min="5" max="5" width="11.28125" style="187" customWidth="1"/>
    <col min="6" max="6" width="11.8515625" style="188" bestFit="1" customWidth="1"/>
    <col min="7" max="7" width="12.00390625" style="50" bestFit="1" customWidth="1"/>
  </cols>
  <sheetData>
    <row r="1" spans="1:7" ht="17.25" customHeight="1">
      <c r="A1" s="183" t="s">
        <v>685</v>
      </c>
      <c r="B1" s="183"/>
      <c r="C1" s="183"/>
      <c r="D1" s="183"/>
      <c r="E1" s="184"/>
      <c r="F1" s="185"/>
      <c r="G1" s="186" t="s">
        <v>686</v>
      </c>
    </row>
    <row r="4" spans="1:7" ht="17.25" customHeight="1">
      <c r="A4" s="627" t="s">
        <v>687</v>
      </c>
      <c r="B4" s="627"/>
      <c r="C4" s="627"/>
      <c r="D4" s="627"/>
      <c r="E4" s="627"/>
      <c r="F4" s="627"/>
      <c r="G4" s="627"/>
    </row>
    <row r="5" spans="1:7" ht="17.25" customHeight="1">
      <c r="A5" s="627" t="s">
        <v>688</v>
      </c>
      <c r="B5" s="627"/>
      <c r="C5" s="627"/>
      <c r="D5" s="627"/>
      <c r="E5" s="627"/>
      <c r="F5" s="627"/>
      <c r="G5" s="627"/>
    </row>
    <row r="6" spans="1:7" ht="17.25" customHeight="1">
      <c r="A6" s="628" t="s">
        <v>301</v>
      </c>
      <c r="B6" s="628"/>
      <c r="C6" s="628"/>
      <c r="D6" s="628"/>
      <c r="E6" s="628"/>
      <c r="F6" s="628"/>
      <c r="G6" s="628"/>
    </row>
    <row r="7" ht="17.25" customHeight="1">
      <c r="G7" s="189" t="s">
        <v>464</v>
      </c>
    </row>
    <row r="8" spans="1:7" ht="72">
      <c r="A8" s="115" t="s">
        <v>191</v>
      </c>
      <c r="B8" s="115" t="s">
        <v>192</v>
      </c>
      <c r="C8" s="115" t="s">
        <v>354</v>
      </c>
      <c r="D8" s="115" t="s">
        <v>193</v>
      </c>
      <c r="E8" s="190" t="s">
        <v>355</v>
      </c>
      <c r="F8" s="191" t="s">
        <v>689</v>
      </c>
      <c r="G8" s="10" t="s">
        <v>690</v>
      </c>
    </row>
    <row r="9" spans="1:7" s="3" customFormat="1" ht="12.75">
      <c r="A9" s="114">
        <v>1</v>
      </c>
      <c r="B9" s="114">
        <v>2</v>
      </c>
      <c r="C9" s="114">
        <v>3</v>
      </c>
      <c r="D9" s="114">
        <v>4</v>
      </c>
      <c r="E9" s="192">
        <v>5</v>
      </c>
      <c r="F9" s="193">
        <v>6</v>
      </c>
      <c r="G9" s="114">
        <v>7</v>
      </c>
    </row>
    <row r="10" spans="1:7" ht="17.25" customHeight="1">
      <c r="A10" s="194" t="s">
        <v>691</v>
      </c>
      <c r="B10" s="195">
        <v>724592</v>
      </c>
      <c r="C10" s="195">
        <v>54497</v>
      </c>
      <c r="D10" s="195">
        <v>55863</v>
      </c>
      <c r="E10" s="495">
        <v>7.7095800119239515</v>
      </c>
      <c r="F10" s="496">
        <v>102.50655999412812</v>
      </c>
      <c r="G10" s="196">
        <v>55863</v>
      </c>
    </row>
    <row r="11" spans="1:7" ht="14.25">
      <c r="A11" s="27" t="s">
        <v>692</v>
      </c>
      <c r="B11" s="197">
        <v>719456</v>
      </c>
      <c r="C11" s="197">
        <v>53816</v>
      </c>
      <c r="D11" s="197">
        <v>55234</v>
      </c>
      <c r="E11" s="496">
        <v>7.677189432015301</v>
      </c>
      <c r="F11" s="496">
        <v>102.63490411773451</v>
      </c>
      <c r="G11" s="196">
        <v>55234</v>
      </c>
    </row>
    <row r="12" spans="1:7" ht="14.25" hidden="1">
      <c r="A12" s="36" t="s">
        <v>693</v>
      </c>
      <c r="B12" s="197">
        <v>0</v>
      </c>
      <c r="C12" s="197">
        <v>0</v>
      </c>
      <c r="D12" s="197">
        <v>0</v>
      </c>
      <c r="E12" s="496" t="e">
        <v>#DIV/0!</v>
      </c>
      <c r="F12" s="496" t="e">
        <v>#DIV/0!</v>
      </c>
      <c r="G12" s="196">
        <v>0</v>
      </c>
    </row>
    <row r="13" spans="1:7" ht="25.5">
      <c r="A13" s="27" t="s">
        <v>310</v>
      </c>
      <c r="B13" s="197">
        <v>3458</v>
      </c>
      <c r="C13" s="197">
        <v>141</v>
      </c>
      <c r="D13" s="197">
        <v>139</v>
      </c>
      <c r="E13" s="496">
        <v>4.019664545980335</v>
      </c>
      <c r="F13" s="496">
        <v>98.58156028368793</v>
      </c>
      <c r="G13" s="196">
        <v>139</v>
      </c>
    </row>
    <row r="14" spans="1:7" ht="14.25">
      <c r="A14" s="27" t="s">
        <v>311</v>
      </c>
      <c r="B14" s="197">
        <v>1678</v>
      </c>
      <c r="C14" s="197">
        <v>540</v>
      </c>
      <c r="D14" s="197">
        <v>490</v>
      </c>
      <c r="E14" s="496">
        <v>29.201430274135877</v>
      </c>
      <c r="F14" s="496">
        <v>90.74074074074075</v>
      </c>
      <c r="G14" s="196">
        <v>490</v>
      </c>
    </row>
    <row r="15" spans="1:7" ht="17.25" customHeight="1">
      <c r="A15" s="194" t="s">
        <v>363</v>
      </c>
      <c r="B15" s="198">
        <v>764220</v>
      </c>
      <c r="C15" s="198">
        <v>64998</v>
      </c>
      <c r="D15" s="198">
        <v>60679</v>
      </c>
      <c r="E15" s="495">
        <v>7.939991102038679</v>
      </c>
      <c r="F15" s="496">
        <v>93.35518015938952</v>
      </c>
      <c r="G15" s="196">
        <v>60679</v>
      </c>
    </row>
    <row r="16" spans="1:7" ht="17.25" customHeight="1">
      <c r="A16" s="200" t="s">
        <v>694</v>
      </c>
      <c r="B16" s="201">
        <v>731792</v>
      </c>
      <c r="C16" s="201">
        <v>60832</v>
      </c>
      <c r="D16" s="201">
        <v>57117</v>
      </c>
      <c r="E16" s="495">
        <v>7.80508669130026</v>
      </c>
      <c r="F16" s="496">
        <v>93.89301683324565</v>
      </c>
      <c r="G16" s="196">
        <v>57117</v>
      </c>
    </row>
    <row r="17" spans="1:7" ht="17.25" customHeight="1">
      <c r="A17" s="200" t="s">
        <v>365</v>
      </c>
      <c r="B17" s="201">
        <v>31048</v>
      </c>
      <c r="C17" s="201">
        <v>2521</v>
      </c>
      <c r="D17" s="201">
        <v>2001</v>
      </c>
      <c r="E17" s="495">
        <v>6.444859572275187</v>
      </c>
      <c r="F17" s="496">
        <v>79.3732645775486</v>
      </c>
      <c r="G17" s="196">
        <v>2001</v>
      </c>
    </row>
    <row r="18" spans="1:7" ht="15">
      <c r="A18" s="131" t="s">
        <v>695</v>
      </c>
      <c r="B18" s="202">
        <v>1553</v>
      </c>
      <c r="C18" s="202">
        <v>133</v>
      </c>
      <c r="D18" s="197">
        <v>64</v>
      </c>
      <c r="E18" s="495">
        <v>4.12105602060528</v>
      </c>
      <c r="F18" s="496">
        <v>48.1203007518797</v>
      </c>
      <c r="G18" s="196">
        <v>64</v>
      </c>
    </row>
    <row r="19" spans="1:7" ht="26.25">
      <c r="A19" s="27" t="s">
        <v>696</v>
      </c>
      <c r="B19" s="203" t="s">
        <v>206</v>
      </c>
      <c r="C19" s="203" t="s">
        <v>206</v>
      </c>
      <c r="D19" s="197">
        <v>12</v>
      </c>
      <c r="E19" s="498" t="s">
        <v>206</v>
      </c>
      <c r="F19" s="497" t="s">
        <v>206</v>
      </c>
      <c r="G19" s="196">
        <v>12</v>
      </c>
    </row>
    <row r="20" spans="1:7" ht="15">
      <c r="A20" s="27" t="s">
        <v>697</v>
      </c>
      <c r="B20" s="203" t="s">
        <v>206</v>
      </c>
      <c r="C20" s="203">
        <v>2388</v>
      </c>
      <c r="D20" s="197">
        <v>1818</v>
      </c>
      <c r="E20" s="495"/>
      <c r="F20" s="496">
        <v>76.13065326633166</v>
      </c>
      <c r="G20" s="196">
        <v>1818</v>
      </c>
    </row>
    <row r="21" spans="1:7" ht="15">
      <c r="A21" s="27" t="s">
        <v>698</v>
      </c>
      <c r="B21" s="203">
        <v>5473</v>
      </c>
      <c r="C21" s="203" t="s">
        <v>206</v>
      </c>
      <c r="D21" s="197">
        <v>107</v>
      </c>
      <c r="E21" s="495">
        <v>1.9550520738169195</v>
      </c>
      <c r="F21" s="497" t="s">
        <v>206</v>
      </c>
      <c r="G21" s="196">
        <v>107</v>
      </c>
    </row>
    <row r="22" spans="1:7" ht="30">
      <c r="A22" s="205" t="s">
        <v>369</v>
      </c>
      <c r="B22" s="195">
        <v>7863</v>
      </c>
      <c r="C22" s="195">
        <v>1424</v>
      </c>
      <c r="D22" s="206">
        <v>1181</v>
      </c>
      <c r="E22" s="495">
        <v>15.019712577896478</v>
      </c>
      <c r="F22" s="496">
        <v>82.93539325842697</v>
      </c>
      <c r="G22" s="196">
        <v>1181</v>
      </c>
    </row>
    <row r="23" spans="1:7" ht="26.25">
      <c r="A23" s="27" t="s">
        <v>699</v>
      </c>
      <c r="B23" s="203" t="s">
        <v>206</v>
      </c>
      <c r="C23" s="203" t="s">
        <v>206</v>
      </c>
      <c r="D23" s="207">
        <v>1181</v>
      </c>
      <c r="E23" s="498" t="s">
        <v>206</v>
      </c>
      <c r="F23" s="497" t="s">
        <v>206</v>
      </c>
      <c r="G23" s="196">
        <v>1181</v>
      </c>
    </row>
    <row r="24" spans="1:7" ht="26.25">
      <c r="A24" s="27" t="s">
        <v>700</v>
      </c>
      <c r="B24" s="203" t="s">
        <v>206</v>
      </c>
      <c r="C24" s="203" t="s">
        <v>206</v>
      </c>
      <c r="D24" s="206">
        <v>0</v>
      </c>
      <c r="E24" s="498" t="s">
        <v>206</v>
      </c>
      <c r="F24" s="497" t="s">
        <v>206</v>
      </c>
      <c r="G24" s="196">
        <v>0</v>
      </c>
    </row>
    <row r="25" spans="1:7" ht="17.25" customHeight="1">
      <c r="A25" s="12" t="s">
        <v>373</v>
      </c>
      <c r="B25" s="199">
        <v>692881</v>
      </c>
      <c r="C25" s="199">
        <v>56888</v>
      </c>
      <c r="D25" s="208">
        <v>53935</v>
      </c>
      <c r="E25" s="495">
        <v>7.784164957618985</v>
      </c>
      <c r="F25" s="496">
        <v>94.8090985796653</v>
      </c>
      <c r="G25" s="196">
        <v>53935</v>
      </c>
    </row>
    <row r="26" spans="1:7" ht="14.25">
      <c r="A26" s="131" t="s">
        <v>701</v>
      </c>
      <c r="B26" s="203" t="s">
        <v>206</v>
      </c>
      <c r="C26" s="203">
        <v>2350</v>
      </c>
      <c r="D26" s="208">
        <v>457</v>
      </c>
      <c r="E26" s="497" t="s">
        <v>206</v>
      </c>
      <c r="F26" s="496">
        <v>19.4468085106383</v>
      </c>
      <c r="G26" s="196">
        <v>457</v>
      </c>
    </row>
    <row r="27" spans="1:7" ht="14.25">
      <c r="A27" s="173" t="s">
        <v>702</v>
      </c>
      <c r="B27" s="203" t="s">
        <v>206</v>
      </c>
      <c r="C27" s="203" t="s">
        <v>206</v>
      </c>
      <c r="D27" s="208">
        <v>326</v>
      </c>
      <c r="E27" s="497" t="s">
        <v>206</v>
      </c>
      <c r="F27" s="497" t="s">
        <v>206</v>
      </c>
      <c r="G27" s="196">
        <v>326</v>
      </c>
    </row>
    <row r="28" spans="1:7" ht="14.25">
      <c r="A28" s="131" t="s">
        <v>703</v>
      </c>
      <c r="B28" s="203" t="s">
        <v>206</v>
      </c>
      <c r="C28" s="203" t="s">
        <v>206</v>
      </c>
      <c r="D28" s="208">
        <v>1412</v>
      </c>
      <c r="E28" s="497" t="s">
        <v>206</v>
      </c>
      <c r="F28" s="497" t="s">
        <v>206</v>
      </c>
      <c r="G28" s="196">
        <v>1412</v>
      </c>
    </row>
    <row r="29" spans="1:7" ht="14.25">
      <c r="A29" s="173" t="s">
        <v>704</v>
      </c>
      <c r="B29" s="203" t="s">
        <v>206</v>
      </c>
      <c r="C29" s="203" t="s">
        <v>206</v>
      </c>
      <c r="D29" s="208">
        <v>912</v>
      </c>
      <c r="E29" s="497" t="s">
        <v>206</v>
      </c>
      <c r="F29" s="497" t="s">
        <v>206</v>
      </c>
      <c r="G29" s="196">
        <v>912</v>
      </c>
    </row>
    <row r="30" spans="1:7" ht="25.5">
      <c r="A30" s="36" t="s">
        <v>705</v>
      </c>
      <c r="B30" s="203" t="s">
        <v>206</v>
      </c>
      <c r="C30" s="203" t="s">
        <v>206</v>
      </c>
      <c r="D30" s="208">
        <v>500</v>
      </c>
      <c r="E30" s="497" t="s">
        <v>206</v>
      </c>
      <c r="F30" s="497" t="s">
        <v>206</v>
      </c>
      <c r="G30" s="196">
        <v>500</v>
      </c>
    </row>
    <row r="31" spans="1:7" ht="14.25">
      <c r="A31" s="209" t="s">
        <v>706</v>
      </c>
      <c r="B31" s="203" t="s">
        <v>206</v>
      </c>
      <c r="C31" s="203" t="s">
        <v>206</v>
      </c>
      <c r="D31" s="208">
        <v>272</v>
      </c>
      <c r="E31" s="497" t="s">
        <v>206</v>
      </c>
      <c r="F31" s="497" t="s">
        <v>206</v>
      </c>
      <c r="G31" s="196">
        <v>272</v>
      </c>
    </row>
    <row r="32" spans="1:7" ht="14.25">
      <c r="A32" s="209" t="s">
        <v>707</v>
      </c>
      <c r="B32" s="203" t="s">
        <v>206</v>
      </c>
      <c r="C32" s="203" t="s">
        <v>206</v>
      </c>
      <c r="D32" s="208">
        <v>228</v>
      </c>
      <c r="E32" s="497" t="s">
        <v>206</v>
      </c>
      <c r="F32" s="497" t="s">
        <v>206</v>
      </c>
      <c r="G32" s="196">
        <v>228</v>
      </c>
    </row>
    <row r="33" spans="1:7" ht="14.25">
      <c r="A33" s="131" t="s">
        <v>708</v>
      </c>
      <c r="B33" s="210" t="s">
        <v>206</v>
      </c>
      <c r="C33" s="210" t="s">
        <v>206</v>
      </c>
      <c r="D33" s="208">
        <v>0</v>
      </c>
      <c r="E33" s="497" t="s">
        <v>206</v>
      </c>
      <c r="F33" s="497" t="s">
        <v>206</v>
      </c>
      <c r="G33" s="196">
        <v>0</v>
      </c>
    </row>
    <row r="34" spans="1:7" ht="26.25">
      <c r="A34" s="27" t="s">
        <v>709</v>
      </c>
      <c r="B34" s="203">
        <v>155179</v>
      </c>
      <c r="C34" s="208">
        <v>11056</v>
      </c>
      <c r="D34" s="208">
        <v>10228</v>
      </c>
      <c r="E34" s="495">
        <v>6.591098022283943</v>
      </c>
      <c r="F34" s="496">
        <v>92.5108538350217</v>
      </c>
      <c r="G34" s="196">
        <v>10228</v>
      </c>
    </row>
    <row r="35" spans="1:7" ht="17.25" customHeight="1">
      <c r="A35" s="27" t="s">
        <v>710</v>
      </c>
      <c r="B35" s="203">
        <v>509376</v>
      </c>
      <c r="C35" s="208">
        <v>43375</v>
      </c>
      <c r="D35" s="208">
        <v>41733</v>
      </c>
      <c r="E35" s="495">
        <v>8.192965510742557</v>
      </c>
      <c r="F35" s="496">
        <v>96.21440922190202</v>
      </c>
      <c r="G35" s="196">
        <v>41733</v>
      </c>
    </row>
    <row r="36" spans="1:7" ht="17.25" customHeight="1">
      <c r="A36" s="211" t="s">
        <v>711</v>
      </c>
      <c r="B36" s="212" t="s">
        <v>206</v>
      </c>
      <c r="C36" s="212" t="s">
        <v>206</v>
      </c>
      <c r="D36" s="197">
        <v>39143</v>
      </c>
      <c r="E36" s="498" t="s">
        <v>206</v>
      </c>
      <c r="F36" s="497" t="s">
        <v>206</v>
      </c>
      <c r="G36" s="196">
        <v>39143</v>
      </c>
    </row>
    <row r="37" spans="1:7" ht="17.25" customHeight="1">
      <c r="A37" s="211" t="s">
        <v>712</v>
      </c>
      <c r="B37" s="212" t="s">
        <v>206</v>
      </c>
      <c r="C37" s="212" t="s">
        <v>206</v>
      </c>
      <c r="D37" s="197">
        <v>2502</v>
      </c>
      <c r="E37" s="498" t="s">
        <v>206</v>
      </c>
      <c r="F37" s="497" t="s">
        <v>206</v>
      </c>
      <c r="G37" s="196">
        <v>2502</v>
      </c>
    </row>
    <row r="38" spans="1:7" ht="17.25" customHeight="1">
      <c r="A38" s="211" t="s">
        <v>713</v>
      </c>
      <c r="B38" s="212" t="s">
        <v>206</v>
      </c>
      <c r="C38" s="212" t="s">
        <v>206</v>
      </c>
      <c r="D38" s="197">
        <v>52</v>
      </c>
      <c r="E38" s="498" t="s">
        <v>206</v>
      </c>
      <c r="F38" s="497" t="s">
        <v>206</v>
      </c>
      <c r="G38" s="196">
        <v>52</v>
      </c>
    </row>
    <row r="39" spans="1:7" ht="17.25" customHeight="1">
      <c r="A39" s="211" t="s">
        <v>714</v>
      </c>
      <c r="B39" s="212" t="s">
        <v>206</v>
      </c>
      <c r="C39" s="212" t="s">
        <v>206</v>
      </c>
      <c r="D39" s="213">
        <v>36</v>
      </c>
      <c r="E39" s="498" t="s">
        <v>206</v>
      </c>
      <c r="F39" s="497" t="s">
        <v>206</v>
      </c>
      <c r="G39" s="196">
        <v>36</v>
      </c>
    </row>
    <row r="40" spans="1:7" ht="26.25">
      <c r="A40" s="27" t="s">
        <v>715</v>
      </c>
      <c r="B40" s="214">
        <v>85</v>
      </c>
      <c r="C40" s="214">
        <v>6</v>
      </c>
      <c r="D40" s="214">
        <v>5</v>
      </c>
      <c r="E40" s="495">
        <v>5.88235294117647</v>
      </c>
      <c r="F40" s="496">
        <v>83.33333333333334</v>
      </c>
      <c r="G40" s="196">
        <v>5</v>
      </c>
    </row>
    <row r="41" spans="1:7" ht="39">
      <c r="A41" s="27" t="s">
        <v>716</v>
      </c>
      <c r="B41" s="214">
        <v>1201</v>
      </c>
      <c r="C41" s="212">
        <v>100</v>
      </c>
      <c r="D41" s="197">
        <v>100</v>
      </c>
      <c r="E41" s="495">
        <v>8.32639467110741</v>
      </c>
      <c r="F41" s="499">
        <v>100</v>
      </c>
      <c r="G41" s="196">
        <v>100</v>
      </c>
    </row>
    <row r="42" spans="1:7" ht="17.25" customHeight="1">
      <c r="A42" s="215" t="s">
        <v>717</v>
      </c>
      <c r="B42" s="216">
        <v>32428</v>
      </c>
      <c r="C42" s="216">
        <v>4166</v>
      </c>
      <c r="D42" s="216">
        <v>3562</v>
      </c>
      <c r="E42" s="495">
        <v>10.984334525718515</v>
      </c>
      <c r="F42" s="496">
        <v>85.50168026884302</v>
      </c>
      <c r="G42" s="196">
        <v>3562</v>
      </c>
    </row>
    <row r="43" spans="1:7" ht="15">
      <c r="A43" s="27" t="s">
        <v>718</v>
      </c>
      <c r="B43" s="202">
        <v>11728</v>
      </c>
      <c r="C43" s="202">
        <v>3591</v>
      </c>
      <c r="D43" s="197">
        <v>3177</v>
      </c>
      <c r="E43" s="495">
        <v>27.08901773533424</v>
      </c>
      <c r="F43" s="496">
        <v>88.47117794486216</v>
      </c>
      <c r="G43" s="196">
        <v>3177</v>
      </c>
    </row>
    <row r="44" spans="1:7" ht="15">
      <c r="A44" s="27" t="s">
        <v>719</v>
      </c>
      <c r="B44" s="202">
        <v>20700</v>
      </c>
      <c r="C44" s="202">
        <v>575</v>
      </c>
      <c r="D44" s="197">
        <v>385</v>
      </c>
      <c r="E44" s="495">
        <v>1.859903381642512</v>
      </c>
      <c r="F44" s="496">
        <v>66.95652173913044</v>
      </c>
      <c r="G44" s="196">
        <v>385</v>
      </c>
    </row>
    <row r="45" spans="1:7" ht="30">
      <c r="A45" s="205" t="s">
        <v>720</v>
      </c>
      <c r="B45" s="201">
        <v>6699</v>
      </c>
      <c r="C45" s="217" t="s">
        <v>206</v>
      </c>
      <c r="D45" s="201">
        <v>468</v>
      </c>
      <c r="E45" s="495">
        <v>6.986117330944917</v>
      </c>
      <c r="F45" s="497" t="s">
        <v>206</v>
      </c>
      <c r="G45" s="196">
        <v>468</v>
      </c>
    </row>
    <row r="46" spans="1:7" ht="15">
      <c r="A46" s="131" t="s">
        <v>721</v>
      </c>
      <c r="B46" s="217" t="s">
        <v>206</v>
      </c>
      <c r="C46" s="197">
        <v>538</v>
      </c>
      <c r="D46" s="197">
        <v>476</v>
      </c>
      <c r="E46" s="495"/>
      <c r="F46" s="496">
        <v>88.47583643122677</v>
      </c>
      <c r="G46" s="196">
        <v>476</v>
      </c>
    </row>
    <row r="47" spans="1:7" ht="26.25">
      <c r="A47" s="218" t="s">
        <v>722</v>
      </c>
      <c r="B47" s="217" t="s">
        <v>206</v>
      </c>
      <c r="C47" s="197">
        <v>18</v>
      </c>
      <c r="D47" s="197">
        <v>8</v>
      </c>
      <c r="E47" s="495"/>
      <c r="F47" s="496">
        <v>45</v>
      </c>
      <c r="G47" s="196">
        <v>8</v>
      </c>
    </row>
    <row r="48" spans="1:7" ht="17.25" customHeight="1">
      <c r="A48" s="205" t="s">
        <v>723</v>
      </c>
      <c r="B48" s="216">
        <v>-46327</v>
      </c>
      <c r="C48" s="217" t="s">
        <v>206</v>
      </c>
      <c r="D48" s="216">
        <v>-5284</v>
      </c>
      <c r="E48" s="495">
        <v>11.405875623286637</v>
      </c>
      <c r="F48" s="497" t="s">
        <v>206</v>
      </c>
      <c r="G48" s="196">
        <v>-5284</v>
      </c>
    </row>
    <row r="49" spans="1:7" ht="17.25" customHeight="1">
      <c r="A49" s="205" t="s">
        <v>404</v>
      </c>
      <c r="B49" s="201">
        <v>46327</v>
      </c>
      <c r="C49" s="203" t="s">
        <v>206</v>
      </c>
      <c r="D49" s="201">
        <v>5284</v>
      </c>
      <c r="E49" s="495"/>
      <c r="F49" s="497" t="s">
        <v>206</v>
      </c>
      <c r="G49" s="196">
        <v>5284</v>
      </c>
    </row>
    <row r="50" spans="1:7" ht="17.25" customHeight="1">
      <c r="A50" s="27" t="s">
        <v>724</v>
      </c>
      <c r="B50" s="197">
        <v>48698</v>
      </c>
      <c r="C50" s="203">
        <v>2988</v>
      </c>
      <c r="D50" s="197">
        <v>8256</v>
      </c>
      <c r="E50" s="495">
        <v>16.95346831492053</v>
      </c>
      <c r="F50" s="496">
        <v>277</v>
      </c>
      <c r="G50" s="196">
        <v>8256</v>
      </c>
    </row>
    <row r="51" spans="1:7" ht="39">
      <c r="A51" s="27" t="s">
        <v>725</v>
      </c>
      <c r="B51" s="197">
        <v>-2371</v>
      </c>
      <c r="C51" s="204" t="s">
        <v>206</v>
      </c>
      <c r="D51" s="197">
        <v>-2972</v>
      </c>
      <c r="E51" s="495">
        <v>125.34795444959931</v>
      </c>
      <c r="F51" s="497" t="s">
        <v>206</v>
      </c>
      <c r="G51" s="196">
        <v>-2972</v>
      </c>
    </row>
    <row r="52" spans="1:7" ht="17.25" customHeight="1">
      <c r="A52" s="219"/>
      <c r="B52" s="220"/>
      <c r="C52" s="220"/>
      <c r="D52" s="221"/>
      <c r="E52" s="222"/>
      <c r="F52" s="223"/>
      <c r="G52" s="43"/>
    </row>
    <row r="53" spans="1:7" ht="14.25" hidden="1">
      <c r="A53" s="224" t="s">
        <v>726</v>
      </c>
      <c r="B53" s="220"/>
      <c r="C53" s="220"/>
      <c r="D53" s="221"/>
      <c r="E53" s="222"/>
      <c r="F53" s="223"/>
      <c r="G53" s="43"/>
    </row>
    <row r="54" spans="1:7" ht="12.75" hidden="1">
      <c r="A54" s="27" t="s">
        <v>727</v>
      </c>
      <c r="B54" s="210"/>
      <c r="C54" s="210"/>
      <c r="D54" s="165"/>
      <c r="E54" s="225"/>
      <c r="F54" s="204"/>
      <c r="G54" s="18"/>
    </row>
    <row r="55" spans="1:7" ht="12.75" hidden="1">
      <c r="A55" s="18" t="s">
        <v>447</v>
      </c>
      <c r="B55" s="210"/>
      <c r="C55" s="210"/>
      <c r="D55" s="165"/>
      <c r="E55" s="225"/>
      <c r="F55" s="204"/>
      <c r="G55" s="18"/>
    </row>
    <row r="56" spans="1:7" ht="25.5" hidden="1">
      <c r="A56" s="27" t="s">
        <v>728</v>
      </c>
      <c r="B56" s="210"/>
      <c r="C56" s="210"/>
      <c r="D56" s="165"/>
      <c r="E56" s="225"/>
      <c r="F56" s="204"/>
      <c r="G56" s="18"/>
    </row>
    <row r="57" spans="1:7" ht="17.25" customHeight="1">
      <c r="A57" s="43"/>
      <c r="B57" s="220"/>
      <c r="C57" s="220"/>
      <c r="D57" s="221"/>
      <c r="E57" s="222"/>
      <c r="F57" s="223"/>
      <c r="G57" s="43"/>
    </row>
    <row r="58" spans="1:7" ht="17.25" customHeight="1">
      <c r="A58" s="3"/>
      <c r="B58" s="226"/>
      <c r="C58" s="226"/>
      <c r="D58" s="65"/>
      <c r="E58" s="222"/>
      <c r="F58" s="227"/>
      <c r="G58" s="3"/>
    </row>
    <row r="59" spans="2:7" ht="17.25" customHeight="1">
      <c r="B59" s="226"/>
      <c r="C59" s="226"/>
      <c r="D59" s="65"/>
      <c r="E59" s="228"/>
      <c r="F59" s="227"/>
      <c r="G59" s="3"/>
    </row>
    <row r="60" spans="2:7" ht="17.25" customHeight="1">
      <c r="B60" s="3"/>
      <c r="C60" s="3"/>
      <c r="D60" s="3"/>
      <c r="E60" s="229"/>
      <c r="F60" s="230"/>
      <c r="G60" s="3"/>
    </row>
    <row r="61" spans="2:7" ht="17.25" customHeight="1">
      <c r="B61" s="226"/>
      <c r="C61" s="231"/>
      <c r="D61" s="65"/>
      <c r="E61" s="231"/>
      <c r="F61" s="227"/>
      <c r="G61" s="3"/>
    </row>
    <row r="62" spans="2:6" ht="17.25" customHeight="1">
      <c r="B62" s="67"/>
      <c r="C62" s="67"/>
      <c r="E62" s="232"/>
      <c r="F62" s="233"/>
    </row>
    <row r="63" spans="2:6" ht="17.25" customHeight="1">
      <c r="B63" s="67"/>
      <c r="C63" s="67"/>
      <c r="E63" s="232"/>
      <c r="F63" s="233"/>
    </row>
    <row r="64" spans="1:6" ht="17.25" customHeight="1">
      <c r="A64" s="181" t="s">
        <v>683</v>
      </c>
      <c r="B64" s="1"/>
      <c r="C64" s="1"/>
      <c r="D64" s="1" t="s">
        <v>296</v>
      </c>
      <c r="E64" s="231"/>
      <c r="F64" s="233"/>
    </row>
    <row r="65" spans="1:6" ht="17.25" customHeight="1">
      <c r="A65" s="3"/>
      <c r="B65" s="3"/>
      <c r="C65" s="3"/>
      <c r="D65" s="3"/>
      <c r="E65" s="232"/>
      <c r="F65" s="233"/>
    </row>
    <row r="66" spans="2:6" ht="17.25" customHeight="1">
      <c r="B66" s="235"/>
      <c r="C66" s="232"/>
      <c r="D66" s="236"/>
      <c r="E66" s="232"/>
      <c r="F66" s="233"/>
    </row>
    <row r="67" spans="2:6" ht="17.25" customHeight="1">
      <c r="B67" s="67"/>
      <c r="C67" s="67"/>
      <c r="E67" s="232"/>
      <c r="F67" s="233"/>
    </row>
    <row r="68" spans="2:6" ht="17.25" customHeight="1">
      <c r="B68" s="67"/>
      <c r="C68" s="67"/>
      <c r="E68" s="232"/>
      <c r="F68" s="233"/>
    </row>
    <row r="69" spans="5:6" ht="17.25" customHeight="1">
      <c r="E69" s="232"/>
      <c r="F69" s="233"/>
    </row>
    <row r="70" spans="1:6" ht="17.25" customHeight="1">
      <c r="A70" s="234"/>
      <c r="E70" s="232"/>
      <c r="F70" s="233"/>
    </row>
    <row r="71" spans="5:6" ht="17.25" customHeight="1">
      <c r="E71" s="232"/>
      <c r="F71" s="233"/>
    </row>
    <row r="72" spans="5:6" ht="17.25" customHeight="1">
      <c r="E72" s="232"/>
      <c r="F72" s="233"/>
    </row>
    <row r="79" ht="17.25" customHeight="1">
      <c r="A79" s="50" t="s">
        <v>684</v>
      </c>
    </row>
    <row r="80" ht="17.25" customHeight="1">
      <c r="A80" s="50" t="s">
        <v>729</v>
      </c>
    </row>
    <row r="91" ht="17.25" customHeight="1">
      <c r="A91" s="33"/>
    </row>
    <row r="92" ht="17.25" customHeight="1">
      <c r="A92" s="33"/>
    </row>
  </sheetData>
  <mergeCells count="3">
    <mergeCell ref="A4:G4"/>
    <mergeCell ref="A5:G5"/>
    <mergeCell ref="A6:G6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portrait" paperSize="9" scale="76" r:id="rId1"/>
  <headerFooter alignWithMargins="0">
    <oddFooter>&amp;R&amp;P</oddFooter>
  </headerFooter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2:N107"/>
  <sheetViews>
    <sheetView zoomScale="75" zoomScaleNormal="75" workbookViewId="0" topLeftCell="G1">
      <selection activeCell="C58" sqref="C58"/>
    </sheetView>
  </sheetViews>
  <sheetFormatPr defaultColWidth="9.140625" defaultRowHeight="17.25" customHeight="1"/>
  <cols>
    <col min="1" max="1" width="46.8515625" style="43" customWidth="1"/>
    <col min="2" max="2" width="10.8515625" style="43" customWidth="1"/>
    <col min="3" max="3" width="13.140625" style="43" bestFit="1" customWidth="1"/>
    <col min="4" max="4" width="11.7109375" style="43" customWidth="1"/>
    <col min="5" max="5" width="8.7109375" style="43" bestFit="1" customWidth="1"/>
    <col min="6" max="6" width="11.57421875" style="43" bestFit="1" customWidth="1"/>
    <col min="7" max="7" width="42.7109375" style="43" customWidth="1"/>
    <col min="8" max="8" width="9.7109375" style="43" customWidth="1"/>
    <col min="9" max="9" width="12.7109375" style="43" customWidth="1"/>
    <col min="10" max="10" width="9.421875" style="43" customWidth="1"/>
    <col min="11" max="11" width="8.7109375" style="43" customWidth="1"/>
    <col min="12" max="12" width="10.140625" style="43" customWidth="1"/>
  </cols>
  <sheetData>
    <row r="2" spans="1:12" ht="17.25" customHeight="1">
      <c r="A2" s="43" t="s">
        <v>730</v>
      </c>
      <c r="F2" s="237" t="s">
        <v>731</v>
      </c>
      <c r="G2" s="43" t="s">
        <v>730</v>
      </c>
      <c r="L2" s="237" t="s">
        <v>731</v>
      </c>
    </row>
    <row r="4" spans="1:12" ht="17.25" customHeight="1">
      <c r="A4" s="629" t="s">
        <v>732</v>
      </c>
      <c r="B4" s="629"/>
      <c r="C4" s="629"/>
      <c r="D4" s="629"/>
      <c r="E4" s="629"/>
      <c r="F4" s="629"/>
      <c r="G4" s="629" t="s">
        <v>732</v>
      </c>
      <c r="H4" s="629"/>
      <c r="I4" s="629"/>
      <c r="J4" s="629"/>
      <c r="K4" s="629"/>
      <c r="L4" s="629"/>
    </row>
    <row r="5" spans="1:12" ht="17.25" customHeight="1">
      <c r="A5" s="629" t="s">
        <v>301</v>
      </c>
      <c r="B5" s="629"/>
      <c r="C5" s="629"/>
      <c r="D5" s="629"/>
      <c r="E5" s="629"/>
      <c r="F5" s="629"/>
      <c r="G5" s="630" t="s">
        <v>301</v>
      </c>
      <c r="H5" s="630"/>
      <c r="I5" s="630"/>
      <c r="J5" s="630"/>
      <c r="K5" s="630"/>
      <c r="L5" s="630"/>
    </row>
    <row r="6" spans="6:12" ht="17.25" customHeight="1">
      <c r="F6" s="237" t="s">
        <v>436</v>
      </c>
      <c r="L6" s="237" t="s">
        <v>190</v>
      </c>
    </row>
    <row r="7" spans="1:12" ht="51">
      <c r="A7" s="170" t="s">
        <v>191</v>
      </c>
      <c r="B7" s="114" t="s">
        <v>414</v>
      </c>
      <c r="C7" s="114" t="s">
        <v>192</v>
      </c>
      <c r="D7" s="114" t="s">
        <v>193</v>
      </c>
      <c r="E7" s="114" t="s">
        <v>415</v>
      </c>
      <c r="F7" s="114" t="s">
        <v>440</v>
      </c>
      <c r="G7" s="170" t="s">
        <v>191</v>
      </c>
      <c r="H7" s="114" t="s">
        <v>414</v>
      </c>
      <c r="I7" s="114" t="s">
        <v>192</v>
      </c>
      <c r="J7" s="114" t="s">
        <v>193</v>
      </c>
      <c r="K7" s="114" t="s">
        <v>415</v>
      </c>
      <c r="L7" s="114" t="s">
        <v>440</v>
      </c>
    </row>
    <row r="8" spans="1:12" ht="17.25" customHeight="1">
      <c r="A8" s="170">
        <v>1</v>
      </c>
      <c r="B8" s="170">
        <v>2</v>
      </c>
      <c r="C8" s="114">
        <v>3</v>
      </c>
      <c r="D8" s="114">
        <v>4</v>
      </c>
      <c r="E8" s="114">
        <v>5</v>
      </c>
      <c r="F8" s="164">
        <v>6</v>
      </c>
      <c r="G8" s="170">
        <v>1</v>
      </c>
      <c r="H8" s="170">
        <v>2</v>
      </c>
      <c r="I8" s="114">
        <v>3</v>
      </c>
      <c r="J8" s="114">
        <v>4</v>
      </c>
      <c r="K8" s="114">
        <v>5</v>
      </c>
      <c r="L8" s="164">
        <v>6</v>
      </c>
    </row>
    <row r="9" spans="1:14" ht="17.25" customHeight="1">
      <c r="A9" s="77" t="s">
        <v>416</v>
      </c>
      <c r="B9" s="122"/>
      <c r="C9" s="238">
        <f>SUM(C10:C23)</f>
        <v>777618089</v>
      </c>
      <c r="D9" s="238">
        <f>SUM(D10:D13,D15:D24)</f>
        <v>61146459</v>
      </c>
      <c r="E9" s="239">
        <f>D9/C9*100</f>
        <v>7.863302032831183</v>
      </c>
      <c r="F9" s="238">
        <f>D9</f>
        <v>61146459</v>
      </c>
      <c r="G9" s="124" t="s">
        <v>416</v>
      </c>
      <c r="H9" s="164"/>
      <c r="I9" s="238">
        <f>ROUND(C9/1000,0)-6699</f>
        <v>770919</v>
      </c>
      <c r="J9" s="238">
        <f>SUM(J10:J13,J15:J24)</f>
        <v>61147</v>
      </c>
      <c r="K9" s="239">
        <f>J9/I9*100</f>
        <v>7.931702292977602</v>
      </c>
      <c r="L9" s="238">
        <f>SUM(L10:L24)-468</f>
        <v>61147</v>
      </c>
      <c r="N9" s="240"/>
    </row>
    <row r="10" spans="1:14" ht="17.25" customHeight="1">
      <c r="A10" s="131" t="s">
        <v>417</v>
      </c>
      <c r="B10" s="162">
        <v>1</v>
      </c>
      <c r="C10" s="172">
        <v>756987</v>
      </c>
      <c r="D10" s="240">
        <f>'[1]Janvāris'!$P$7</f>
        <v>7925</v>
      </c>
      <c r="E10" s="239">
        <f aca="true" t="shared" si="0" ref="E10:E23">D10/C10*100</f>
        <v>1.0469136193884439</v>
      </c>
      <c r="F10" s="238">
        <f aca="true" t="shared" si="1" ref="F10:F24">D10</f>
        <v>7925</v>
      </c>
      <c r="G10" s="131" t="s">
        <v>417</v>
      </c>
      <c r="H10" s="162">
        <v>1</v>
      </c>
      <c r="I10" s="240">
        <f aca="true" t="shared" si="2" ref="I10:I24">ROUND(C10/1000,0)</f>
        <v>757</v>
      </c>
      <c r="J10" s="240">
        <f aca="true" t="shared" si="3" ref="J10:J23">ROUND(D10/1000,0)</f>
        <v>8</v>
      </c>
      <c r="K10" s="241">
        <f>J10/I10*100</f>
        <v>1.0568031704095113</v>
      </c>
      <c r="L10" s="240">
        <f aca="true" t="shared" si="4" ref="L10:L24">J10</f>
        <v>8</v>
      </c>
      <c r="N10" s="240"/>
    </row>
    <row r="11" spans="1:14" ht="17.25" customHeight="1">
      <c r="A11" s="18" t="s">
        <v>418</v>
      </c>
      <c r="B11" s="162">
        <v>2</v>
      </c>
      <c r="C11" s="172"/>
      <c r="D11" s="240"/>
      <c r="E11" s="239"/>
      <c r="F11" s="238">
        <f t="shared" si="1"/>
        <v>0</v>
      </c>
      <c r="G11" s="18" t="s">
        <v>418</v>
      </c>
      <c r="H11" s="162">
        <v>2</v>
      </c>
      <c r="I11" s="240">
        <f t="shared" si="2"/>
        <v>0</v>
      </c>
      <c r="J11" s="240">
        <f t="shared" si="3"/>
        <v>0</v>
      </c>
      <c r="K11" s="241"/>
      <c r="L11" s="240">
        <f t="shared" si="4"/>
        <v>0</v>
      </c>
      <c r="N11" s="240"/>
    </row>
    <row r="12" spans="1:14" ht="28.5" customHeight="1">
      <c r="A12" s="27" t="s">
        <v>419</v>
      </c>
      <c r="B12" s="162">
        <v>3</v>
      </c>
      <c r="C12" s="172"/>
      <c r="D12" s="240"/>
      <c r="E12" s="239"/>
      <c r="F12" s="238">
        <f t="shared" si="1"/>
        <v>0</v>
      </c>
      <c r="G12" s="27" t="s">
        <v>419</v>
      </c>
      <c r="H12" s="162">
        <v>3</v>
      </c>
      <c r="I12" s="240">
        <f t="shared" si="2"/>
        <v>0</v>
      </c>
      <c r="J12" s="240">
        <f t="shared" si="3"/>
        <v>0</v>
      </c>
      <c r="K12" s="241"/>
      <c r="L12" s="240">
        <f t="shared" si="4"/>
        <v>0</v>
      </c>
      <c r="N12" s="240"/>
    </row>
    <row r="13" spans="1:14" ht="17.25" customHeight="1">
      <c r="A13" s="18" t="s">
        <v>733</v>
      </c>
      <c r="B13" s="162">
        <v>4</v>
      </c>
      <c r="C13" s="172">
        <f>1238299+C14</f>
        <v>7937502</v>
      </c>
      <c r="D13" s="240">
        <f>'[1]Janvāris'!$O$7+D14</f>
        <v>721124</v>
      </c>
      <c r="E13" s="239">
        <f t="shared" si="0"/>
        <v>9.085024482513516</v>
      </c>
      <c r="F13" s="238">
        <f t="shared" si="1"/>
        <v>721124</v>
      </c>
      <c r="G13" s="18" t="s">
        <v>734</v>
      </c>
      <c r="H13" s="162">
        <v>4</v>
      </c>
      <c r="I13" s="240">
        <f>ROUND(C13/1000,0)-1</f>
        <v>7937</v>
      </c>
      <c r="J13" s="240">
        <f t="shared" si="3"/>
        <v>721</v>
      </c>
      <c r="K13" s="241">
        <f aca="true" t="shared" si="5" ref="K13:K18">J13/I13*100</f>
        <v>9.084036789719036</v>
      </c>
      <c r="L13" s="240">
        <f t="shared" si="4"/>
        <v>721</v>
      </c>
      <c r="N13" s="240"/>
    </row>
    <row r="14" spans="1:14" ht="17.25" customHeight="1">
      <c r="A14" s="242" t="s">
        <v>735</v>
      </c>
      <c r="B14" s="162"/>
      <c r="C14" s="172">
        <v>6699203</v>
      </c>
      <c r="D14" s="240">
        <f>'[1]Janvāris'!$O$33</f>
        <v>468391</v>
      </c>
      <c r="E14" s="239"/>
      <c r="F14" s="238"/>
      <c r="G14" s="242" t="s">
        <v>735</v>
      </c>
      <c r="H14" s="162"/>
      <c r="I14" s="240">
        <f t="shared" si="2"/>
        <v>6699</v>
      </c>
      <c r="J14" s="240">
        <f t="shared" si="3"/>
        <v>468</v>
      </c>
      <c r="K14" s="241">
        <f t="shared" si="5"/>
        <v>6.986117330944917</v>
      </c>
      <c r="L14" s="240">
        <f t="shared" si="4"/>
        <v>468</v>
      </c>
      <c r="N14" s="240"/>
    </row>
    <row r="15" spans="1:14" ht="17.25" customHeight="1">
      <c r="A15" s="18" t="s">
        <v>421</v>
      </c>
      <c r="B15" s="162">
        <v>5</v>
      </c>
      <c r="C15" s="172">
        <v>141458002</v>
      </c>
      <c r="D15" s="243">
        <f>'[1]Janvāris'!$D$7</f>
        <v>9705738</v>
      </c>
      <c r="E15" s="239">
        <f t="shared" si="0"/>
        <v>6.861215246062927</v>
      </c>
      <c r="F15" s="238">
        <f t="shared" si="1"/>
        <v>9705738</v>
      </c>
      <c r="G15" s="18" t="s">
        <v>421</v>
      </c>
      <c r="H15" s="162">
        <v>5</v>
      </c>
      <c r="I15" s="240">
        <f t="shared" si="2"/>
        <v>141458</v>
      </c>
      <c r="J15" s="240">
        <f t="shared" si="3"/>
        <v>9706</v>
      </c>
      <c r="K15" s="241">
        <f t="shared" si="5"/>
        <v>6.861400557055805</v>
      </c>
      <c r="L15" s="240">
        <f t="shared" si="4"/>
        <v>9706</v>
      </c>
      <c r="N15" s="240"/>
    </row>
    <row r="16" spans="1:14" ht="28.5" customHeight="1">
      <c r="A16" s="27" t="s">
        <v>422</v>
      </c>
      <c r="B16" s="162">
        <v>6</v>
      </c>
      <c r="C16" s="172">
        <v>531273828</v>
      </c>
      <c r="D16" s="243">
        <f>'[1]Janvāris'!$C$7</f>
        <v>43403467</v>
      </c>
      <c r="E16" s="239">
        <f t="shared" si="0"/>
        <v>8.169697943411585</v>
      </c>
      <c r="F16" s="238">
        <f t="shared" si="1"/>
        <v>43403467</v>
      </c>
      <c r="G16" s="27" t="s">
        <v>422</v>
      </c>
      <c r="H16" s="162">
        <v>6</v>
      </c>
      <c r="I16" s="240">
        <f t="shared" si="2"/>
        <v>531274</v>
      </c>
      <c r="J16" s="240">
        <f t="shared" si="3"/>
        <v>43403</v>
      </c>
      <c r="K16" s="241">
        <f t="shared" si="5"/>
        <v>8.169607396559968</v>
      </c>
      <c r="L16" s="240">
        <f t="shared" si="4"/>
        <v>43403</v>
      </c>
      <c r="N16" s="240"/>
    </row>
    <row r="17" spans="1:14" ht="26.25" customHeight="1">
      <c r="A17" s="27" t="s">
        <v>423</v>
      </c>
      <c r="B17" s="162">
        <v>7</v>
      </c>
      <c r="C17" s="172">
        <v>9370924</v>
      </c>
      <c r="D17" s="243">
        <f>'[1]Janvāris'!$E$7</f>
        <v>122313</v>
      </c>
      <c r="E17" s="239">
        <f t="shared" si="0"/>
        <v>1.3052394833209617</v>
      </c>
      <c r="F17" s="238">
        <f t="shared" si="1"/>
        <v>122313</v>
      </c>
      <c r="G17" s="27" t="s">
        <v>423</v>
      </c>
      <c r="H17" s="162">
        <v>7</v>
      </c>
      <c r="I17" s="240">
        <f t="shared" si="2"/>
        <v>9371</v>
      </c>
      <c r="J17" s="240">
        <f t="shared" si="3"/>
        <v>122</v>
      </c>
      <c r="K17" s="241">
        <f t="shared" si="5"/>
        <v>1.3018888058905134</v>
      </c>
      <c r="L17" s="240">
        <f t="shared" si="4"/>
        <v>122</v>
      </c>
      <c r="N17" s="240"/>
    </row>
    <row r="18" spans="1:14" ht="17.25" customHeight="1">
      <c r="A18" s="18" t="s">
        <v>424</v>
      </c>
      <c r="B18" s="162">
        <v>8</v>
      </c>
      <c r="C18" s="172">
        <f>1508663+2272860</f>
        <v>3781523</v>
      </c>
      <c r="D18" s="243">
        <f>'[1]Janvāris'!$N$7+'[1]Janvāris'!$Q$7</f>
        <v>365835</v>
      </c>
      <c r="E18" s="239">
        <f t="shared" si="0"/>
        <v>9.674276739821495</v>
      </c>
      <c r="F18" s="238">
        <f t="shared" si="1"/>
        <v>365835</v>
      </c>
      <c r="G18" s="18" t="s">
        <v>424</v>
      </c>
      <c r="H18" s="162">
        <v>8</v>
      </c>
      <c r="I18" s="240">
        <f t="shared" si="2"/>
        <v>3782</v>
      </c>
      <c r="J18" s="240">
        <f t="shared" si="3"/>
        <v>366</v>
      </c>
      <c r="K18" s="241">
        <f t="shared" si="5"/>
        <v>9.67741935483871</v>
      </c>
      <c r="L18" s="240">
        <f t="shared" si="4"/>
        <v>366</v>
      </c>
      <c r="N18" s="240"/>
    </row>
    <row r="19" spans="1:14" ht="17.25" customHeight="1">
      <c r="A19" s="18" t="s">
        <v>425</v>
      </c>
      <c r="B19" s="162">
        <v>9</v>
      </c>
      <c r="C19" s="172"/>
      <c r="D19" s="243"/>
      <c r="E19" s="239"/>
      <c r="F19" s="238">
        <f t="shared" si="1"/>
        <v>0</v>
      </c>
      <c r="G19" s="18" t="s">
        <v>425</v>
      </c>
      <c r="H19" s="162">
        <v>9</v>
      </c>
      <c r="I19" s="240">
        <f t="shared" si="2"/>
        <v>0</v>
      </c>
      <c r="J19" s="240">
        <f t="shared" si="3"/>
        <v>0</v>
      </c>
      <c r="K19" s="241"/>
      <c r="L19" s="240">
        <f t="shared" si="4"/>
        <v>0</v>
      </c>
      <c r="N19" s="240"/>
    </row>
    <row r="20" spans="1:14" ht="25.5">
      <c r="A20" s="27" t="s">
        <v>426</v>
      </c>
      <c r="B20" s="244">
        <v>10</v>
      </c>
      <c r="C20" s="172">
        <v>500000</v>
      </c>
      <c r="D20" s="243">
        <f>'[1]Janvāris'!$L$7</f>
        <v>6499</v>
      </c>
      <c r="E20" s="239">
        <f t="shared" si="0"/>
        <v>1.2997999999999998</v>
      </c>
      <c r="F20" s="238">
        <f t="shared" si="1"/>
        <v>6499</v>
      </c>
      <c r="G20" s="27" t="s">
        <v>426</v>
      </c>
      <c r="H20" s="244">
        <v>10</v>
      </c>
      <c r="I20" s="240">
        <f t="shared" si="2"/>
        <v>500</v>
      </c>
      <c r="J20" s="240">
        <f>ROUND(D20/1000,0)+1</f>
        <v>7</v>
      </c>
      <c r="K20" s="241">
        <f>J20/I20*100</f>
        <v>1.4000000000000001</v>
      </c>
      <c r="L20" s="240">
        <f t="shared" si="4"/>
        <v>7</v>
      </c>
      <c r="N20" s="240"/>
    </row>
    <row r="21" spans="1:14" ht="25.5">
      <c r="A21" s="27" t="s">
        <v>427</v>
      </c>
      <c r="B21" s="244">
        <v>11</v>
      </c>
      <c r="C21" s="172"/>
      <c r="D21" s="243"/>
      <c r="E21" s="239"/>
      <c r="F21" s="238">
        <f t="shared" si="1"/>
        <v>0</v>
      </c>
      <c r="G21" s="27" t="s">
        <v>427</v>
      </c>
      <c r="H21" s="244">
        <v>11</v>
      </c>
      <c r="I21" s="240">
        <f t="shared" si="2"/>
        <v>0</v>
      </c>
      <c r="J21" s="240">
        <f t="shared" si="3"/>
        <v>0</v>
      </c>
      <c r="K21" s="241"/>
      <c r="L21" s="240">
        <f t="shared" si="4"/>
        <v>0</v>
      </c>
      <c r="N21" s="240"/>
    </row>
    <row r="22" spans="1:14" ht="17.25" customHeight="1">
      <c r="A22" s="18" t="s">
        <v>428</v>
      </c>
      <c r="B22" s="162">
        <v>12</v>
      </c>
      <c r="C22" s="172">
        <f>69029520+700000+2000000</f>
        <v>71729520</v>
      </c>
      <c r="D22" s="243">
        <f>'[1]Janvāris'!$F$7+'[1]Janvāris'!$G$7+'[1]Janvāris'!$I$7</f>
        <v>6577546</v>
      </c>
      <c r="E22" s="239">
        <f t="shared" si="0"/>
        <v>9.169928921872055</v>
      </c>
      <c r="F22" s="238">
        <f t="shared" si="1"/>
        <v>6577546</v>
      </c>
      <c r="G22" s="18" t="s">
        <v>428</v>
      </c>
      <c r="H22" s="162">
        <v>12</v>
      </c>
      <c r="I22" s="240">
        <f t="shared" si="2"/>
        <v>71730</v>
      </c>
      <c r="J22" s="240">
        <f t="shared" si="3"/>
        <v>6578</v>
      </c>
      <c r="K22" s="241">
        <f>J22/I22*100</f>
        <v>9.17050048794089</v>
      </c>
      <c r="L22" s="240">
        <f t="shared" si="4"/>
        <v>6578</v>
      </c>
      <c r="N22" s="240"/>
    </row>
    <row r="23" spans="1:12" ht="17.25" customHeight="1">
      <c r="A23" s="18" t="s">
        <v>429</v>
      </c>
      <c r="B23" s="162">
        <v>13</v>
      </c>
      <c r="C23" s="172">
        <f>2874300+1205000+31300</f>
        <v>4110600</v>
      </c>
      <c r="D23" s="240">
        <f>'[1]Janvāris'!$W$7+'[1]Janvāris'!$X$7+'[1]Janvāris'!$K$7</f>
        <v>236012</v>
      </c>
      <c r="E23" s="239">
        <f t="shared" si="0"/>
        <v>5.7415462462900795</v>
      </c>
      <c r="F23" s="238">
        <f t="shared" si="1"/>
        <v>236012</v>
      </c>
      <c r="G23" s="18" t="s">
        <v>429</v>
      </c>
      <c r="H23" s="162">
        <v>13</v>
      </c>
      <c r="I23" s="240">
        <f>ROUND(C23/1000,0)-1</f>
        <v>4110</v>
      </c>
      <c r="J23" s="240">
        <f t="shared" si="3"/>
        <v>236</v>
      </c>
      <c r="K23" s="241">
        <f>J23/I23*100</f>
        <v>5.742092457420925</v>
      </c>
      <c r="L23" s="240">
        <f t="shared" si="4"/>
        <v>236</v>
      </c>
    </row>
    <row r="24" spans="1:12" ht="24.75" customHeight="1">
      <c r="A24" s="27" t="s">
        <v>736</v>
      </c>
      <c r="B24" s="162">
        <v>14</v>
      </c>
      <c r="C24" s="240"/>
      <c r="D24" s="240"/>
      <c r="E24" s="239"/>
      <c r="F24" s="238">
        <f t="shared" si="1"/>
        <v>0</v>
      </c>
      <c r="G24" s="27" t="s">
        <v>736</v>
      </c>
      <c r="H24" s="162">
        <v>14</v>
      </c>
      <c r="I24" s="240">
        <f t="shared" si="2"/>
        <v>0</v>
      </c>
      <c r="J24" s="240"/>
      <c r="K24" s="241"/>
      <c r="L24" s="240">
        <f t="shared" si="4"/>
        <v>0</v>
      </c>
    </row>
    <row r="25" spans="2:14" ht="17.25" customHeight="1">
      <c r="B25" s="107"/>
      <c r="C25" s="221"/>
      <c r="D25" s="221"/>
      <c r="E25" s="245"/>
      <c r="H25" s="107"/>
      <c r="I25" s="221"/>
      <c r="J25" s="221"/>
      <c r="K25" s="245"/>
      <c r="N25" s="246">
        <f>SUM(N10:N24)</f>
        <v>0</v>
      </c>
    </row>
    <row r="26" spans="2:11" ht="17.25" customHeight="1">
      <c r="B26" s="107"/>
      <c r="C26" s="221"/>
      <c r="D26" s="221"/>
      <c r="E26" s="245"/>
      <c r="H26" s="107"/>
      <c r="I26" s="221"/>
      <c r="J26" s="221"/>
      <c r="K26" s="245"/>
    </row>
    <row r="27" spans="2:11" ht="17.25" customHeight="1">
      <c r="B27" s="107"/>
      <c r="C27" s="221"/>
      <c r="D27" s="221"/>
      <c r="E27" s="245"/>
      <c r="H27" s="107"/>
      <c r="I27" s="221"/>
      <c r="J27" s="221"/>
      <c r="K27" s="245"/>
    </row>
    <row r="28" spans="2:11" ht="17.25" customHeight="1">
      <c r="B28" s="107"/>
      <c r="C28" s="221"/>
      <c r="D28" s="221"/>
      <c r="E28" s="245"/>
      <c r="H28" s="107"/>
      <c r="I28" s="221"/>
      <c r="J28" s="221"/>
      <c r="K28" s="245"/>
    </row>
    <row r="29" spans="2:11" ht="17.25" customHeight="1">
      <c r="B29" s="107"/>
      <c r="C29" s="221"/>
      <c r="D29" s="221"/>
      <c r="E29" s="245"/>
      <c r="G29" s="181" t="s">
        <v>295</v>
      </c>
      <c r="H29" s="1"/>
      <c r="I29" s="1"/>
      <c r="J29" s="247"/>
      <c r="K29" s="1" t="s">
        <v>296</v>
      </c>
    </row>
    <row r="30" spans="2:11" ht="17.25" customHeight="1">
      <c r="B30" s="107"/>
      <c r="C30" s="221"/>
      <c r="D30" s="221"/>
      <c r="E30" s="245"/>
      <c r="H30" s="107"/>
      <c r="I30" s="221"/>
      <c r="J30" s="221"/>
      <c r="K30" s="245"/>
    </row>
    <row r="31" spans="4:11" ht="17.25" customHeight="1">
      <c r="D31" s="221"/>
      <c r="E31" s="245"/>
      <c r="J31" s="221"/>
      <c r="K31" s="245"/>
    </row>
    <row r="32" spans="2:11" ht="17.25" customHeight="1">
      <c r="B32" s="107"/>
      <c r="C32" s="221"/>
      <c r="D32" s="221"/>
      <c r="E32" s="245"/>
      <c r="H32" s="107"/>
      <c r="I32" s="221"/>
      <c r="J32" s="221"/>
      <c r="K32" s="245"/>
    </row>
    <row r="33" spans="2:11" ht="17.25" customHeight="1">
      <c r="B33" s="107"/>
      <c r="C33" s="221"/>
      <c r="D33" s="221"/>
      <c r="E33" s="245"/>
      <c r="H33" s="107"/>
      <c r="I33" s="221"/>
      <c r="J33" s="221"/>
      <c r="K33" s="245"/>
    </row>
    <row r="34" spans="3:11" ht="17.25" customHeight="1">
      <c r="C34" s="221"/>
      <c r="D34" s="221"/>
      <c r="E34" s="245"/>
      <c r="I34" s="221"/>
      <c r="J34" s="221"/>
      <c r="K34" s="245"/>
    </row>
    <row r="35" spans="1:12" ht="17.25" customHeight="1">
      <c r="A35" s="63" t="s">
        <v>408</v>
      </c>
      <c r="B35" s="62"/>
      <c r="C35" s="62"/>
      <c r="D35" s="62" t="s">
        <v>409</v>
      </c>
      <c r="E35" s="33"/>
      <c r="F35" s="221"/>
      <c r="K35" s="33"/>
      <c r="L35" s="221"/>
    </row>
    <row r="36" spans="3:11" ht="17.25" customHeight="1">
      <c r="C36" s="221"/>
      <c r="D36" s="221"/>
      <c r="E36" s="245"/>
      <c r="I36" s="221"/>
      <c r="J36" s="221"/>
      <c r="K36" s="245"/>
    </row>
    <row r="37" spans="3:11" ht="17.25" customHeight="1">
      <c r="C37" s="221"/>
      <c r="D37" s="221"/>
      <c r="E37" s="245"/>
      <c r="I37" s="221"/>
      <c r="J37" s="221"/>
      <c r="K37" s="245"/>
    </row>
    <row r="38" spans="3:11" ht="17.25" customHeight="1">
      <c r="C38" s="221"/>
      <c r="D38" s="221"/>
      <c r="E38" s="245"/>
      <c r="I38" s="221"/>
      <c r="J38" s="221"/>
      <c r="K38" s="245"/>
    </row>
    <row r="39" spans="3:11" ht="17.25" customHeight="1">
      <c r="C39" s="221"/>
      <c r="D39" s="221"/>
      <c r="E39" s="245"/>
      <c r="I39" s="221"/>
      <c r="J39" s="221"/>
      <c r="K39" s="245"/>
    </row>
    <row r="40" spans="3:11" ht="17.25" customHeight="1">
      <c r="C40" s="221"/>
      <c r="D40" s="221"/>
      <c r="E40" s="245"/>
      <c r="I40" s="221"/>
      <c r="J40" s="221"/>
      <c r="K40" s="245"/>
    </row>
    <row r="41" spans="3:11" ht="17.25" customHeight="1">
      <c r="C41" s="221"/>
      <c r="D41" s="221"/>
      <c r="E41" s="245"/>
      <c r="I41" s="221"/>
      <c r="J41" s="221"/>
      <c r="K41" s="245"/>
    </row>
    <row r="42" spans="3:11" ht="17.25" customHeight="1">
      <c r="C42" s="221"/>
      <c r="D42" s="221"/>
      <c r="E42" s="245"/>
      <c r="G42" s="43" t="s">
        <v>684</v>
      </c>
      <c r="I42" s="221"/>
      <c r="J42" s="221"/>
      <c r="K42" s="245"/>
    </row>
    <row r="43" spans="3:11" ht="17.25" customHeight="1">
      <c r="C43" s="221"/>
      <c r="D43" s="221"/>
      <c r="E43" s="245"/>
      <c r="G43" s="43" t="s">
        <v>562</v>
      </c>
      <c r="I43" s="221"/>
      <c r="J43" s="221"/>
      <c r="K43" s="245"/>
    </row>
    <row r="44" spans="3:11" ht="17.25" customHeight="1">
      <c r="C44" s="221"/>
      <c r="D44" s="221"/>
      <c r="E44" s="245"/>
      <c r="I44" s="221"/>
      <c r="J44" s="221"/>
      <c r="K44" s="245"/>
    </row>
    <row r="45" spans="3:11" ht="17.25" customHeight="1">
      <c r="C45" s="221"/>
      <c r="D45" s="221"/>
      <c r="E45" s="245"/>
      <c r="I45" s="221"/>
      <c r="J45" s="221"/>
      <c r="K45" s="245"/>
    </row>
    <row r="46" spans="1:11" ht="17.25" customHeight="1">
      <c r="A46" s="3"/>
      <c r="C46" s="221"/>
      <c r="D46" s="221"/>
      <c r="E46" s="245"/>
      <c r="G46" s="3"/>
      <c r="I46" s="221"/>
      <c r="J46" s="221"/>
      <c r="K46" s="245"/>
    </row>
    <row r="47" spans="1:11" ht="17.25" customHeight="1">
      <c r="A47" s="3"/>
      <c r="C47" s="221"/>
      <c r="D47" s="221"/>
      <c r="E47" s="245"/>
      <c r="G47" s="3"/>
      <c r="I47" s="221"/>
      <c r="J47" s="221"/>
      <c r="K47" s="245"/>
    </row>
    <row r="48" spans="3:11" ht="17.25" customHeight="1">
      <c r="C48" s="221"/>
      <c r="D48" s="221"/>
      <c r="E48" s="245"/>
      <c r="I48" s="221"/>
      <c r="J48" s="221"/>
      <c r="K48" s="245"/>
    </row>
    <row r="49" spans="3:11" ht="17.25" customHeight="1">
      <c r="C49" s="221"/>
      <c r="D49" s="221"/>
      <c r="E49" s="245"/>
      <c r="I49" s="221"/>
      <c r="J49" s="221"/>
      <c r="K49" s="245"/>
    </row>
    <row r="50" spans="3:11" ht="17.25" customHeight="1">
      <c r="C50" s="221"/>
      <c r="D50" s="221"/>
      <c r="E50" s="245"/>
      <c r="I50" s="221"/>
      <c r="J50" s="221"/>
      <c r="K50" s="245"/>
    </row>
    <row r="51" spans="3:11" ht="17.25" customHeight="1">
      <c r="C51" s="221"/>
      <c r="D51" s="221"/>
      <c r="E51" s="245"/>
      <c r="I51" s="221"/>
      <c r="J51" s="221"/>
      <c r="K51" s="245"/>
    </row>
    <row r="52" spans="3:11" ht="17.25" customHeight="1">
      <c r="C52" s="221"/>
      <c r="E52" s="245"/>
      <c r="I52" s="221"/>
      <c r="K52" s="245"/>
    </row>
    <row r="53" spans="3:11" ht="17.25" customHeight="1">
      <c r="C53" s="221"/>
      <c r="E53" s="245"/>
      <c r="I53" s="221"/>
      <c r="K53" s="245"/>
    </row>
    <row r="54" spans="3:11" ht="17.25" customHeight="1">
      <c r="C54" s="221"/>
      <c r="E54" s="245"/>
      <c r="I54" s="221"/>
      <c r="K54" s="245"/>
    </row>
    <row r="55" spans="3:11" ht="17.25" customHeight="1">
      <c r="C55" s="221"/>
      <c r="E55" s="245"/>
      <c r="I55" s="221"/>
      <c r="K55" s="245"/>
    </row>
    <row r="56" spans="3:11" ht="17.25" customHeight="1">
      <c r="C56" s="221"/>
      <c r="E56" s="245"/>
      <c r="I56" s="221"/>
      <c r="K56" s="245"/>
    </row>
    <row r="57" spans="3:11" ht="17.25" customHeight="1">
      <c r="C57" s="221"/>
      <c r="E57" s="245"/>
      <c r="I57" s="221"/>
      <c r="K57" s="245"/>
    </row>
    <row r="58" spans="3:11" ht="17.25" customHeight="1">
      <c r="C58" s="221"/>
      <c r="E58" s="245"/>
      <c r="I58" s="221"/>
      <c r="K58" s="245"/>
    </row>
    <row r="59" spans="3:11" ht="17.25" customHeight="1">
      <c r="C59" s="221"/>
      <c r="E59" s="245"/>
      <c r="I59" s="221"/>
      <c r="K59" s="245"/>
    </row>
    <row r="60" spans="3:11" ht="17.25" customHeight="1">
      <c r="C60" s="221"/>
      <c r="E60" s="245"/>
      <c r="I60" s="221"/>
      <c r="K60" s="245"/>
    </row>
    <row r="61" spans="3:11" ht="17.25" customHeight="1">
      <c r="C61" s="221"/>
      <c r="E61" s="245"/>
      <c r="I61" s="221"/>
      <c r="K61" s="245"/>
    </row>
    <row r="62" spans="3:11" ht="17.25" customHeight="1">
      <c r="C62" s="221"/>
      <c r="E62" s="245"/>
      <c r="I62" s="221"/>
      <c r="K62" s="245"/>
    </row>
    <row r="63" spans="3:11" ht="17.25" customHeight="1">
      <c r="C63" s="221"/>
      <c r="E63" s="245"/>
      <c r="I63" s="221"/>
      <c r="K63" s="245"/>
    </row>
    <row r="64" spans="3:11" ht="17.25" customHeight="1">
      <c r="C64" s="221"/>
      <c r="E64" s="245"/>
      <c r="I64" s="221"/>
      <c r="K64" s="245"/>
    </row>
    <row r="65" spans="3:11" ht="17.25" customHeight="1">
      <c r="C65" s="221"/>
      <c r="E65" s="245"/>
      <c r="I65" s="221"/>
      <c r="K65" s="245"/>
    </row>
    <row r="66" spans="3:11" ht="17.25" customHeight="1">
      <c r="C66" s="221"/>
      <c r="E66" s="245"/>
      <c r="I66" s="221"/>
      <c r="K66" s="245"/>
    </row>
    <row r="67" spans="3:11" ht="17.25" customHeight="1">
      <c r="C67" s="221"/>
      <c r="E67" s="245"/>
      <c r="I67" s="221"/>
      <c r="K67" s="245"/>
    </row>
    <row r="68" spans="3:11" ht="17.25" customHeight="1">
      <c r="C68" s="221"/>
      <c r="E68" s="245"/>
      <c r="I68" s="221"/>
      <c r="K68" s="245"/>
    </row>
    <row r="69" spans="3:11" ht="17.25" customHeight="1">
      <c r="C69" s="221"/>
      <c r="E69" s="245"/>
      <c r="I69" s="221"/>
      <c r="K69" s="245"/>
    </row>
    <row r="70" spans="3:11" ht="17.25" customHeight="1">
      <c r="C70" s="221"/>
      <c r="E70" s="245"/>
      <c r="I70" s="221"/>
      <c r="K70" s="245"/>
    </row>
    <row r="71" spans="3:11" ht="17.25" customHeight="1">
      <c r="C71" s="221"/>
      <c r="E71" s="245"/>
      <c r="I71" s="221"/>
      <c r="K71" s="245"/>
    </row>
    <row r="72" spans="3:11" ht="17.25" customHeight="1">
      <c r="C72" s="221"/>
      <c r="E72" s="245"/>
      <c r="I72" s="221"/>
      <c r="K72" s="245"/>
    </row>
    <row r="73" spans="3:11" ht="17.25" customHeight="1">
      <c r="C73" s="221"/>
      <c r="E73" s="245"/>
      <c r="I73" s="221"/>
      <c r="K73" s="245"/>
    </row>
    <row r="74" spans="3:11" ht="17.25" customHeight="1">
      <c r="C74" s="221"/>
      <c r="E74" s="245"/>
      <c r="I74" s="221"/>
      <c r="K74" s="245"/>
    </row>
    <row r="75" spans="3:11" ht="17.25" customHeight="1">
      <c r="C75" s="221"/>
      <c r="E75" s="245"/>
      <c r="I75" s="221"/>
      <c r="K75" s="245"/>
    </row>
    <row r="76" spans="3:11" ht="17.25" customHeight="1">
      <c r="C76" s="221"/>
      <c r="E76" s="245"/>
      <c r="I76" s="221"/>
      <c r="K76" s="245"/>
    </row>
    <row r="77" spans="3:11" ht="17.25" customHeight="1">
      <c r="C77" s="221"/>
      <c r="E77" s="245"/>
      <c r="I77" s="221"/>
      <c r="K77" s="245"/>
    </row>
    <row r="78" spans="3:11" ht="17.25" customHeight="1">
      <c r="C78" s="221"/>
      <c r="E78" s="245"/>
      <c r="I78" s="221"/>
      <c r="K78" s="245"/>
    </row>
    <row r="79" spans="2:10" ht="17.25" customHeight="1">
      <c r="B79" s="221"/>
      <c r="D79" s="245"/>
      <c r="H79" s="221"/>
      <c r="J79" s="245"/>
    </row>
    <row r="80" spans="2:10" ht="17.25" customHeight="1">
      <c r="B80" s="221"/>
      <c r="D80" s="245"/>
      <c r="H80" s="221"/>
      <c r="J80" s="245"/>
    </row>
    <row r="81" spans="2:10" ht="17.25" customHeight="1">
      <c r="B81" s="221"/>
      <c r="D81" s="245"/>
      <c r="H81" s="221"/>
      <c r="J81" s="245"/>
    </row>
    <row r="82" spans="2:10" ht="17.25" customHeight="1">
      <c r="B82" s="221"/>
      <c r="D82" s="245"/>
      <c r="H82" s="221"/>
      <c r="J82" s="245"/>
    </row>
    <row r="83" spans="2:10" ht="17.25" customHeight="1">
      <c r="B83" s="221"/>
      <c r="D83" s="245"/>
      <c r="H83" s="221"/>
      <c r="J83" s="245"/>
    </row>
    <row r="84" spans="2:10" ht="17.25" customHeight="1">
      <c r="B84" s="221"/>
      <c r="D84" s="245"/>
      <c r="H84" s="221"/>
      <c r="J84" s="245"/>
    </row>
    <row r="85" spans="2:10" ht="17.25" customHeight="1">
      <c r="B85" s="221"/>
      <c r="D85" s="245"/>
      <c r="H85" s="221"/>
      <c r="J85" s="245"/>
    </row>
    <row r="86" spans="2:10" ht="17.25" customHeight="1">
      <c r="B86" s="221"/>
      <c r="D86" s="245"/>
      <c r="H86" s="221"/>
      <c r="J86" s="245"/>
    </row>
    <row r="87" spans="2:10" ht="17.25" customHeight="1">
      <c r="B87" s="221"/>
      <c r="D87" s="245"/>
      <c r="H87" s="221"/>
      <c r="J87" s="245"/>
    </row>
    <row r="88" spans="2:10" ht="17.25" customHeight="1">
      <c r="B88" s="221"/>
      <c r="D88" s="245"/>
      <c r="H88" s="221"/>
      <c r="J88" s="245"/>
    </row>
    <row r="89" spans="2:10" ht="17.25" customHeight="1">
      <c r="B89" s="221"/>
      <c r="D89" s="245"/>
      <c r="H89" s="221"/>
      <c r="J89" s="245"/>
    </row>
    <row r="90" spans="2:10" ht="17.25" customHeight="1">
      <c r="B90" s="221"/>
      <c r="D90" s="245"/>
      <c r="H90" s="221"/>
      <c r="J90" s="245"/>
    </row>
    <row r="91" spans="2:10" ht="17.25" customHeight="1">
      <c r="B91" s="221"/>
      <c r="D91" s="245"/>
      <c r="H91" s="221"/>
      <c r="J91" s="245"/>
    </row>
    <row r="92" spans="2:10" ht="17.25" customHeight="1">
      <c r="B92" s="221"/>
      <c r="D92" s="245"/>
      <c r="H92" s="221"/>
      <c r="J92" s="245"/>
    </row>
    <row r="93" spans="2:10" ht="17.25" customHeight="1">
      <c r="B93" s="221"/>
      <c r="D93" s="245"/>
      <c r="H93" s="221"/>
      <c r="J93" s="245"/>
    </row>
    <row r="94" spans="2:10" ht="17.25" customHeight="1">
      <c r="B94" s="221"/>
      <c r="D94" s="245"/>
      <c r="H94" s="221"/>
      <c r="J94" s="245"/>
    </row>
    <row r="95" spans="2:10" ht="17.25" customHeight="1">
      <c r="B95" s="221"/>
      <c r="D95" s="245"/>
      <c r="H95" s="221"/>
      <c r="J95" s="245"/>
    </row>
    <row r="96" spans="2:10" ht="17.25" customHeight="1">
      <c r="B96" s="221"/>
      <c r="D96" s="245"/>
      <c r="H96" s="221"/>
      <c r="J96" s="245"/>
    </row>
    <row r="97" spans="2:10" ht="17.25" customHeight="1">
      <c r="B97" s="221"/>
      <c r="D97" s="245"/>
      <c r="H97" s="221"/>
      <c r="J97" s="245"/>
    </row>
    <row r="98" spans="2:10" ht="17.25" customHeight="1">
      <c r="B98" s="221"/>
      <c r="D98" s="245"/>
      <c r="H98" s="221"/>
      <c r="J98" s="245"/>
    </row>
    <row r="99" spans="2:8" ht="17.25" customHeight="1">
      <c r="B99" s="221"/>
      <c r="H99" s="221"/>
    </row>
    <row r="100" spans="2:8" ht="17.25" customHeight="1">
      <c r="B100" s="221"/>
      <c r="H100" s="221"/>
    </row>
    <row r="101" spans="2:8" ht="17.25" customHeight="1">
      <c r="B101" s="221"/>
      <c r="H101" s="221"/>
    </row>
    <row r="102" spans="2:8" ht="17.25" customHeight="1">
      <c r="B102" s="221"/>
      <c r="H102" s="221"/>
    </row>
    <row r="103" spans="2:8" ht="17.25" customHeight="1">
      <c r="B103" s="221"/>
      <c r="H103" s="221"/>
    </row>
    <row r="104" spans="2:8" ht="17.25" customHeight="1">
      <c r="B104" s="221"/>
      <c r="H104" s="221"/>
    </row>
    <row r="105" spans="2:8" ht="17.25" customHeight="1">
      <c r="B105" s="221"/>
      <c r="H105" s="221"/>
    </row>
    <row r="106" spans="2:8" ht="17.25" customHeight="1">
      <c r="B106" s="221"/>
      <c r="H106" s="221"/>
    </row>
    <row r="107" spans="2:8" ht="17.25" customHeight="1">
      <c r="B107" s="221"/>
      <c r="H107" s="221"/>
    </row>
  </sheetData>
  <mergeCells count="4">
    <mergeCell ref="A4:F4"/>
    <mergeCell ref="A5:F5"/>
    <mergeCell ref="G4:L4"/>
    <mergeCell ref="G5:L5"/>
  </mergeCells>
  <printOptions horizontalCentered="1"/>
  <pageMargins left="0.34" right="0.27" top="0.984251968503937" bottom="0.46" header="0.5118110236220472" footer="0.35"/>
  <pageSetup firstPageNumber="25" useFirstPageNumber="1" horizontalDpi="600" verticalDpi="600" orientation="portrait" paperSize="9" scale="9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</cp:lastModifiedBy>
  <cp:lastPrinted>2001-02-16T12:34:36Z</cp:lastPrinted>
  <dcterms:created xsi:type="dcterms:W3CDTF">2001-02-09T08:49:31Z</dcterms:created>
  <dcterms:modified xsi:type="dcterms:W3CDTF">2001-02-19T14:39:01Z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