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9045" activeTab="6"/>
  </bookViews>
  <sheets>
    <sheet name="kopbudzets" sheetId="1" r:id="rId1"/>
    <sheet name="1.tab." sheetId="2" r:id="rId2"/>
    <sheet name="2.tab." sheetId="3" r:id="rId3"/>
    <sheet name="3.tab." sheetId="4" r:id="rId4"/>
    <sheet name="4.tab." sheetId="5" r:id="rId5"/>
    <sheet name="5.tab." sheetId="6" r:id="rId6"/>
    <sheet name="6.tab." sheetId="7" r:id="rId7"/>
    <sheet name="7.tab." sheetId="8" r:id="rId8"/>
    <sheet name="8.tab." sheetId="9" r:id="rId9"/>
    <sheet name="9.tab." sheetId="10" r:id="rId10"/>
    <sheet name="10.tab." sheetId="11" r:id="rId11"/>
    <sheet name="11.tab." sheetId="12" r:id="rId12"/>
    <sheet name="12.tab." sheetId="13" r:id="rId13"/>
    <sheet name="13.tab." sheetId="14" r:id="rId14"/>
    <sheet name="14.tab." sheetId="15" r:id="rId15"/>
    <sheet name="15.tab." sheetId="16" r:id="rId16"/>
    <sheet name="16.tab." sheetId="17" r:id="rId17"/>
    <sheet name="17.tab." sheetId="18" r:id="rId18"/>
    <sheet name="18.tab." sheetId="19" r:id="rId19"/>
    <sheet name="19.tab." sheetId="20" r:id="rId20"/>
    <sheet name="20.tab." sheetId="21" r:id="rId21"/>
    <sheet name="21.tab." sheetId="22" r:id="rId22"/>
    <sheet name="22.tab." sheetId="23" r:id="rId23"/>
    <sheet name="23.tab." sheetId="24" r:id="rId24"/>
    <sheet name="24.tab." sheetId="25" r:id="rId25"/>
    <sheet name="25.tab." sheetId="26" r:id="rId26"/>
    <sheet name="26.tab." sheetId="27" r:id="rId27"/>
    <sheet name="27.tab." sheetId="28" r:id="rId28"/>
    <sheet name="28.tab." sheetId="29" r:id="rId29"/>
    <sheet name="29.tab." sheetId="30" r:id="rId30"/>
    <sheet name="32.tab." sheetId="31" r:id="rId31"/>
  </sheets>
  <externalReferences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</externalReferences>
  <definedNames>
    <definedName name="_xlnm.Print_Area" localSheetId="1">'1.tab.'!$A$1:$J$85</definedName>
    <definedName name="_xlnm.Print_Area" localSheetId="10">'10.tab.'!$A$1:$N$44</definedName>
    <definedName name="_xlnm.Print_Area" localSheetId="11">'11.tab.'!$A$1:$M$38</definedName>
    <definedName name="_xlnm.Print_Area" localSheetId="12">'12.tab.'!$H:$N</definedName>
    <definedName name="_xlnm.Print_Area" localSheetId="13">'13.tab.'!$A:$E</definedName>
    <definedName name="_xlnm.Print_Area" localSheetId="19">'19.tab.'!$A:$R</definedName>
    <definedName name="_xlnm.Print_Area" localSheetId="20">'20.tab.'!$A:$R</definedName>
    <definedName name="_xlnm.Print_Area" localSheetId="21">'21.tab.'!$A:$P</definedName>
    <definedName name="_xlnm.Print_Area" localSheetId="22">'22.tab.'!$A:$E</definedName>
    <definedName name="_xlnm.Print_Area" localSheetId="25">'25.tab.'!$A:$I</definedName>
    <definedName name="_xlnm.Print_Area" localSheetId="27">'27.tab.'!$K:$T</definedName>
    <definedName name="_xlnm.Print_Area" localSheetId="28">'28.tab.'!$K:$T</definedName>
    <definedName name="_xlnm.Print_Area" localSheetId="3">'3.tab.'!$A$1:$O$251</definedName>
    <definedName name="_xlnm.Print_Area" localSheetId="4">'4.tab.'!$A$1:$N$76</definedName>
    <definedName name="_xlnm.Print_Area" localSheetId="5">'5.tab.'!$A$1:$M$38</definedName>
    <definedName name="_xlnm.Print_Area" localSheetId="6">'6.tab.'!$G:$L</definedName>
    <definedName name="_xlnm.Print_Area" localSheetId="7">'7.tab.'!$H:$N</definedName>
    <definedName name="_xlnm.Print_Area" localSheetId="9">'9.tab.'!$A:$E</definedName>
    <definedName name="_xlnm.Print_Titles" localSheetId="1">'1.tab.'!$7:$9</definedName>
    <definedName name="_xlnm.Print_Titles" localSheetId="12">'12.tab.'!$5:$7</definedName>
    <definedName name="_xlnm.Print_Titles" localSheetId="13">'13.tab.'!$6:$8</definedName>
    <definedName name="_xlnm.Print_Titles" localSheetId="19">'19.tab.'!$7:$11</definedName>
    <definedName name="_xlnm.Print_Titles" localSheetId="20">'20.tab.'!$6:$10</definedName>
    <definedName name="_xlnm.Print_Titles" localSheetId="21">'21.tab.'!$6:$10</definedName>
    <definedName name="_xlnm.Print_Titles" localSheetId="22">'22.tab.'!$6:$8</definedName>
    <definedName name="_xlnm.Print_Titles" localSheetId="25">'25.tab.'!$7:$10</definedName>
    <definedName name="_xlnm.Print_Titles" localSheetId="27">'27.tab.'!$8:$11</definedName>
    <definedName name="_xlnm.Print_Titles" localSheetId="28">'28.tab.'!$8:$11</definedName>
    <definedName name="_xlnm.Print_Titles" localSheetId="4">'4.tab.'!$7:$9</definedName>
    <definedName name="_xlnm.Print_Titles" localSheetId="6">'6.tab.'!$7:$9</definedName>
    <definedName name="_xlnm.Print_Titles" localSheetId="7">'7.tab.'!$7:$9</definedName>
    <definedName name="_xlnm.Print_Titles" localSheetId="9">'9.tab.'!$6:$8</definedName>
  </definedNames>
  <calcPr fullCalcOnLoad="1"/>
</workbook>
</file>

<file path=xl/sharedStrings.xml><?xml version="1.0" encoding="utf-8"?>
<sst xmlns="http://schemas.openxmlformats.org/spreadsheetml/2006/main" count="3831" uniqueCount="968">
  <si>
    <t>VA/s "Latvijas hipotēku un zemes banka"</t>
  </si>
  <si>
    <t>VA/s "Latvijas hipotēku banka"</t>
  </si>
  <si>
    <t>A/s ''Pirmā Latvijas Komercbanka''</t>
  </si>
  <si>
    <t>Hansabank-Latvija</t>
  </si>
  <si>
    <t>Nauda ceļā</t>
  </si>
  <si>
    <t>1.2. Depozītu konti</t>
  </si>
  <si>
    <t>A/s ''Ogres komercbanka''</t>
  </si>
  <si>
    <t>Merita Bank Plc</t>
  </si>
  <si>
    <t>A/s ''Aizkraukles banka''</t>
  </si>
  <si>
    <t>A/s"Vereinsbank Rīga"</t>
  </si>
  <si>
    <t>2. Ārvalstīs (2.1.)</t>
  </si>
  <si>
    <t>2.1. Norēķinu konti</t>
  </si>
  <si>
    <t>Svenska Handelsbank</t>
  </si>
  <si>
    <t>Bank of America</t>
  </si>
  <si>
    <t>Deutche Bank AG</t>
  </si>
  <si>
    <t>Bankers Trust Co</t>
  </si>
  <si>
    <t>HSBC Bank USA</t>
  </si>
  <si>
    <t>Valsts kases pārvaldnieks</t>
  </si>
  <si>
    <t>(2001. gada janvāris - maijs)</t>
  </si>
  <si>
    <t>2001.gada 15.jūnijs</t>
  </si>
  <si>
    <t xml:space="preserve">Maija  izpilde </t>
  </si>
  <si>
    <t xml:space="preserve">Valsts kases pārvaldnieks                                                                                                                   A.Veiss                                                   </t>
  </si>
  <si>
    <t>Maija mēneša izpilde</t>
  </si>
  <si>
    <t>* t.sk.aizņēmums no pamatbudžeta saskaņā ar FM rīkojumu 4 250 tūkst.ls</t>
  </si>
  <si>
    <t xml:space="preserve">** konsolidēts par sociālās apdrošināšanas iekšējiem maksājumiem </t>
  </si>
  <si>
    <t xml:space="preserve">* kopējie valsts budžeta ieņēmumi (555 822 tūkst.latu) atskaitot pašvaldībām sadalāmos nodokļus (289 tūkst.latu), </t>
  </si>
  <si>
    <t>pašu ieņēmumus (24 510 tūkst.latu) un ārvalstu finansu palīdzību (11 467 tūkst.latu)</t>
  </si>
  <si>
    <t>Valsts kases pārvaldnieks                                                                                          A.Veiss</t>
  </si>
  <si>
    <t>(2001.gada janvāris - maijs)</t>
  </si>
  <si>
    <t>(2001. gada janvāris- maijs)</t>
  </si>
  <si>
    <t>(2001.gada janvāris -  maijs)</t>
  </si>
  <si>
    <t>(2001.gada janvāris -maijs)</t>
  </si>
  <si>
    <t>(2001.gada janvāris- maijs)</t>
  </si>
  <si>
    <r>
      <t xml:space="preserve">Programmas "Valsts aizsardzība, drošība un integrācija NATO" izpilde 
</t>
    </r>
    <r>
      <rPr>
        <sz val="12"/>
        <rFont val="Arial"/>
        <family val="2"/>
      </rPr>
      <t>(2001. gada janvāris - maijs)</t>
    </r>
  </si>
  <si>
    <t>2001. gada 15.jūnijs</t>
  </si>
  <si>
    <t>Valsts kases pārvaldnieks                                                                                      A.Veiss</t>
  </si>
  <si>
    <t xml:space="preserve">Maija  mēneša izpilde </t>
  </si>
  <si>
    <t>Valsts kases pārvaldnieks                                                                    A.Veiss</t>
  </si>
  <si>
    <t xml:space="preserve">Maija mēneša  izpilde </t>
  </si>
  <si>
    <t>Valsts kases pārvaldnieks                                                         A.Veiss</t>
  </si>
  <si>
    <t xml:space="preserve">Maijs mēneša  izpilde </t>
  </si>
  <si>
    <t xml:space="preserve">Valsts kases pārvaldnieks                                                          </t>
  </si>
  <si>
    <t xml:space="preserve"> No valsts pamatbudžeta saņemtā dotācija PFIF 3171   tūkst. latu</t>
  </si>
  <si>
    <t>* nesadalītais atlikums uz perioda beigām - 968 tūkst.latu</t>
  </si>
  <si>
    <t xml:space="preserve">                                                                     Valsts kases oficiālais mēneša pārskats</t>
  </si>
  <si>
    <t xml:space="preserve">Valsts konsolidētā kopbudžeta izpilde (ieskaitot ziedojumus un dāvinājumus) 
</t>
  </si>
  <si>
    <t xml:space="preserve">                (tūkst.latu)</t>
  </si>
  <si>
    <t>Rādītāji</t>
  </si>
  <si>
    <t>Konsolidētais
valsts budžets</t>
  </si>
  <si>
    <t>Konsolidētais
pašvaldību budžets</t>
  </si>
  <si>
    <t>Konsolidētais kopbudžets</t>
  </si>
  <si>
    <t>1. Ieņēmumi (bruto)</t>
  </si>
  <si>
    <t>mīnus transferts no valsts pamatbudžeta pašvaldību budžetos</t>
  </si>
  <si>
    <t>x</t>
  </si>
  <si>
    <t xml:space="preserve">mīnus transferts no valsts speciālā budžeta pašvaldību budžetos </t>
  </si>
  <si>
    <t>1.1. Kopbudžeta ieņēmumi (neto)</t>
  </si>
  <si>
    <t>2. Izdevumi (bruto)</t>
  </si>
  <si>
    <t>mīnus valsts pamatbudžeta dotācijas, mērķdotācijas pašvaldību budžetiem</t>
  </si>
  <si>
    <t>mīnus valsts speciālā budžeta dotācijas, mērķdotācijas pašvaldību budžetiem</t>
  </si>
  <si>
    <t>2.1.Kopbudžeta izdevumi (neto)</t>
  </si>
  <si>
    <t>3.  Finansiālais deficīts(-) vai pārpalikums(+)</t>
  </si>
  <si>
    <t>4. Budžeta aizdevumi un atmaksas</t>
  </si>
  <si>
    <t>Budžeta aizdevumi (bruto)</t>
  </si>
  <si>
    <t>mīnus valsts pamatbudžeta aizdevumi pašvaldību budžetiem</t>
  </si>
  <si>
    <t>Budžeta aizdevumi (neto)</t>
  </si>
  <si>
    <t>Budžeta aizdevumu atmaksa (bruto)</t>
  </si>
  <si>
    <t xml:space="preserve">mīnus pašvaldību aizdevumu atmaksas valsts pamatbudžetam </t>
  </si>
  <si>
    <t>Budžeta aizdevumu atmaksas (neto)</t>
  </si>
  <si>
    <t>5. Fiskālais deficīts(-) vai pārpalikums(+)</t>
  </si>
  <si>
    <t>6. Finansēšana</t>
  </si>
  <si>
    <t>6.1.Iekšējā finansēšana</t>
  </si>
  <si>
    <t>No citām valsts pārvaldes struktūrām</t>
  </si>
  <si>
    <t xml:space="preserve">     no citām tā paša līmeņa valsts pārvaldes  struktūrām</t>
  </si>
  <si>
    <t xml:space="preserve">           no citiem valsts pārvaldes līmeņiem (bruto)</t>
  </si>
  <si>
    <t xml:space="preserve">   mīnus pašvaldību finansēšana no valsts pamatbudžeta</t>
  </si>
  <si>
    <t xml:space="preserve">       no citiem valsts pārvaldes līmeņiem (neto)</t>
  </si>
  <si>
    <t>Latvijas Banka</t>
  </si>
  <si>
    <t xml:space="preserve">     Depozītu apjoma izmaiņas</t>
  </si>
  <si>
    <t xml:space="preserve">     Norēķinu kontu atlikumu izmaiņas</t>
  </si>
  <si>
    <t xml:space="preserve">      Ārvalstu finansu palīdzības
      kontu atlikumu izmaiņas</t>
  </si>
  <si>
    <t xml:space="preserve">      Valsts iekšējā aizņēmuma vērtspapīri</t>
  </si>
  <si>
    <t>Komercbankas</t>
  </si>
  <si>
    <t xml:space="preserve">      Tīrais aizņēmumu apjoms</t>
  </si>
  <si>
    <t>Pārējā iekšējā finansēšana</t>
  </si>
  <si>
    <t xml:space="preserve">         ieņēmumi no valsts un pašvaldību 
          īpašuma privatizācijas</t>
  </si>
  <si>
    <t xml:space="preserve">         pārējie īpašumā esošie Valsts 
         iekšējā aizņēmuma vērtspapīri</t>
  </si>
  <si>
    <t xml:space="preserve">         pārējie līdzekļi</t>
  </si>
  <si>
    <t>6.2. Ārējā finansēšana</t>
  </si>
  <si>
    <t>Ārvalstu aizņēmumi</t>
  </si>
  <si>
    <t>Norēķinu kontu atlikumu izmaiņas</t>
  </si>
  <si>
    <t>Valsts kase/Pārskatu departaments</t>
  </si>
  <si>
    <t>1.tabula</t>
  </si>
  <si>
    <t xml:space="preserve"> Valsts kases oficiālais mēneša pārskats</t>
  </si>
  <si>
    <t xml:space="preserve">Valsts konsolidētā budžeta izpilde  (neieskaitot ziedojumus un dāvinājumus) </t>
  </si>
  <si>
    <t>(tūkst.latu)</t>
  </si>
  <si>
    <t>Likumā apstiprinātais gada plāns</t>
  </si>
  <si>
    <t>Izpilde no gada sākuma</t>
  </si>
  <si>
    <t>Izpilde  % pret gada plānu         (3/2)</t>
  </si>
  <si>
    <t xml:space="preserve">Janvāra  izpilde </t>
  </si>
  <si>
    <t>A.1. Kopējie ieņēmumi (B.1.+C.1.)</t>
  </si>
  <si>
    <t xml:space="preserve">  Valsts pamatbudžeta ieņēmumi (bruto)</t>
  </si>
  <si>
    <t xml:space="preserve">     Nodokļu ieņēmumi</t>
  </si>
  <si>
    <t xml:space="preserve">               - Tiešie nodokļi</t>
  </si>
  <si>
    <t xml:space="preserve">                Uzņēmumu ienākuma nodoklis</t>
  </si>
  <si>
    <t xml:space="preserve">               -  Netiešie nodokļi</t>
  </si>
  <si>
    <t xml:space="preserve">               Pievienotās vērtības nodoklis</t>
  </si>
  <si>
    <t xml:space="preserve">               Akcīzes nodoklis</t>
  </si>
  <si>
    <t xml:space="preserve">               Muitas nodoklis</t>
  </si>
  <si>
    <t xml:space="preserve">              - Citiem budžetiem sadalāmie nodokļi</t>
  </si>
  <si>
    <t xml:space="preserve">     Nenodokļu ieņēmumi</t>
  </si>
  <si>
    <t xml:space="preserve">     Maksas pakalpojumi un citi pašu ieņēmumi</t>
  </si>
  <si>
    <t xml:space="preserve">     Ārvalstu finansu palīdzība</t>
  </si>
  <si>
    <t xml:space="preserve">     Ārvalstu finansu palīdzība </t>
  </si>
  <si>
    <t xml:space="preserve">                                        mīnus transferts no valsts speciālā budžeta</t>
  </si>
  <si>
    <t xml:space="preserve">  B.1. Valsts pamatbudžeta ieņēmumi (neto)</t>
  </si>
  <si>
    <t xml:space="preserve">   Valsts speciālā budžeta ieņēmumi (bruto)</t>
  </si>
  <si>
    <t xml:space="preserve">     Nodokļu un nenodokļu ieņēmumi</t>
  </si>
  <si>
    <t xml:space="preserve">             Sociālās apdrošināšanas iemaksas</t>
  </si>
  <si>
    <t xml:space="preserve">             Akcīzes nodoklis</t>
  </si>
  <si>
    <t xml:space="preserve">             Iedzīvotāju ienākuma nodoklis</t>
  </si>
  <si>
    <t xml:space="preserve">          Ārvalstu finansu palīdzība</t>
  </si>
  <si>
    <t xml:space="preserve">             Ārvalstu finansu palīdzība</t>
  </si>
  <si>
    <t xml:space="preserve">             Pārējie</t>
  </si>
  <si>
    <t xml:space="preserve">                                         mīnus transferts no valsts pamatbudžeta</t>
  </si>
  <si>
    <t xml:space="preserve"> C.1. Valsts speciālā budžeta ieņēmumi (neto)</t>
  </si>
  <si>
    <t>A.2. Kopējie valsts budžeta izdevumi  (A.2.1.+A.2.2.+A.2.3.)</t>
  </si>
  <si>
    <t>A.2.1. Kopējie valsts budžeta uzturēšanas izdevumi (B.2.1.+C.2.1.)</t>
  </si>
  <si>
    <t>A.2.2. Kopējie valsts budžeta kapitālie izdevumi (B.2.2.+C.2.2.)</t>
  </si>
  <si>
    <t>A.2.3. Kopējie valsts budžeta izdevumi investīcijām (B.2.3.+C.2.3.)</t>
  </si>
  <si>
    <t>A.3. Valsts budžeta finansiālais deficīts (-), pārpalikums (+), (A.1.-A.2.)</t>
  </si>
  <si>
    <t>A.4. Kopējie valsts budžeta tīrie aizdevumi (B.4.+C.4.)</t>
  </si>
  <si>
    <t>Kopējie valsts budžeta izdevumi, ieskaitot tīros aizdevumus (A.2.+A.4.)</t>
  </si>
  <si>
    <t>A.5. Valsts budžeta fiskālais deficīts (-), pārpalikums (+), (A.3.-A.4.)</t>
  </si>
  <si>
    <t xml:space="preserve">       Finansēšana:</t>
  </si>
  <si>
    <t xml:space="preserve">          ieņēmumi no valsts un pašvaldību īpašuma privatizācijas </t>
  </si>
  <si>
    <t xml:space="preserve">          ieņēmumi no valsts nekustāmā īpašuma pārdošanas</t>
  </si>
  <si>
    <t xml:space="preserve">          aizņēmumi</t>
  </si>
  <si>
    <t xml:space="preserve">          pārējā finansēšana</t>
  </si>
  <si>
    <t xml:space="preserve">  Valsts pamatbudžeta izdevumi (bruto)</t>
  </si>
  <si>
    <t xml:space="preserve">                             mīnus transferts valsts speciālajam  budžetam</t>
  </si>
  <si>
    <t xml:space="preserve">  B.2. Valsts pamatbudžeta izdevumi (neto)</t>
  </si>
  <si>
    <t xml:space="preserve">     Valsts pamatbudžeta uzturēšanas izdevumi (bruto)</t>
  </si>
  <si>
    <t xml:space="preserve">                            mīnus transferts valsts speciālajam  budžetam</t>
  </si>
  <si>
    <t xml:space="preserve">  B.2.1. Valsts pamatbudžeta uzturēšanas izdevumi (neto)</t>
  </si>
  <si>
    <t xml:space="preserve">     Valsts pamatbudžeta kapitālie  izdevumi (bruto)</t>
  </si>
  <si>
    <t xml:space="preserve">  B.2.2. Valsts pamatbudžeta kapitālie izdevumi (neto)</t>
  </si>
  <si>
    <t xml:space="preserve">     Valsts pamatbudžeta investīcijas (bruto)</t>
  </si>
  <si>
    <t xml:space="preserve">                           mīnus transferts valsts speciālajam  budžetam</t>
  </si>
  <si>
    <t xml:space="preserve">  B.2.3. Valsts pamatbudžeta investīcijas (neto)</t>
  </si>
  <si>
    <t>B.3. Valsts pamatbudžeta finansiālais deficīts (-), pārpalikums (+)</t>
  </si>
  <si>
    <t xml:space="preserve">  B.4. Valsts pamatbudžeta tīrie aizdevumi </t>
  </si>
  <si>
    <t>Valsts pamatbudžeta tīrie aizdevumi (bruto)</t>
  </si>
  <si>
    <t>B.4.1. Valsts pamatbudžeta tīrie aizdevumi (bruto)</t>
  </si>
  <si>
    <t xml:space="preserve">     Valsts pamatbudžeta tīrie aizdevumi (neto)</t>
  </si>
  <si>
    <t>B.5. Valsts pamatbudžeta fiskālais deficīts (-), pārpalikums (+), (B.3.- B.4.)</t>
  </si>
  <si>
    <t>B.5. Valsts pamatbudžeta fiskālais deficīts (-), pārpalikums (+), (B.3.- B.4.1)</t>
  </si>
  <si>
    <t xml:space="preserve">  Valsts speciālā budžeta izdevumi (bruto)</t>
  </si>
  <si>
    <t xml:space="preserve">                           mīnus transferts valsts pamatbudžetam</t>
  </si>
  <si>
    <t xml:space="preserve">  C.2. Valsts speciālā budžeta izdevumi (neto)</t>
  </si>
  <si>
    <t xml:space="preserve">     Valsts speciālā budžeta uzturēšanas izdevumi (bruto)</t>
  </si>
  <si>
    <t xml:space="preserve">                          mīnus transferts valsts pamatbudžetam</t>
  </si>
  <si>
    <t xml:space="preserve">  C.2.1. Valsts speciālā budžeta uzturēšanas izdevumi (neto)</t>
  </si>
  <si>
    <t xml:space="preserve">     Valsts speciālā budžeta kapitālie izdevumi (bruto)</t>
  </si>
  <si>
    <t xml:space="preserve">  C.2.2. Valsts speciālā budžeta kapitālie izdevumi (neto)</t>
  </si>
  <si>
    <t xml:space="preserve">     Valsts speciālā budžeta investīcijas (bruto)</t>
  </si>
  <si>
    <t xml:space="preserve">  C.2.3. Valsts speciālā budžeta investīcijas (neto)</t>
  </si>
  <si>
    <t>C.3. Valsts speciālā budžeta finansiālais deficīts (-), pārpalikums (+)</t>
  </si>
  <si>
    <t xml:space="preserve">  C.4. Valsts speciālā budžeta tīrie aizdevumi </t>
  </si>
  <si>
    <t xml:space="preserve">     Valsts speciālā budžeta aizdevumi (bruto)</t>
  </si>
  <si>
    <t xml:space="preserve">     Valsts speciālā budžeta aizdevumi (neto)</t>
  </si>
  <si>
    <t>C.5. Valsts speciālā budžeta fiskālais deficīts (-), pārpalikums (+), (C.3.- C.4.)</t>
  </si>
  <si>
    <t>Valsts kase / Pārskatu departaments</t>
  </si>
  <si>
    <t>1999.gada 15.oktobris</t>
  </si>
  <si>
    <t>2.tabula</t>
  </si>
  <si>
    <t>Valsts kases oficiālais mēneša pārskats</t>
  </si>
  <si>
    <t xml:space="preserve">Valsts pamatbudžeta ieņēmumi </t>
  </si>
  <si>
    <t xml:space="preserve">             (2001.gada janvāris - aprīlis)</t>
  </si>
  <si>
    <t xml:space="preserve">Rādītāji </t>
  </si>
  <si>
    <t>Gada sagaidāmā izpilde %</t>
  </si>
  <si>
    <t>Izpilde % pret gada plānu            (4/2)</t>
  </si>
  <si>
    <t xml:space="preserve">Aprīļa mēneša  izpilde </t>
  </si>
  <si>
    <t>1.Ieņēmumi - kopā  (1.1.+1.2.+1.3.+1.4)</t>
  </si>
  <si>
    <t>1.1. Nodokļu ieņēmumi</t>
  </si>
  <si>
    <t>Tiešie nodokļi</t>
  </si>
  <si>
    <t xml:space="preserve">   Uzņēmumu ienākuma nodoklis</t>
  </si>
  <si>
    <t>Netiešie nodokļi</t>
  </si>
  <si>
    <t xml:space="preserve">   Pievienotās vērtības nodoklis</t>
  </si>
  <si>
    <t xml:space="preserve">   Akcīzes nodoklis</t>
  </si>
  <si>
    <t xml:space="preserve">   Muitas nodoklis</t>
  </si>
  <si>
    <t xml:space="preserve">Citiem budžetiem sadalāmie nodokļi </t>
  </si>
  <si>
    <t xml:space="preserve">   t.sk. nodokļi no īpašuma</t>
  </si>
  <si>
    <t>1.2. Nenodokļu ieņēmumi</t>
  </si>
  <si>
    <t xml:space="preserve">   Maksājumi par valsts kapitāla izmantošanu</t>
  </si>
  <si>
    <t xml:space="preserve">   Procentu maksājumi par kredītiem </t>
  </si>
  <si>
    <t xml:space="preserve">   Valsts nodevas par juridiskajiem un citiem pakalpojumiem</t>
  </si>
  <si>
    <t xml:space="preserve">   Valsts nodeva par licenču izsniegšanu atsevišķu uzņēmējdarbības veidu veikšanai</t>
  </si>
  <si>
    <t xml:space="preserve">   Ienākumi no valsts īpašuma iznomāšanas</t>
  </si>
  <si>
    <t xml:space="preserve">   Pārējās valsts nodevas</t>
  </si>
  <si>
    <t xml:space="preserve">           Valsts nodeva par jūras navigācijas pakalpojumiem (bāku nodeva)</t>
  </si>
  <si>
    <t xml:space="preserve">     Valsts nodeva par jūras navigācijas pakalpojumiem (bāku nodeva)</t>
  </si>
  <si>
    <t xml:space="preserve">           Izložu un azartspēļu valsts nodeva, izložu nodoklis, azartspēļu nodoklis</t>
  </si>
  <si>
    <t xml:space="preserve">           Valsts nodeva par azartspēļu iekārtu marķēšanu</t>
  </si>
  <si>
    <t xml:space="preserve">   Sodi un sankcijas</t>
  </si>
  <si>
    <t xml:space="preserve">   Pārējie nenodokļu ieņēmumi</t>
  </si>
  <si>
    <t xml:space="preserve">           Pārskaitījums valsts pamatbudžetā sociālās
           apdrošināšanas iemaksu administrēšanai                         </t>
  </si>
  <si>
    <t xml:space="preserve">          VAS "Latvijas meži" fiksētais maksājums</t>
  </si>
  <si>
    <t xml:space="preserve">        VAS "Latvijas meži" fiksētais maksājums</t>
  </si>
  <si>
    <t xml:space="preserve">          Iemaksas no Dzelzceļa infrastruktūras fonda</t>
  </si>
  <si>
    <t xml:space="preserve">        Iemaksas no Dzelzceļa infrastruktūras fonda</t>
  </si>
  <si>
    <t xml:space="preserve">          Apdrošināšanas uzraudzības inspekcijas vienreizējā  iemaksa Finansu un kapitāla tirgus komisijas izveidei</t>
  </si>
  <si>
    <t xml:space="preserve">          Ieņēmumi no pasēm</t>
  </si>
  <si>
    <t>1.3. Pašu ieņēmumi</t>
  </si>
  <si>
    <t xml:space="preserve">   Budžeta iestāžu ieņēmumi no maksas pakalpojumiem           un citi pašu ieņēmumi</t>
  </si>
  <si>
    <t>1.4. Ārvalstu finansu palīdzība</t>
  </si>
  <si>
    <t xml:space="preserve">Valsts kases pārvaldnieks                                                             </t>
  </si>
  <si>
    <t>A.Veiss</t>
  </si>
  <si>
    <t>Valsts kase /Pārskatu departaments</t>
  </si>
  <si>
    <t>3.tabula</t>
  </si>
  <si>
    <t xml:space="preserve">Valsts kases oficiālais mēneša pārskats </t>
  </si>
  <si>
    <t xml:space="preserve">     Valsts pamatbudżeta ieņēmumi un  izdevumi pa ministrijām un citām centrālām valsts iestādēm </t>
  </si>
  <si>
    <t>(2001.gada janvāris-aprīlis)</t>
  </si>
  <si>
    <t>(2001.gada janvāris - aprīlis)</t>
  </si>
  <si>
    <t>kopā ar ārvalstu  finansu palīdzību</t>
  </si>
  <si>
    <t xml:space="preserve">Finansēšanas plāns pārskata periodam </t>
  </si>
  <si>
    <t>Izpilde % pret gada plānu (4/2)</t>
  </si>
  <si>
    <t>Izpilde % pret finansēšanas plānu pārskata periodam 
  (4/3)</t>
  </si>
  <si>
    <t xml:space="preserve">Aprīļa  mēneša  izpilde </t>
  </si>
  <si>
    <t>Ieņēmumi kopā</t>
  </si>
  <si>
    <t>Resursi izdevumu segšanai</t>
  </si>
  <si>
    <t>Dotācijas no vispārējiem ieņēmumiem</t>
  </si>
  <si>
    <t>Dotācijas īpašiem mērķiem</t>
  </si>
  <si>
    <t>Maksas pakalpojumi un citi pašu ieņēmumi</t>
  </si>
  <si>
    <t>Ārvalstu finansu palīdzība</t>
  </si>
  <si>
    <t xml:space="preserve">   Izdevumi - kopā </t>
  </si>
  <si>
    <t>Uzturēšanas izdevumi</t>
  </si>
  <si>
    <t>Izdevumi kapitālieguldījumiem</t>
  </si>
  <si>
    <t>Tīrie aizdevumi</t>
  </si>
  <si>
    <t>Fiskālā bilance</t>
  </si>
  <si>
    <t>1 Valsts prezidenta kanceleja</t>
  </si>
  <si>
    <t>Valsts prezidenta kanceleja</t>
  </si>
  <si>
    <t>Izdevumi kopā</t>
  </si>
  <si>
    <t>2 Saeima</t>
  </si>
  <si>
    <t>Saeima</t>
  </si>
  <si>
    <t>3 Ministru Kabinets</t>
  </si>
  <si>
    <t>Ministru Kabinets</t>
  </si>
  <si>
    <t>10 Aizsardzības ministrija</t>
  </si>
  <si>
    <t>Aizsardzības ministrija</t>
  </si>
  <si>
    <t>11 Ārlietu ministrija</t>
  </si>
  <si>
    <t>Ārlietu ministrija</t>
  </si>
  <si>
    <t>12 Ekonomikas ministrija</t>
  </si>
  <si>
    <t>Ekonomikas ministrija</t>
  </si>
  <si>
    <t>13 Finansu ministrija</t>
  </si>
  <si>
    <t>Finansu ministrija</t>
  </si>
  <si>
    <t>14 Iekšlietu ministrija</t>
  </si>
  <si>
    <t>Iekšlietu ministrija</t>
  </si>
  <si>
    <t>15 Izglītības un zinātnes ministrija</t>
  </si>
  <si>
    <t>Izglītības un zinātnes ministrija</t>
  </si>
  <si>
    <t>16 Zemkopības ministrija</t>
  </si>
  <si>
    <t>Zemkopības ministrija</t>
  </si>
  <si>
    <t>17 Satiksmes ministrija</t>
  </si>
  <si>
    <t>Satiksmes ministrija</t>
  </si>
  <si>
    <t>18 Labklājības ministrija</t>
  </si>
  <si>
    <t>Labklājības ministrija</t>
  </si>
  <si>
    <t>19 Tieslietu ministrija</t>
  </si>
  <si>
    <t>Tieslietu ministrija</t>
  </si>
  <si>
    <t>21 Vides aizsardzības un reģionālās attīstības ministrija</t>
  </si>
  <si>
    <t>Vides aizsardzības un reģionālās attīstības ministrija</t>
  </si>
  <si>
    <t>22 Kultūras ministrija</t>
  </si>
  <si>
    <t>Kultūras ministrija</t>
  </si>
  <si>
    <t>23 Valsts zemes dienests</t>
  </si>
  <si>
    <t>Valsts zemes dienests</t>
  </si>
  <si>
    <t>24 Valsts kontrole</t>
  </si>
  <si>
    <t>Valsts kontrole</t>
  </si>
  <si>
    <t>28 Augstākā tiesa</t>
  </si>
  <si>
    <t>Augstākā tiesa</t>
  </si>
  <si>
    <t>30 Satversmes tiesa</t>
  </si>
  <si>
    <t>Satversmes tiesa</t>
  </si>
  <si>
    <t>32 Prokuratūra</t>
  </si>
  <si>
    <t>Prokuratūra</t>
  </si>
  <si>
    <t>35 Centrālā vēlēšanu komisija</t>
  </si>
  <si>
    <t>Centrālā vēlēšanu komisija</t>
  </si>
  <si>
    <t>37 Centrālā zemes komisija</t>
  </si>
  <si>
    <t>Centrālā zemes komisija</t>
  </si>
  <si>
    <t>44 Satversmes aizsardzības birojs</t>
  </si>
  <si>
    <t>Satversmes aizsardzības birojs</t>
  </si>
  <si>
    <t>47 Radio un televīzija</t>
  </si>
  <si>
    <t>Radio un televīzija</t>
  </si>
  <si>
    <t>48 Valsts cilvēktiesību birojs</t>
  </si>
  <si>
    <t>Valsts cilvēktiesību birojs</t>
  </si>
  <si>
    <t>50 Īpašu uzdevumu ministra sadarbībai  ar starptautiskajām finansu institūcijām sekretariāts</t>
  </si>
  <si>
    <t>Īpašu uzdevumu ministra sadarbībai  ar starptautiskajām finansu institūcijām sekretariāts</t>
  </si>
  <si>
    <t>51 Īpašu uzdevumu ministra valsts reformu lietās  sekretariāts</t>
  </si>
  <si>
    <t>Īpašu uzdevumu ministra valsts reformu lietās  sekretariāts</t>
  </si>
  <si>
    <t>Sabiedrisko pakalpojumu regulēšanas komisija</t>
  </si>
  <si>
    <t>62 Mērķdotācijas pašvaldībām</t>
  </si>
  <si>
    <t>Mērķdotācijas pašvaldībām</t>
  </si>
  <si>
    <t>64 Dotācija pašvaldībām</t>
  </si>
  <si>
    <t>Dotācija pašvaldībām</t>
  </si>
  <si>
    <t xml:space="preserve">Valsts kases pārvaldnieks                           (paraksts)                                                 </t>
  </si>
  <si>
    <t>(paraksta atšifrējums)</t>
  </si>
  <si>
    <t>4.tabula</t>
  </si>
  <si>
    <t xml:space="preserve">           Valsts kases oficiālais mēneša pārskats</t>
  </si>
  <si>
    <t>Valsts pamatbudžeta ieņēmumi un izdevumi pēc ekonomiskās klasifikācijas</t>
  </si>
  <si>
    <t xml:space="preserve">              (2001.gada janvāris-aprīlis)</t>
  </si>
  <si>
    <t>Finansēšanas plāns pārskata periodam</t>
  </si>
  <si>
    <t>Izpilde % pret gada plānu      (4/2)</t>
  </si>
  <si>
    <t>Izpilde % pret finansēša-nas plānu pārskata periodam       (4/3)</t>
  </si>
  <si>
    <t xml:space="preserve">Pārskata mēneša  izpilde </t>
  </si>
  <si>
    <t>1. Ieņēmumi - kopā</t>
  </si>
  <si>
    <t xml:space="preserve">Resursi izdevumu segšanai </t>
  </si>
  <si>
    <t xml:space="preserve">   Dotācija no vispārējiem ieņēmumiem</t>
  </si>
  <si>
    <t xml:space="preserve">   Dotācija īpašiem mērķiem</t>
  </si>
  <si>
    <t xml:space="preserve">   Maksas pakalpojumi un citi pašu ieņēmumi</t>
  </si>
  <si>
    <t xml:space="preserve">   Ārvalstu finansu palīdzība </t>
  </si>
  <si>
    <t>2. Izdevumi - kopā (2.1.+2.2.)</t>
  </si>
  <si>
    <t>2.1. Uzturēšanas izdevumi</t>
  </si>
  <si>
    <t>Kārtējie izdevumi</t>
  </si>
  <si>
    <t xml:space="preserve">    atalgojumi</t>
  </si>
  <si>
    <t xml:space="preserve">   valsts sociālās apdrošināšanas obligātās iemaksas</t>
  </si>
  <si>
    <t xml:space="preserve">    pārējie kārtējie izdevumi</t>
  </si>
  <si>
    <t>Maksājumi par aizņēmumiem un kredītiem</t>
  </si>
  <si>
    <t xml:space="preserve">   procentu nomaksa par iekšējiem aizņēmumiem</t>
  </si>
  <si>
    <t xml:space="preserve">    procentu nomaksa ārvalstu institūcijām</t>
  </si>
  <si>
    <t xml:space="preserve">   Finansu ministrijas maksājumi par valsts parāda apkalpošanu</t>
  </si>
  <si>
    <t>Subsīdijas un dotācijas</t>
  </si>
  <si>
    <t xml:space="preserve">    subsīdijas</t>
  </si>
  <si>
    <t xml:space="preserve">    mērķdotācijas pašvaldību budžetiem</t>
  </si>
  <si>
    <t xml:space="preserve">    dotācijas pašvaldību budžetiem</t>
  </si>
  <si>
    <t xml:space="preserve">    dotācijas iestādēm un organizācijām</t>
  </si>
  <si>
    <t xml:space="preserve">                t.sk. dotācijas lauksaimniecībai</t>
  </si>
  <si>
    <t xml:space="preserve">     dotācijas iedzīvotājiem</t>
  </si>
  <si>
    <t xml:space="preserve">                t.sk.            pensijas </t>
  </si>
  <si>
    <t xml:space="preserve"> pabalsti</t>
  </si>
  <si>
    <t xml:space="preserve">    stipendijas</t>
  </si>
  <si>
    <t xml:space="preserve"> pārējie</t>
  </si>
  <si>
    <t xml:space="preserve">   iemaksas starptautiskajās organizācijās</t>
  </si>
  <si>
    <t xml:space="preserve">   pārējās subsīdijas un dotācijas</t>
  </si>
  <si>
    <t xml:space="preserve">        t.sk.        speciālajam budžetam</t>
  </si>
  <si>
    <t xml:space="preserve">                               SAPARD maksājumi </t>
  </si>
  <si>
    <t>2.2. Izdevumi kapitālieguldījumiem</t>
  </si>
  <si>
    <t>Kapitālie izdevumi kopā</t>
  </si>
  <si>
    <t>Investīcijas kopā</t>
  </si>
  <si>
    <t xml:space="preserve">   t.sk. speciālajam budžetam</t>
  </si>
  <si>
    <t xml:space="preserve">            pašvaldību budžetam</t>
  </si>
  <si>
    <t>3. Valsts budžeta tīrie aizdevumi (3.1.-3.2.)</t>
  </si>
  <si>
    <t>3.1.Valsts budžeta aizdevumi</t>
  </si>
  <si>
    <t xml:space="preserve">   t.sk.speciālajam budžetam</t>
  </si>
  <si>
    <t>3.2.Valsts budžeta aizdevumu atmaksas</t>
  </si>
  <si>
    <t xml:space="preserve">   t.sk. no speciālā budžeta</t>
  </si>
  <si>
    <t xml:space="preserve">Fiskālā bilance </t>
  </si>
  <si>
    <t>Finansēšana</t>
  </si>
  <si>
    <t xml:space="preserve">    ieņēmumi no valsts un pašvaldību īpašuma privatizācijas</t>
  </si>
  <si>
    <t xml:space="preserve">    aizņēmumi</t>
  </si>
  <si>
    <t xml:space="preserve">Valsts kases pārvaldnieks                                                                          </t>
  </si>
  <si>
    <t>2001.gada 15.februāris</t>
  </si>
  <si>
    <r>
      <t xml:space="preserve">ieņēmumi no valsts nekustamā </t>
    </r>
    <r>
      <rPr>
        <u val="single"/>
        <sz val="9"/>
        <rFont val="Arial"/>
        <family val="2"/>
      </rPr>
      <t>ī</t>
    </r>
    <r>
      <rPr>
        <sz val="9"/>
        <rFont val="Arial"/>
        <family val="2"/>
      </rPr>
      <t xml:space="preserve">pašuma pārdošanas </t>
    </r>
  </si>
  <si>
    <r>
      <t xml:space="preserve">ieņēmumi no valsts nekustamā </t>
    </r>
    <r>
      <rPr>
        <u val="single"/>
        <sz val="10"/>
        <rFont val="Arial"/>
        <family val="2"/>
      </rPr>
      <t>ī</t>
    </r>
    <r>
      <rPr>
        <sz val="10"/>
        <rFont val="Arial"/>
        <family val="2"/>
      </rPr>
      <t xml:space="preserve">pašuma pārdošanas </t>
    </r>
  </si>
  <si>
    <t>5.tabula</t>
  </si>
  <si>
    <t xml:space="preserve">                 Valsts pamatbudžeta izdevumi un tīrie aizdevumi pēc valdības funkcijām</t>
  </si>
  <si>
    <t xml:space="preserve">    (saimnieciskais gads, pārskata periods)</t>
  </si>
  <si>
    <t>(tūkst. latu)</t>
  </si>
  <si>
    <t>Valdības funkcijas kods</t>
  </si>
  <si>
    <t>Izpilde % pret gada plānu          (3/2)</t>
  </si>
  <si>
    <t>Izpilde % pret gada plānu          (4/3)</t>
  </si>
  <si>
    <t>Izdevumi - kopā</t>
  </si>
  <si>
    <t>Vispārējie valdības dienesti</t>
  </si>
  <si>
    <t>Aizsardzība</t>
  </si>
  <si>
    <t>Sabiedriskā kārtība un drošība, tiesību aizsardzība</t>
  </si>
  <si>
    <t>Izglītība</t>
  </si>
  <si>
    <t>Veselības aprūpe</t>
  </si>
  <si>
    <t>Sociālā apdrošināšana un sociālā nodrošināšana</t>
  </si>
  <si>
    <t>Dzīvokļu un komunālā saimniecība, vides aizsardzība</t>
  </si>
  <si>
    <t xml:space="preserve">Brīvais laiks, sports,kultūra un reliģija </t>
  </si>
  <si>
    <t>Kurināmā un enerģētikas dienesti un pasākumi</t>
  </si>
  <si>
    <t xml:space="preserve">Lauksaimniecība (zemkopība), mežkopība un zvejniecība </t>
  </si>
  <si>
    <t>Iegūstošā rūpniecība, rūpniecība, celtniecība, derīgie izrakteņi</t>
  </si>
  <si>
    <t>Transports, sakari</t>
  </si>
  <si>
    <t>Pārējā ekonomiskā darbība un dienesti</t>
  </si>
  <si>
    <t xml:space="preserve">Pārējie izdevumi, kas nav atspoguļoti pamatgrupās </t>
  </si>
  <si>
    <t>t.sk. tīrie aizdevumi</t>
  </si>
  <si>
    <t xml:space="preserve">Valsts kases pārvaldnieks                                                 </t>
  </si>
  <si>
    <t>A. Veiss</t>
  </si>
  <si>
    <t>6.tabula</t>
  </si>
  <si>
    <t xml:space="preserve"> Valsts kases oDiciālais mēneša pārskats</t>
  </si>
  <si>
    <t xml:space="preserve">Valsts speciālā budžeta ieņēmumi un izdevumi pa ministrijām </t>
  </si>
  <si>
    <t>latos</t>
  </si>
  <si>
    <t xml:space="preserve"> (tūkst.latu)</t>
  </si>
  <si>
    <t>Finansēšanas plāns</t>
  </si>
  <si>
    <t>Izpilde % pret gada plānu 
   (4/2)</t>
  </si>
  <si>
    <t>aprīlis</t>
  </si>
  <si>
    <t xml:space="preserve">Ieņēmumi - kopā  </t>
  </si>
  <si>
    <t xml:space="preserve">        Uzturēšanas izdevumi  </t>
  </si>
  <si>
    <t xml:space="preserve">        t.sk. aizņēmuma atmaksa pamatbudžetā</t>
  </si>
  <si>
    <t xml:space="preserve">        Izdevumi kapitālieguldījumiem</t>
  </si>
  <si>
    <t xml:space="preserve">Aizņēmums no pamatbudžeta </t>
  </si>
  <si>
    <t>Centrālā dzīvojamo māju privatizācijas komisija</t>
  </si>
  <si>
    <t>Ieņēmumi</t>
  </si>
  <si>
    <t xml:space="preserve">       Ieņēmumi no dzīvojamo māju privatizācijas</t>
  </si>
  <si>
    <t>Izdevumi</t>
  </si>
  <si>
    <t xml:space="preserve">        Uzturēšanas izdevumi</t>
  </si>
  <si>
    <t>Transportlīdzekļu īpašnieku civiltiesiskās atbildības obligātās apdrošināšanas sistēma</t>
  </si>
  <si>
    <t xml:space="preserve">    Atskaitījumi no apdrošināšanas prēmijām:</t>
  </si>
  <si>
    <t xml:space="preserve">      t.sk. transportlīdzekļu īpašnieku
              iekšzemes apdrošināšanas garantijas
             fonds</t>
  </si>
  <si>
    <t xml:space="preserve">              transportlīdzekļu īpašnieku
              apdrošināšanas apdrošinājuma
              ņēmēju interešu aizsardzības fonds</t>
  </si>
  <si>
    <t xml:space="preserve">              ceļu satiksmes negadījumu
              novēršanai un profilaksei</t>
  </si>
  <si>
    <t xml:space="preserve">              transportlīdzekļu īpašnieku Zaļo
              karšu apdrošināšanas garantijas
              fonds</t>
  </si>
  <si>
    <t xml:space="preserve">    Pārapdrošināšanas maksājumi</t>
  </si>
  <si>
    <t xml:space="preserve">    Regresa prasības</t>
  </si>
  <si>
    <t xml:space="preserve">    Pārējie ieņēmumi</t>
  </si>
  <si>
    <t>Noguldījumu garantiju fonda veidošana, pārvaldīšana un izlietošana</t>
  </si>
  <si>
    <t xml:space="preserve">   Atskaitījumi no bankām</t>
  </si>
  <si>
    <t xml:space="preserve">   Uzturēšanas izdevumi</t>
  </si>
  <si>
    <t>Apdrošināto aizsardzības fondi</t>
  </si>
  <si>
    <t xml:space="preserve">      t.sk.dzīvības apdrošināšanai</t>
  </si>
  <si>
    <t xml:space="preserve">             pārējai apdrošināšanai</t>
  </si>
  <si>
    <t>Augstas klases sasniegumu sports</t>
  </si>
  <si>
    <t xml:space="preserve">    Valsts pamatbudžeta dotācija</t>
  </si>
  <si>
    <t xml:space="preserve">    Uzturēšanas izdevumi</t>
  </si>
  <si>
    <t xml:space="preserve">     t.sk. aizņēmuma atmaksa pamatbudžetā</t>
  </si>
  <si>
    <t xml:space="preserve">    Izdevumi kapitālieguldījumiem</t>
  </si>
  <si>
    <t xml:space="preserve"> Studējošo un studiju kreditēšana</t>
  </si>
  <si>
    <t xml:space="preserve">    Mācību maksa</t>
  </si>
  <si>
    <t xml:space="preserve">     Mācību maksa</t>
  </si>
  <si>
    <t>Aizņēmums no pamatbudžeta</t>
  </si>
  <si>
    <t xml:space="preserve"> Zivju fonds</t>
  </si>
  <si>
    <t xml:space="preserve">    Maksa par rūpnieciskās zvejas tiesību nomu </t>
  </si>
  <si>
    <t xml:space="preserve">    Pārējie maksājumi</t>
  </si>
  <si>
    <t>Valsts autoceļu fonds</t>
  </si>
  <si>
    <t xml:space="preserve">    Transportlīdzekļu ikgadējā nodeva</t>
  </si>
  <si>
    <t xml:space="preserve">    50%  akcīzes nodoklis par naftas produktiem</t>
  </si>
  <si>
    <t xml:space="preserve">         t.sk. aizņēmuma atmaksa pamatbudžetā</t>
  </si>
  <si>
    <t>Latvijas ostu attīstības fonds</t>
  </si>
  <si>
    <t xml:space="preserve">    Atskaitījumi no ostu maksām</t>
  </si>
  <si>
    <t>Lidostas "Rīga" infrastruktūras attīstībai</t>
  </si>
  <si>
    <t xml:space="preserve">   Izlidošanas nodeva</t>
  </si>
  <si>
    <t>Valsts speciālais veselības aprūpes budžets</t>
  </si>
  <si>
    <t xml:space="preserve">   Iedzīvotāju ienākuma nodoklis</t>
  </si>
  <si>
    <t xml:space="preserve">   Valsts pamatbudžeta dotācija</t>
  </si>
  <si>
    <t>Sociālā apdrošināšana</t>
  </si>
  <si>
    <t xml:space="preserve">           Sociālās apdrošināšanas iemaksas </t>
  </si>
  <si>
    <t xml:space="preserve">           Valsts pamatbudžeta dotācija</t>
  </si>
  <si>
    <t xml:space="preserve">          Citi īpašiem mērķiem iezīmēti ieņēmumi</t>
  </si>
  <si>
    <t xml:space="preserve">Izdevumi  </t>
  </si>
  <si>
    <t>Izdevumi*</t>
  </si>
  <si>
    <t xml:space="preserve">     Valsts pensiju speciālais budžets</t>
  </si>
  <si>
    <t xml:space="preserve">           Uzturēšanas izdevumi</t>
  </si>
  <si>
    <t xml:space="preserve">     Nodarbinātības speciālais budžets</t>
  </si>
  <si>
    <t xml:space="preserve">     Darba negadījumu speciālais budžets</t>
  </si>
  <si>
    <t xml:space="preserve">    Invaliditātes, maternitātes un slimības speciālais budžets </t>
  </si>
  <si>
    <t>BOVAS "Valsts sociālās apdrošināšanas aģentūra"</t>
  </si>
  <si>
    <t xml:space="preserve">           Izdevumi kapitālieguldījumiem</t>
  </si>
  <si>
    <t>Vides aizsardzības fonds</t>
  </si>
  <si>
    <t xml:space="preserve">    Dabas resursu nodoklis</t>
  </si>
  <si>
    <t xml:space="preserve">    Akcīzes nodoklis par kurināmajiem naftas produktiem</t>
  </si>
  <si>
    <t>Kultūrkapitāla fonds</t>
  </si>
  <si>
    <t xml:space="preserve">   Ieņēmumi no akcīzes nodokļa par alkoholiskajiem dzērieniem</t>
  </si>
  <si>
    <t xml:space="preserve">   Ieņēmumi no akcīzes nodokļa par tabakas izstrādājumiem</t>
  </si>
  <si>
    <t>Īpašu uzdevumu ministra sadarbībai ar starptautiskajām finansu institūcijām sekretariāts</t>
  </si>
  <si>
    <t>tūkst.latu</t>
  </si>
  <si>
    <t>Valsts kase/ Pārskatu departaments</t>
  </si>
  <si>
    <t>2001.gada 15.aprīlis</t>
  </si>
  <si>
    <t xml:space="preserve">                                  Valsts kases oficiālais mēneša pārskats</t>
  </si>
  <si>
    <t>7.tabula</t>
  </si>
  <si>
    <t xml:space="preserve">Valsts speciālā budžeta ieņēmumi un izdevumi </t>
  </si>
  <si>
    <t>pēc ekonomiskās klasifikācijas</t>
  </si>
  <si>
    <t>(2001.gada aprīlis)</t>
  </si>
  <si>
    <t>Izpilde % pret finansēšanas plānu pārskata periodam           (4/3)</t>
  </si>
  <si>
    <t xml:space="preserve">Marta
 mēneša  izpilde </t>
  </si>
  <si>
    <t>1.Ieņēmumi - kopā</t>
  </si>
  <si>
    <t>Īpašiem mērķiem iezīmēti ieņēmumi</t>
  </si>
  <si>
    <t xml:space="preserve">   t.sk.valsts pamatbudžeta dotācijas</t>
  </si>
  <si>
    <t>2.1.Uzturēšanas izdevumi</t>
  </si>
  <si>
    <t xml:space="preserve"> t.sk. atalgojumi</t>
  </si>
  <si>
    <t xml:space="preserve">        valsts sociālās apdrošināšanas obligātās iemaksas</t>
  </si>
  <si>
    <t xml:space="preserve">        pārējie kārtējie izdevumi</t>
  </si>
  <si>
    <t xml:space="preserve">        aizņēmumu atmaksa </t>
  </si>
  <si>
    <t xml:space="preserve">       procentu nomaksa par iekšējiem aizņēmumiem</t>
  </si>
  <si>
    <t xml:space="preserve">       procentu nomaksa par ārvalstu aizņēmumiem</t>
  </si>
  <si>
    <t xml:space="preserve">       subsīdijas</t>
  </si>
  <si>
    <t xml:space="preserve">        t.sk. dzelzceļam 3130</t>
  </si>
  <si>
    <t xml:space="preserve">        t.sk. dzelzceļam</t>
  </si>
  <si>
    <t xml:space="preserve">       mērķdotācijas pašvaldību budžetiem</t>
  </si>
  <si>
    <t xml:space="preserve">        t.sk. autoceļu(ielu) fondiem 3250</t>
  </si>
  <si>
    <t xml:space="preserve">        t.sk. autoceļu(ielu) fondiem</t>
  </si>
  <si>
    <t xml:space="preserve">               pasažieru regulārajiem pārvadātājiem ar autobusiem:3280</t>
  </si>
  <si>
    <t xml:space="preserve">               pasažieru regulārajiem pārvadātājiem ar autobusiem:</t>
  </si>
  <si>
    <t xml:space="preserve">                     no tiem: pašvaldībām 3281</t>
  </si>
  <si>
    <t xml:space="preserve">                     no tiem: pašvaldībām</t>
  </si>
  <si>
    <t xml:space="preserve">                                     pārējiem pārvadātājiem 3282</t>
  </si>
  <si>
    <t xml:space="preserve">                                     pārējiem pārvadātājiem</t>
  </si>
  <si>
    <t xml:space="preserve">       dotācijas pašvaldību budžetiem</t>
  </si>
  <si>
    <t xml:space="preserve">       dotācijas iestādēm, organizācijām un uzņēmumiem</t>
  </si>
  <si>
    <t xml:space="preserve">       dotācijas iedzīvotājiem</t>
  </si>
  <si>
    <t xml:space="preserve">    t.sk. pensijas</t>
  </si>
  <si>
    <t xml:space="preserve">           pabalsti</t>
  </si>
  <si>
    <t xml:space="preserve">              stipendijas</t>
  </si>
  <si>
    <t xml:space="preserve">          pārējie</t>
  </si>
  <si>
    <t xml:space="preserve">       iemaksas starptautiskajās organizācijās</t>
  </si>
  <si>
    <t xml:space="preserve">       dotācija valsts pamatbudžetam sociālās      apdrošināšanas iemaksu administrēšanai</t>
  </si>
  <si>
    <t>2.2.Izdevumi kapitālieguldījumiem</t>
  </si>
  <si>
    <t xml:space="preserve">   Kapitālie izdevumi</t>
  </si>
  <si>
    <t xml:space="preserve">   Investīcijas</t>
  </si>
  <si>
    <t>3.Valsts budžeta tīrie aizdevumi (3.1.-3.2.)</t>
  </si>
  <si>
    <t xml:space="preserve">   3.1.Valsts budžeta aizdevumi</t>
  </si>
  <si>
    <t xml:space="preserve">   3.2.Valsts budžeta aizdevumu atmaksas</t>
  </si>
  <si>
    <t>Fiskālā bilance (1.-2.-3.)</t>
  </si>
  <si>
    <t xml:space="preserve">Aizņēmums no pamatbudžeta                          </t>
  </si>
  <si>
    <t>Valsts speciālā budžeta naudas līdzekļu atlikumu izmaiņas palielinājums (-) vai samazinājums (+)</t>
  </si>
  <si>
    <t>Informatīvi:</t>
  </si>
  <si>
    <t>Fondēto pensiju shēmas līdzekļi</t>
  </si>
  <si>
    <t xml:space="preserve">   t.sk. sociālās apdrošināšanas obligātās iemaksas</t>
  </si>
  <si>
    <t>2001.gada 15.februārī</t>
  </si>
  <si>
    <t xml:space="preserve">                                                      Valsts kases oficiālais mēneša pārskats</t>
  </si>
  <si>
    <t>8.tabula</t>
  </si>
  <si>
    <t xml:space="preserve"> Valsts speciālā budžeta izdevumi  un tīrie aizdevumi pēc valdības funkcijām</t>
  </si>
  <si>
    <t xml:space="preserve">Izglītība </t>
  </si>
  <si>
    <t xml:space="preserve">Izglītība  </t>
  </si>
  <si>
    <t>t.sk. tīrie  aizdevumi</t>
  </si>
  <si>
    <t>Pārējie izdevumi, kas nav atspoguļoti pamatgrupās  (ieskaitot tīros aizdevumus)</t>
  </si>
  <si>
    <t>9.tabula</t>
  </si>
  <si>
    <t xml:space="preserve">Valsts  budžeta  ziedojumu un dāvinājumu ieņēmumi un izdevumi pa ministrijām un citām centrālām valsts iestādēm </t>
  </si>
  <si>
    <t>Izpilde % pret finansēšanas plānu (3/2)</t>
  </si>
  <si>
    <t xml:space="preserve">Izdevumi - kopā </t>
  </si>
  <si>
    <t>Ieņēmumi *</t>
  </si>
  <si>
    <t>Ieņēmumi **</t>
  </si>
  <si>
    <t>Izdevumi - kopā **</t>
  </si>
  <si>
    <t>Uzturēšanas izdevumi **</t>
  </si>
  <si>
    <t>10.tabula</t>
  </si>
  <si>
    <t xml:space="preserve">                                              Valsts kases oficiālais mēneša pārskats</t>
  </si>
  <si>
    <t>Valsts  budžeta ziedojumu un dāvinājumu ieņēmumi un izdevumi pēc ekonomiskās klasifikācijas</t>
  </si>
  <si>
    <t>H</t>
  </si>
  <si>
    <t xml:space="preserve">Izpilde no gada sākuma </t>
  </si>
  <si>
    <t>Izpilde % pret finansēšanas plānu  (3/2)</t>
  </si>
  <si>
    <t>marts</t>
  </si>
  <si>
    <t>1.Saņemtie dāvinājumi un ziedojumi - kopā</t>
  </si>
  <si>
    <t xml:space="preserve">   no iekšzemes juridiskajām un fiziskajām personām</t>
  </si>
  <si>
    <t xml:space="preserve">   no ārvalstu juridiskajām un fiziskajām personām  </t>
  </si>
  <si>
    <t xml:space="preserve">   budžetā neiekļautā ārvalstu finansu palīdzība</t>
  </si>
  <si>
    <t xml:space="preserve">2.Izdevumi - kopā (2.1.+2.2.) </t>
  </si>
  <si>
    <t xml:space="preserve">    valsts sociālās apdrošināšanas obligātās iemaksas</t>
  </si>
  <si>
    <t xml:space="preserve">          </t>
  </si>
  <si>
    <t xml:space="preserve">     t.sk. preču un pakalpojumu izdevumi  </t>
  </si>
  <si>
    <t xml:space="preserve">            pārējie izdevumi</t>
  </si>
  <si>
    <t xml:space="preserve">     aizņēmumu atmaksa</t>
  </si>
  <si>
    <t xml:space="preserve">     procentu nomaksa par iekšējiem aizņēmumiem</t>
  </si>
  <si>
    <t xml:space="preserve">     procentu nomaksa par ārvalstu aizņēmumiem</t>
  </si>
  <si>
    <t xml:space="preserve">     dotācijas iestādēm un organizācijām</t>
  </si>
  <si>
    <t>2.2.Izdevumi  kapitālieguldījumiem</t>
  </si>
  <si>
    <t xml:space="preserve">Kapitālie izdevumi  </t>
  </si>
  <si>
    <t>Investīcijas</t>
  </si>
  <si>
    <t>Fiskālā bilance (1.-2.)</t>
  </si>
  <si>
    <t>Naudas līdzekļu atlikumu izmaiņas palielinājums (-) vai samazinājums (+)</t>
  </si>
  <si>
    <t xml:space="preserve">Valsts kases pārvaldnieks                                                                      </t>
  </si>
  <si>
    <t>11.tabula</t>
  </si>
  <si>
    <t>Valsts budžeta ziedojumu un dāvinājumu izdevumi pēc valdības funkcijām</t>
  </si>
  <si>
    <t xml:space="preserve">Valdības funkciju kods </t>
  </si>
  <si>
    <t>Izpilde % pret finansēšanas plānu  (4/3)</t>
  </si>
  <si>
    <t>01.000</t>
  </si>
  <si>
    <t>02.000</t>
  </si>
  <si>
    <t>03.000</t>
  </si>
  <si>
    <t>04.000</t>
  </si>
  <si>
    <t>05.000</t>
  </si>
  <si>
    <t>06.000</t>
  </si>
  <si>
    <t>07.000</t>
  </si>
  <si>
    <t>Brīvais laiks, sports, kultūra un reliģija</t>
  </si>
  <si>
    <t>08.000</t>
  </si>
  <si>
    <t>09.000</t>
  </si>
  <si>
    <t>Lauksaimniecība (zemkopība), mežkopība un zvejniecība</t>
  </si>
  <si>
    <t>10.000</t>
  </si>
  <si>
    <t>11.000</t>
  </si>
  <si>
    <t>12.000</t>
  </si>
  <si>
    <t>13.000</t>
  </si>
  <si>
    <t>Pārējā ekonomiskā darbība un dienesti*</t>
  </si>
  <si>
    <t>Pārējie izdevumi, kas nav atspoguļoti pamatgrupās</t>
  </si>
  <si>
    <t>14.000</t>
  </si>
  <si>
    <t>Pārējie izdevumi, kas nav atspoguļoti pamatgrupās (ieskaitot tīros aizdevumus)**</t>
  </si>
  <si>
    <t>10. tabula</t>
  </si>
  <si>
    <t>12.tabula</t>
  </si>
  <si>
    <t xml:space="preserve">Ārvalstu finansu palīdzības un valsts budžeta līdzdalības maksājumi </t>
  </si>
  <si>
    <t>(latos)</t>
  </si>
  <si>
    <t>Izpilde % pret finansēša-nas plānu pārskata periodam 
  (4/3)</t>
  </si>
  <si>
    <t>Mēneša izpilde</t>
  </si>
  <si>
    <t xml:space="preserve">   1. Ārvalstu finansu palīdzība
un valsts pamatbudžeta 
līdzdalības maksājumi kopā</t>
  </si>
  <si>
    <t xml:space="preserve">     Uzturēšanas izdevumi</t>
  </si>
  <si>
    <t xml:space="preserve">     Izdevumi kapitālieguldījumiem</t>
  </si>
  <si>
    <t>Valsts pamatbudžets</t>
  </si>
  <si>
    <t xml:space="preserve">  Ārvalstu finansu palīdzība</t>
  </si>
  <si>
    <t xml:space="preserve">  Valsts pamatbudžets</t>
  </si>
  <si>
    <t xml:space="preserve">Tieslietu ministrija </t>
  </si>
  <si>
    <t>Vides aizsardzības un reģionālās 
attīstības ministrija</t>
  </si>
  <si>
    <t>Īpašu uzdevumu ministra valsts reformu lietās sekretariāts</t>
  </si>
  <si>
    <t xml:space="preserve">   2. Ārvalstu finansu palīdzība
un valsts speciālā budžeta
līdzdalības maksājumi kopā</t>
  </si>
  <si>
    <t>Valsts speciālais budžets</t>
  </si>
  <si>
    <t xml:space="preserve">  Valsts speciālais budžets</t>
  </si>
  <si>
    <t>3. Pārējā ārvalstu finansu palīdzība</t>
  </si>
  <si>
    <t>X</t>
  </si>
  <si>
    <t>13. tabula</t>
  </si>
  <si>
    <t>Pašvaldību konsolidētā budžeta izpilde  (neieskaitot ziedojumus un dāvinājumus)</t>
  </si>
  <si>
    <t>Gada plāns</t>
  </si>
  <si>
    <t>A.1. Kopējie ieņēmumi (B.1.+ C.1)</t>
  </si>
  <si>
    <t xml:space="preserve">    Pašvaldību pamatbudžeta ieņēmumi (bruto)</t>
  </si>
  <si>
    <t xml:space="preserve">          Nodokļu ieņēmumi</t>
  </si>
  <si>
    <t xml:space="preserve">          Nenodokļu ieņēmumi</t>
  </si>
  <si>
    <t xml:space="preserve">          Maksas pakalpojumi un citi pašu ieņēmumi</t>
  </si>
  <si>
    <t xml:space="preserve">          Saņemtie maksājumi</t>
  </si>
  <si>
    <t xml:space="preserve">       mīnus saņemtie maksājumi savstarpējo norēķinu kārtībā</t>
  </si>
  <si>
    <t>mīnus saņemtie maksājumi no Pašvaldību finansu izlīdzināšanas fonda, ko iemaksā citas pašvaldības</t>
  </si>
  <si>
    <t>B.1. Pašvaldību pamatbudžeta ieņēmumi (neto)</t>
  </si>
  <si>
    <t xml:space="preserve">     Pašvaldību speciālā budžeta ieņēmumi (bruto)</t>
  </si>
  <si>
    <t xml:space="preserve">               Ieņēmumi no īpašiem mērķiem iezīmētu  līdzekļu  avotiem</t>
  </si>
  <si>
    <t>mīnus ieņēmumi no pašvaldību īpašuma privatizācijas</t>
  </si>
  <si>
    <t>C.1. Pašvaldību speciālā budžeta ieņēmumi (neto)</t>
  </si>
  <si>
    <t>A.2. Kopējie pašvaldību budžeta izdevumi (A.2.1.+ A.2.2. + A.2.3.)</t>
  </si>
  <si>
    <t>A.2.1. Kopējie pašvaldību uzturēšanas izdevumi (B.2.1.+ C.2.1.)</t>
  </si>
  <si>
    <t>A.2.2.Kopējie pašvaldību kapitālie izdevumi (B.2.2.+ C.2.2.)</t>
  </si>
  <si>
    <t>A.2.3.Kopējie pašvaldību izdevumi investīcijām (B.2.3.+ C.2.3.)</t>
  </si>
  <si>
    <t>A.3.Pašvaldību budžeta finansālais deficīts (-), pārpalikums (+), (A.1.-A.2.)</t>
  </si>
  <si>
    <t>A.4. Kopējie pašvaldību budžeta tīrie aizdevumi (B.4.+ C.4.)</t>
  </si>
  <si>
    <t>Kopējie pašvaldību budžeta izdevumi, ieskaitot tīros aizdevumus (A.2.+ A.4.)</t>
  </si>
  <si>
    <t>A.5.Pašvaldību budžeta fiskālais deficīts (-), pārpalikums (+), (A.3.-A.4.)</t>
  </si>
  <si>
    <t>Finansēšana: t.sk.</t>
  </si>
  <si>
    <t xml:space="preserve">                      ieņēmumi no pašvaldību īpašuma     privatizācijas</t>
  </si>
  <si>
    <t xml:space="preserve">                      aizņēmumi no Valsts kases</t>
  </si>
  <si>
    <t xml:space="preserve">                      pārējā finansēšana</t>
  </si>
  <si>
    <t xml:space="preserve"> Pašvaldību pamatbudžeta  izdevumi (bruto)</t>
  </si>
  <si>
    <t>mīnus  savstarpējo norēķinu kārtībā veiktie maksājumi</t>
  </si>
  <si>
    <t>B.2. Pašvaldību pamatbudžeta  izdevumi (neto)</t>
  </si>
  <si>
    <t xml:space="preserve"> Pašvaldību pamatbudžeta uzturēšanas izdevumi (bruto)</t>
  </si>
  <si>
    <t xml:space="preserve"> mīnus  savstarpējo norēķinu kārtībā veiktie maksājumi</t>
  </si>
  <si>
    <t xml:space="preserve"> B.2.1.Pašvaldību pamatbudžeta  uzturēšanas izdevumi (neto)</t>
  </si>
  <si>
    <t xml:space="preserve"> B.2.2.Pašvaldību pamatbudžeta  kapitālie izdevumi </t>
  </si>
  <si>
    <t xml:space="preserve"> B.2.3.Pašvaldību pamatbudžeta  investīcijas </t>
  </si>
  <si>
    <t>B.3.Pašvaldību pamatbudžeta finansiālais deficīts
 (-), pārpalikums (+)</t>
  </si>
  <si>
    <t>B.4.Pašvaldību pamatbudžeta  tīrie aizdevumi</t>
  </si>
  <si>
    <t xml:space="preserve">     Pašvaldību pamatbudžeta aizdevumi</t>
  </si>
  <si>
    <t xml:space="preserve">     Pašvaldību pamatbudžeta aizdevumu atmaksas </t>
  </si>
  <si>
    <t>B.5.Pašvaldību pamatbudžeta fiskālais deficīts (-), pārpalikums (+)</t>
  </si>
  <si>
    <t>C.2. Pašvaldību speciālā budžeta  izdevumi (bruto)</t>
  </si>
  <si>
    <t xml:space="preserve">C.2.1.Pašvaldību speciālā budžeta uzturēšanas izdevumi </t>
  </si>
  <si>
    <t xml:space="preserve">C.2.2.Pašvaldību speciālā budžeta  kapitālie izdevumi </t>
  </si>
  <si>
    <t xml:space="preserve">C.2.3.Pašvaldību speciālā budžeta  investīcijas </t>
  </si>
  <si>
    <t>C.3.Pašvaldību speciālā budžeta finansiālais deficīts (-), pārpalikums (+)</t>
  </si>
  <si>
    <t xml:space="preserve">C.4.Pašvaldību speciālā budžeta  tīrie aizdevumi </t>
  </si>
  <si>
    <t xml:space="preserve">     Pašvaldību speciālā budžeta aizdevumi </t>
  </si>
  <si>
    <t xml:space="preserve">     Pašvaldību speciālā budžeta aizdevumu atmaksas </t>
  </si>
  <si>
    <t>C.5.Pašvaldību speciālā budžeta fiskālais deficīts
(-), pārpalikums (+)</t>
  </si>
  <si>
    <t>14.tabula</t>
  </si>
  <si>
    <t xml:space="preserve">                                       Valsts kases oficiālais mēneša pārskats</t>
  </si>
  <si>
    <t>Pašvaldību pamatbudžeta ieņēmumi</t>
  </si>
  <si>
    <t>Marts</t>
  </si>
  <si>
    <t>Izpilde % pret gada plānu (3/2)</t>
  </si>
  <si>
    <t>1</t>
  </si>
  <si>
    <t>5</t>
  </si>
  <si>
    <t>1. Ieņēmumi  kopā (1.1. + 1.2.)</t>
  </si>
  <si>
    <t>1.1. Nodokļu un nenodokļu ieņēmumi (1.1.1.+1.1.2.+1.1.3.)</t>
  </si>
  <si>
    <t xml:space="preserve">1.1.1. Nodokļu ieņēmumi </t>
  </si>
  <si>
    <t xml:space="preserve">  Iedzīvotāju ienākuma nodoklis</t>
  </si>
  <si>
    <t xml:space="preserve">  Iedzīvotāju ienākuma nodoklis*</t>
  </si>
  <si>
    <t xml:space="preserve">   t.sk. atlikums uz gada sākumu </t>
  </si>
  <si>
    <t xml:space="preserve">  Nekustamā īpašuma nodoklis</t>
  </si>
  <si>
    <t xml:space="preserve">   t.sk. nekustamā īpašuma nodoklis par zemi</t>
  </si>
  <si>
    <t xml:space="preserve">          nekustamā īpašuma nodoklis par ēkām
          un būvēm</t>
  </si>
  <si>
    <t xml:space="preserve">  Īpašuma nodokļa maksājumi</t>
  </si>
  <si>
    <t xml:space="preserve">  Zemes nodokļa parādu maksājumi</t>
  </si>
  <si>
    <t xml:space="preserve">  Iekšējie nodokļi par pakalpojumiem un precēm</t>
  </si>
  <si>
    <t>1.1.2. Nenodokļu ieņēmumi</t>
  </si>
  <si>
    <t xml:space="preserve">  Ieņēmumi no uzņēmējdarbības un īpašuma</t>
  </si>
  <si>
    <t xml:space="preserve">  Valsts (pašvaldību) nodevas un maksājumi</t>
  </si>
  <si>
    <t xml:space="preserve">  Sodi un sankcijas</t>
  </si>
  <si>
    <t xml:space="preserve">  Pārējie nenodokļu ieņēmumi</t>
  </si>
  <si>
    <t xml:space="preserve">  Ieņēmumi no valsts (pašvaldības) nekustamā  īpašuma pārdošanas</t>
  </si>
  <si>
    <t xml:space="preserve">  Ieņēmumi no zemes īpašuma pārdošanas</t>
  </si>
  <si>
    <t>1.1.3. Maksājumi par budžeta iestāžu sniegtajiem maksas pakalpojumiem un citi pašu ieņēmumi</t>
  </si>
  <si>
    <t>1.2. Saņemtie maksājumi</t>
  </si>
  <si>
    <t>Norēķini ar pašvaldību budžetiem</t>
  </si>
  <si>
    <t>Norēķini ar citām  pašvaldībām  par izglītības iestāžu sniegtajiem pakalpojumiem</t>
  </si>
  <si>
    <t>Norēķini ar citām pašvaldībām par sociālās palīdzības iestāžu sniegtajiem pakalpojumiem</t>
  </si>
  <si>
    <t>Pārējie norēķini</t>
  </si>
  <si>
    <t>Maksājumi no valsts budžeta</t>
  </si>
  <si>
    <t>Dotācijas</t>
  </si>
  <si>
    <t>Mērķdotācijas</t>
  </si>
  <si>
    <t>Valsts budžeta dotācija iedzīvotāju ienākuma nodokļa ieņēmumu prognozes neizpildes kompensācijai</t>
  </si>
  <si>
    <t>Maksājumi no pašvaldību  finansu izlīdzināšanas fonda pašvaldību budžetiem</t>
  </si>
  <si>
    <t>Iepriekšējā gada nesaņemtā dotācija</t>
  </si>
  <si>
    <t>Pērējie maksājumi</t>
  </si>
  <si>
    <t>Pārējie maksājumi</t>
  </si>
  <si>
    <t>Maksājumi no citiem budžetiem</t>
  </si>
  <si>
    <t xml:space="preserve">* no valsts pamatbudžeta saņemtā dotācija PFIF </t>
  </si>
  <si>
    <t>tūkst. latu</t>
  </si>
  <si>
    <t>15.tabula</t>
  </si>
  <si>
    <t xml:space="preserve">                                           Valsts kases oficiālais mēneša pārskats</t>
  </si>
  <si>
    <t>Pašvaldību pamatbudžeta izdevumi un tīrie aizdevumi pēc valdības funkcijām</t>
  </si>
  <si>
    <t>(2001.gada janvāris - marts)</t>
  </si>
  <si>
    <t xml:space="preserve">                               (tūkst.latu)</t>
  </si>
  <si>
    <t>2</t>
  </si>
  <si>
    <t>3</t>
  </si>
  <si>
    <t>4</t>
  </si>
  <si>
    <t xml:space="preserve">1. Izdevumi kopā (1.1. + 1.2.) </t>
  </si>
  <si>
    <t>1.1. Izdevumi pēc valdības funkcijām</t>
  </si>
  <si>
    <t>Izpildvaras un likumdošanas varas institūcijas</t>
  </si>
  <si>
    <t>Transports,sakari</t>
  </si>
  <si>
    <t xml:space="preserve">Pašvaldību iekšējā parāda procentu nomaksa </t>
  </si>
  <si>
    <t xml:space="preserve">Pašvaldību ārējo parādu procentu nomaksa </t>
  </si>
  <si>
    <t>Izdevumi neparedzētiem  gadījumiem</t>
  </si>
  <si>
    <t>1.2. Norēķini</t>
  </si>
  <si>
    <t>Norēķini par citu pašvaldību izglītības iestāžu sniegtiem pakalpojumiem</t>
  </si>
  <si>
    <t>Norēķini par citu pašvaldību sociālās palīdzības iestāžu sniegtiem pakalpojumiem</t>
  </si>
  <si>
    <t>Maksājumi pašvaldību finansu izlīdzināšanas fondam</t>
  </si>
  <si>
    <t>Pašvaldību  pārskata gada maksājumi</t>
  </si>
  <si>
    <t>Pašvaldību iepriekšējā gada parādu maksājumi</t>
  </si>
  <si>
    <t>16.tabula</t>
  </si>
  <si>
    <t xml:space="preserve">                     Valsts kases oficiālais mēneša pārskats</t>
  </si>
  <si>
    <t>Pašvaldību pamatbudžeta izdevumi pēc ekonomiskās klasifikācijas</t>
  </si>
  <si>
    <t>(2001.gada  janvāris - februāris)</t>
  </si>
  <si>
    <t xml:space="preserve">                                                             (tūkst.latu)</t>
  </si>
  <si>
    <t xml:space="preserve">Februāra mēneša  izpilde </t>
  </si>
  <si>
    <t>2.Izdevumi  kopā (2.1. +2.2.)</t>
  </si>
  <si>
    <t xml:space="preserve">  atalgojumi </t>
  </si>
  <si>
    <t xml:space="preserve">  valsts sociālāis apdrošināšanas obligātās iemaksas </t>
  </si>
  <si>
    <t xml:space="preserve">  pārējie kārtējie izdevumi</t>
  </si>
  <si>
    <t xml:space="preserve">                    t.sk. preču un pakalpojumu izdevumi</t>
  </si>
  <si>
    <t xml:space="preserve">                                   pārējie izdevumi</t>
  </si>
  <si>
    <t xml:space="preserve">Maksājumi par aizņēmumiem un kredītiem </t>
  </si>
  <si>
    <t xml:space="preserve">  subsīdijas</t>
  </si>
  <si>
    <t xml:space="preserve">  mērķdotācijas pašvaldību budžetiem</t>
  </si>
  <si>
    <t xml:space="preserve">  dotācijas pašvaldību budžetiem</t>
  </si>
  <si>
    <t xml:space="preserve">  dotācijas iestādēm, organizācijām un uzņēmumiem</t>
  </si>
  <si>
    <t xml:space="preserve">  dotācijas iedzīvotājiem</t>
  </si>
  <si>
    <t xml:space="preserve">  transferti budžetu savstarpējiem maksājumiem</t>
  </si>
  <si>
    <t>Kapitālie izdevumi</t>
  </si>
  <si>
    <t xml:space="preserve">3. Pašvaldību budžeta tīrie aizdevumi </t>
  </si>
  <si>
    <t xml:space="preserve">3.1. Pašvaldību budžeta aizdevumi </t>
  </si>
  <si>
    <t xml:space="preserve">3.2. Pašvaldību budžeta aizdevumu atmaksas </t>
  </si>
  <si>
    <t>17. tabula</t>
  </si>
  <si>
    <t>Pašvaldību speciālā budžeta ieņēmumi un izdevumi (ieskaitot tīros aizdevumus)</t>
  </si>
  <si>
    <t>Ieņēmumi no īpašiem mērķiem iezīmētiem līdzekļu avotiem</t>
  </si>
  <si>
    <t>Privatizācijas fonda iemaksas</t>
  </si>
  <si>
    <t>Dabas resursu nodoklis</t>
  </si>
  <si>
    <t>Autoceļu (ielu) fonds (pārskatījumi no Valsts autoceļu fonda)</t>
  </si>
  <si>
    <t>Mērķdotācijas pasažieru regulārajiem pārvadājumiem ar autobusiem (pārskaitījumi no Valsts autoceļu fonda)</t>
  </si>
  <si>
    <t>Pārējie ieņēmumi</t>
  </si>
  <si>
    <t>Izdevumi pa speciālajiem budžetiem</t>
  </si>
  <si>
    <t>Privatizācijas fonds</t>
  </si>
  <si>
    <t>Autoceļu (ielu) fonds</t>
  </si>
  <si>
    <t>Pasažieru regulārajiem pārvadājumiem</t>
  </si>
  <si>
    <t>Pārējie speciālie budžeti</t>
  </si>
  <si>
    <t>18. tabula</t>
  </si>
  <si>
    <t xml:space="preserve">                            Valsts kases oficiālais mēneša pārskats </t>
  </si>
  <si>
    <t>Pašvaldību speciālā budžeta izdevumi pēc ekonomiskās klasifikācijas</t>
  </si>
  <si>
    <t xml:space="preserve">                                  pārējie izdevumi</t>
  </si>
  <si>
    <t xml:space="preserve">  pašvaldību budžetu transferti</t>
  </si>
  <si>
    <t>19. tabula</t>
  </si>
  <si>
    <t xml:space="preserve">      Valsts kases oficiālais mēneša pārskats</t>
  </si>
  <si>
    <t xml:space="preserve">Pašvaldību pamatbudžeta izpildes rādītāji </t>
  </si>
  <si>
    <t>Pilsētas, rajona nosaukums</t>
  </si>
  <si>
    <t>Izdevumi (ieskaitot tīros aizdevumus)</t>
  </si>
  <si>
    <t>Fiskālais deficīts (-), pārpalikums (+) (5-9)</t>
  </si>
  <si>
    <t>Finansēšana                   -(5-9)</t>
  </si>
  <si>
    <t xml:space="preserve">   Iekšējā finansēšana</t>
  </si>
  <si>
    <t>Ārējā  finansēšana</t>
  </si>
  <si>
    <t xml:space="preserve">Nodokļu un nenodokļu ieņēmumi * </t>
  </si>
  <si>
    <t>Saņemtie maksājumi</t>
  </si>
  <si>
    <t>t.sk. maksājumi no PFIFa</t>
  </si>
  <si>
    <t>Ieņēmumi kopā (2+3)</t>
  </si>
  <si>
    <t xml:space="preserve">Izdevumi </t>
  </si>
  <si>
    <t>Norēķini</t>
  </si>
  <si>
    <t>t.sk. norēķini ar  PFIFu</t>
  </si>
  <si>
    <t>Izdevumi kopā (6+7)</t>
  </si>
  <si>
    <t>tai skaitā</t>
  </si>
  <si>
    <t>Budžeta līdzekļu izmaiņas (14-15)</t>
  </si>
  <si>
    <t>Līdzekļu atlikums gada sākumā</t>
  </si>
  <si>
    <t>Līdzekļu atlikums perioda beigās</t>
  </si>
  <si>
    <t>No komerc-
bankām</t>
  </si>
  <si>
    <t>PILSĒTAS</t>
  </si>
  <si>
    <t>RĪGA</t>
  </si>
  <si>
    <t>DAUGAVPILS</t>
  </si>
  <si>
    <t>JELGAVA</t>
  </si>
  <si>
    <t>JŪRMALA</t>
  </si>
  <si>
    <t>LIEPĀJA</t>
  </si>
  <si>
    <t>RĒZEKNE</t>
  </si>
  <si>
    <t>VENTSPILS</t>
  </si>
  <si>
    <t>KOPĀ PILSĒTĀS</t>
  </si>
  <si>
    <t>RAJONI</t>
  </si>
  <si>
    <t>AIZKRAUKLES RAJONS</t>
  </si>
  <si>
    <t>ALŪKSNES RAJONS</t>
  </si>
  <si>
    <t>BALVU RAJONS</t>
  </si>
  <si>
    <t>BAUSKAS RAJONS</t>
  </si>
  <si>
    <t>CĒSU RAJONS</t>
  </si>
  <si>
    <t>DAUGAVPILS RAJONS</t>
  </si>
  <si>
    <t>DOBELES RAJONS</t>
  </si>
  <si>
    <t>GULBENES RAJONS</t>
  </si>
  <si>
    <t>JELGAVAS RAJONS</t>
  </si>
  <si>
    <t>JĒKABPILS RAJONS</t>
  </si>
  <si>
    <t>KRĀSLAVAS RAJONS</t>
  </si>
  <si>
    <t>KULDĪGAS RAJONS</t>
  </si>
  <si>
    <t>LIEPĀJAS RAJONS</t>
  </si>
  <si>
    <t>LIMBAŽU RAJONS</t>
  </si>
  <si>
    <t>LUDZAS RAJONS</t>
  </si>
  <si>
    <t>MADONAS RAJONS</t>
  </si>
  <si>
    <t>OGRES RAJONS</t>
  </si>
  <si>
    <t>PREIĻU RAJONS</t>
  </si>
  <si>
    <t>RĒZEKNES RAJONS</t>
  </si>
  <si>
    <t>RĪGAS RAJONS</t>
  </si>
  <si>
    <t>SALDUS RAJONS</t>
  </si>
  <si>
    <t>TALSU RAJONS</t>
  </si>
  <si>
    <t>TUKUMA RAJONS</t>
  </si>
  <si>
    <t>VALKAS RAJONS</t>
  </si>
  <si>
    <t>VALMIERAS RAJONS</t>
  </si>
  <si>
    <t>VENTSPILS RAJONS</t>
  </si>
  <si>
    <t>KOPĀ RAJONOS</t>
  </si>
  <si>
    <t>KOPĀ</t>
  </si>
  <si>
    <t>*  -  neieskaitot iedzīvotāju ienākuma nodokļa atlikumu sadales kontā</t>
  </si>
  <si>
    <t xml:space="preserve"> </t>
  </si>
  <si>
    <t>Valsts kase/ Pārksatu departaments</t>
  </si>
  <si>
    <t>20.tabula</t>
  </si>
  <si>
    <t xml:space="preserve">                Valsts kases oficiālais pārskats</t>
  </si>
  <si>
    <t>Pašvaldību speciālā budžeta izpildes rādītāji (neieskaitot ziedojumus un dāvinājumus)</t>
  </si>
  <si>
    <t>Rajona, pilsētas nosaukums</t>
  </si>
  <si>
    <t>Fiskālais deficīts (-), pārpalikums (+) 
 (2-5)</t>
  </si>
  <si>
    <t>Aizdevumi (+) / atmaksas (-)</t>
  </si>
  <si>
    <t>Finansiālais deficīts (-), pārpalikums (+)       (6-7)</t>
  </si>
  <si>
    <t>Finansē-šana  
 -(6-7)</t>
  </si>
  <si>
    <t>Iekšējā finansēšana</t>
  </si>
  <si>
    <t>Ārējā finansēšana</t>
  </si>
  <si>
    <t>Uzturē-
šanas</t>
  </si>
  <si>
    <t>Kapitālie</t>
  </si>
  <si>
    <t>Tīrie
aizdevumi</t>
  </si>
  <si>
    <t>Kopā</t>
  </si>
  <si>
    <t>Budžeta līdzekļu izmaiņas         (12-13)</t>
  </si>
  <si>
    <t>No komercbankām</t>
  </si>
  <si>
    <t>21.tabula</t>
  </si>
  <si>
    <t>Pašvaldību  budžeta ziedojumu un dāvinājumu  izpildes rādītāji</t>
  </si>
  <si>
    <t>Fiskālais deficīts    (-), 
pārpalikums (+)      (2-5)</t>
  </si>
  <si>
    <t>Aizdevumi/ atmaksas</t>
  </si>
  <si>
    <t>Finansiālais deficīts (-), pārpalikums (+)   
    (6-7)</t>
  </si>
  <si>
    <t>Finansē-šana        -(6-7)</t>
  </si>
  <si>
    <t>Uzturēšanas</t>
  </si>
  <si>
    <t>No komerc-bankām</t>
  </si>
  <si>
    <t>22.tabula</t>
  </si>
  <si>
    <t>Pašvaldību  budžeta ziedojumu un dāvinājumu ieņēmumi un izdevumi pēc ekonomiskās klasifikācijas</t>
  </si>
  <si>
    <t>Izpilde % pret gada plānu  (3/2)</t>
  </si>
  <si>
    <t>Fiskālā bilance (1.-2.-3)</t>
  </si>
  <si>
    <t>23.tabula</t>
  </si>
  <si>
    <t>Pašvaldību budžeta ziedojumu un dāvinājumu izdevumi pēc valdības funkcijām</t>
  </si>
  <si>
    <t xml:space="preserve">Izdevumi kopā </t>
  </si>
  <si>
    <t>Izdevumi pēc valdības funkcijām</t>
  </si>
  <si>
    <t>Pārējie izdevumi, kas nav klasificēti citās pamatfunkcijās</t>
  </si>
  <si>
    <t xml:space="preserve">                24. tabula</t>
  </si>
  <si>
    <t>Pašvaldību finansu izlīdzināšanas  fonda līdzekļi</t>
  </si>
  <si>
    <t>Izpilde</t>
  </si>
  <si>
    <t xml:space="preserve">1. Ieņēmumi - kopā   </t>
  </si>
  <si>
    <t>Ieņēmumu prognozes neizpildes kompensācija - aizdevums no valsts pamatbudžeta</t>
  </si>
  <si>
    <t>Ieskaitīts dotācija no valsts pamatbudžeta</t>
  </si>
  <si>
    <t>Ieskaitīts iedzīvotāju ienākuma nodoklis no pašvaldībām</t>
  </si>
  <si>
    <t>Ieņēmumi no nekustamā īpašuma nodokļa</t>
  </si>
  <si>
    <t>2. Izdevumi - kopā</t>
  </si>
  <si>
    <t>Dotācijas pašvaldību budžetiem</t>
  </si>
  <si>
    <t>3. Atlikums uz pārskata perioda beigām  (1.- 2.)</t>
  </si>
  <si>
    <t xml:space="preserve">Atlikums uz 2001.gada  1. janvāri </t>
  </si>
  <si>
    <t>25. tabula</t>
  </si>
  <si>
    <t>No valsts budžeta pārskaitītās mērķdotācijas pašvaldībām</t>
  </si>
  <si>
    <t xml:space="preserve">                (latos)</t>
  </si>
  <si>
    <t>Rajona vai pilsētas nosaukums</t>
  </si>
  <si>
    <t>Mērķdotācijas investīcijām   (13.pielikums)</t>
  </si>
  <si>
    <t xml:space="preserve">Mērķdotācijas specializētiem izglītības pasākumiem (11.pielikums) </t>
  </si>
  <si>
    <t xml:space="preserve">Mērķdotācijas pašvaldību pašdarbības kolektīviem (12.pielikums) </t>
  </si>
  <si>
    <t>Mērķdotācijas izglītības pasākumiem
(6.-10.pielikums)</t>
  </si>
  <si>
    <t xml:space="preserve">Pārējās
 mērķdotācijas </t>
  </si>
  <si>
    <t>Mērķdotācijas teritoriālplānošanai</t>
  </si>
  <si>
    <t>Mērķdotācijas
 kopā              (2+3+4+5+6+7+8)</t>
  </si>
  <si>
    <t>2000.g.</t>
  </si>
  <si>
    <t>2001.g.</t>
  </si>
  <si>
    <t>26.tabula</t>
  </si>
  <si>
    <t>Starptautiskā Valūtas Fonda izpildes kritēriji</t>
  </si>
  <si>
    <t>Mainīgie lielumi un periodi</t>
  </si>
  <si>
    <t>Mērķis</t>
  </si>
  <si>
    <t>Rezultāts</t>
  </si>
  <si>
    <t>I.</t>
  </si>
  <si>
    <t xml:space="preserve">Ierobežojumi kopbudžeta </t>
  </si>
  <si>
    <t xml:space="preserve">fiskālajam deficītam: </t>
  </si>
  <si>
    <t>(milj. latu)</t>
  </si>
  <si>
    <t>1. janvāris - 31. marts, 2001 (indikatīvā robeža)</t>
  </si>
  <si>
    <t>1. janvāris - 30. aprīlis, 2001 *</t>
  </si>
  <si>
    <t>1. janvāris - 30. jūnijs, 2001 : kontroles rādītājs</t>
  </si>
  <si>
    <t>1. janvāris - 30. septembris, 2001 : kontroles rādītājs</t>
  </si>
  <si>
    <t>1. janvāris - 31. decembris, 2001 : kontroles rādītājs</t>
  </si>
  <si>
    <t>* t.s. VAS "Privatizācijas aģentūra" izdevumi - 2 milj.latu</t>
  </si>
  <si>
    <t>II.</t>
  </si>
  <si>
    <t xml:space="preserve">Ierobežojumi ārējā parāda līgumiem un </t>
  </si>
  <si>
    <t>(milj. USD)</t>
  </si>
  <si>
    <t>galvojumiem uz neatvieglotiem nosacījumiem</t>
  </si>
  <si>
    <t xml:space="preserve">         Tai skaitā:  </t>
  </si>
  <si>
    <t xml:space="preserve">            Tai skaitā:  </t>
  </si>
  <si>
    <t>No 31. decembra, 2000 līdz:</t>
  </si>
  <si>
    <t xml:space="preserve"> Kopā       1-5 gadi</t>
  </si>
  <si>
    <t>31. martam, 2001 (indikatīvi)</t>
  </si>
  <si>
    <t xml:space="preserve">   52                52</t>
  </si>
  <si>
    <t xml:space="preserve">    0                 0</t>
  </si>
  <si>
    <t>30. aprīlim, 2001</t>
  </si>
  <si>
    <t>30. jūnijam, 2001 : kontroles rādītājs</t>
  </si>
  <si>
    <t xml:space="preserve">  242               52</t>
  </si>
  <si>
    <t>30. septembrim, 2001 : kontroles rādītājs</t>
  </si>
  <si>
    <t xml:space="preserve">  300               52</t>
  </si>
  <si>
    <t>31. decembrim, 2001 : kontroles rādītājs</t>
  </si>
  <si>
    <t xml:space="preserve">  320               72</t>
  </si>
  <si>
    <t>III.</t>
  </si>
  <si>
    <t xml:space="preserve">  Ierobežojumi valdības ārējam parādam </t>
  </si>
  <si>
    <t xml:space="preserve">  ar termiņu līdz 1 gadam:</t>
  </si>
  <si>
    <t>IV.</t>
  </si>
  <si>
    <t xml:space="preserve">  Indikatīvie mērķi pamatbudžeta </t>
  </si>
  <si>
    <t xml:space="preserve">  ieņēmumiem: </t>
  </si>
  <si>
    <t>1. janvāris - 30. jūnijs, 2001 (indikatīvā robeža)</t>
  </si>
  <si>
    <t>1. janvāris - 30. septembris, 2001 (indikatīvā robeža)</t>
  </si>
  <si>
    <t>1. janvāris - 31. decembris, 2001 (indikatīvā robeža)</t>
  </si>
  <si>
    <t>27.tabula</t>
  </si>
  <si>
    <t>Ministriju un centrālo valsts iestāžu ilgtermiņa valsts saistību limiti</t>
  </si>
  <si>
    <t>Ministriju un centrālo valsts iestāžu valsts ilgtermiņa saistību limiti</t>
  </si>
  <si>
    <t>2002., 2003. gadam un turpmākajiem gadiem valsts pamatbudžetā</t>
  </si>
  <si>
    <t>(2001. gada aprīlis)</t>
  </si>
  <si>
    <t>2002. gada pieprasījums</t>
  </si>
  <si>
    <t>2003. gada pieprasījums</t>
  </si>
  <si>
    <t>Tālākā laika posma līdz projekta
 īstenošanai pieprasījums</t>
  </si>
  <si>
    <t>Likumā apstiprinātais plāns</t>
  </si>
  <si>
    <t>Reģistrētās saistības</t>
  </si>
  <si>
    <t>Izpilde % pret gada plānu (6/5)</t>
  </si>
  <si>
    <t>Izpilde % pret gada plānu (9/8)</t>
  </si>
  <si>
    <t>Kārtējie izdevumi (aizņēmumu pamatsummu atmaksa)</t>
  </si>
  <si>
    <t>Maksājumi starptautiskajās organizācijās, programmās</t>
  </si>
  <si>
    <t>Līzings</t>
  </si>
  <si>
    <t>Pārējās ilgtermiņa saistības</t>
  </si>
  <si>
    <t xml:space="preserve">Kultūras ministrija </t>
  </si>
  <si>
    <t>Īpašu uzdevumu ministra valsts
reformu lietās sekretariāts</t>
  </si>
  <si>
    <t>28.tabula</t>
  </si>
  <si>
    <t>2002., 2003. gadam un turpmākajiem gadiem valsts speciālajā budžetā</t>
  </si>
  <si>
    <t>Valsts kases pārvaldnieks ________________________________________ (A.Veiss)</t>
  </si>
  <si>
    <t>29.tabula</t>
  </si>
  <si>
    <t>Programmas "Valsts aizsardzība, drošība un integrācija NATO" izpilde 
(saimnieciskais gads, pārskata periods)</t>
  </si>
  <si>
    <t>Izpilde  % pret gada plānu         (4/2)</t>
  </si>
  <si>
    <t>Kopā:</t>
  </si>
  <si>
    <t>Ministru kabinets</t>
  </si>
  <si>
    <t xml:space="preserve">     Krīzes kontroles centrs</t>
  </si>
  <si>
    <t xml:space="preserve">     Tulkošanas un terminoloģijas centrs</t>
  </si>
  <si>
    <t xml:space="preserve">     Rīcības plāna dalībai NATO izpilde 
     (MK sēdes protokols)</t>
  </si>
  <si>
    <t xml:space="preserve">     Ministrijas centrālā aparāta 
     informācijas sistēma</t>
  </si>
  <si>
    <t xml:space="preserve">     Iemaksas ANO Miera spēku uzturēšanai</t>
  </si>
  <si>
    <t xml:space="preserve">     NATO pārstāvniecības 
     uzturēšanas izdevumi</t>
  </si>
  <si>
    <t xml:space="preserve">     Kartogrāfija</t>
  </si>
  <si>
    <t xml:space="preserve">     Jūras administrācijas meklēšanas un glābšanas dienesta sakaru sistēmas izveidošana</t>
  </si>
  <si>
    <t xml:space="preserve">     Jūras administrācijas meklēšanas un 
     glābšanas dienesta sakaru sistēmas 
     izveidošana</t>
  </si>
  <si>
    <t xml:space="preserve">     Sardzes pulks</t>
  </si>
  <si>
    <t xml:space="preserve">     Centralizētā bruņojuma un munīcijas 
     nodrošināsanas izdevumi</t>
  </si>
  <si>
    <t xml:space="preserve">     Valsts ugunsdzēsības un glābšanas 
     dienesta ārkārtējo situāciju gatavības 
     plānošanas un valsts materiālo
     rezervju sistēmas darbības 
     nodrošinājums</t>
  </si>
  <si>
    <t xml:space="preserve">     Policijas akadēmijas izdevumi, kas 
     attiecas uz militārās
     apmācības programmas realizāciju</t>
  </si>
  <si>
    <t xml:space="preserve">     Valsts robežsardzes 
     Rēzeknes skolas izdevumi</t>
  </si>
  <si>
    <r>
      <t xml:space="preserve">     Motorollas </t>
    </r>
    <r>
      <rPr>
        <i/>
        <sz val="9"/>
        <rFont val="Arial"/>
        <family val="2"/>
      </rPr>
      <t>SmartZone</t>
    </r>
    <r>
      <rPr>
        <sz val="9"/>
        <rFont val="Arial"/>
        <family val="2"/>
      </rPr>
      <t xml:space="preserve"> "Astro" izveides 
     un uzturēšanas izdevumi</t>
    </r>
  </si>
  <si>
    <t>30.tabula</t>
  </si>
  <si>
    <t>32.tabula</t>
  </si>
  <si>
    <t xml:space="preserve">Valsts kases kontu atlikumi kredītiestādēs </t>
  </si>
  <si>
    <t>Iepriekšējā gada beigās</t>
  </si>
  <si>
    <t>Saimnieciskā gada pārskata mēneša beigas</t>
  </si>
  <si>
    <t>Izmaiņas</t>
  </si>
  <si>
    <t>3-2</t>
  </si>
  <si>
    <t>Finansu resursi kopā (1.+2.)</t>
  </si>
  <si>
    <t>1. Latvijā (1.1.+1.2.)</t>
  </si>
  <si>
    <t>1.1. Norēķinu konti</t>
  </si>
  <si>
    <t>A/s ''Latvijas Unibanka''</t>
  </si>
  <si>
    <t>A/s ''Parekss Banka''</t>
  </si>
  <si>
    <t>A/s ''Baltijas Tranzītu Banka''</t>
  </si>
</sst>
</file>

<file path=xl/styles.xml><?xml version="1.0" encoding="utf-8"?>
<styleSheet xmlns="http://schemas.openxmlformats.org/spreadsheetml/2006/main">
  <numFmts count="30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Ls&quot;;\-#,##0\ &quot;Ls&quot;"/>
    <numFmt numFmtId="165" formatCode="#,##0\ &quot;Ls&quot;;[Red]\-#,##0\ &quot;Ls&quot;"/>
    <numFmt numFmtId="166" formatCode="#,##0.00\ &quot;Ls&quot;;\-#,##0.00\ &quot;Ls&quot;"/>
    <numFmt numFmtId="167" formatCode="#,##0.00\ &quot;Ls&quot;;[Red]\-#,##0.00\ &quot;Ls&quot;"/>
    <numFmt numFmtId="168" formatCode="_-* #,##0\ &quot;Ls&quot;_-;\-* #,##0\ &quot;Ls&quot;_-;_-* &quot;-&quot;\ &quot;Ls&quot;_-;_-@_-"/>
    <numFmt numFmtId="169" formatCode="_-* #,##0\ _L_s_-;\-* #,##0\ _L_s_-;_-* &quot;-&quot;\ _L_s_-;_-@_-"/>
    <numFmt numFmtId="170" formatCode="_-* #,##0.00\ &quot;Ls&quot;_-;\-* #,##0.00\ &quot;Ls&quot;_-;_-* &quot;-&quot;??\ &quot;Ls&quot;_-;_-@_-"/>
    <numFmt numFmtId="171" formatCode="_-* #,##0.00\ _L_s_-;\-* #,##0.00\ _L_s_-;_-* &quot;-&quot;??\ _L_s_-;_-@_-"/>
    <numFmt numFmtId="172" formatCode="#\ ##0"/>
    <numFmt numFmtId="173" formatCode="#\ ###\ ##0"/>
    <numFmt numFmtId="174" formatCode="#\ ###\ \ ##0"/>
    <numFmt numFmtId="175" formatCode="#,##0.0"/>
    <numFmt numFmtId="176" formatCode="0.0%"/>
    <numFmt numFmtId="177" formatCode="###,##0,"/>
    <numFmt numFmtId="178" formatCode="0.0"/>
    <numFmt numFmtId="179" formatCode="00.000"/>
    <numFmt numFmtId="180" formatCode="###,###,###"/>
    <numFmt numFmtId="181" formatCode="#,###%"/>
    <numFmt numFmtId="182" formatCode="###,###,##0"/>
    <numFmt numFmtId="183" formatCode="###0"/>
    <numFmt numFmtId="184" formatCode="0;[Red]0"/>
    <numFmt numFmtId="185" formatCode="#,##0.0\ _L_s"/>
  </numFmts>
  <fonts count="26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sz val="9"/>
      <color indexed="63"/>
      <name val="Arial"/>
      <family val="2"/>
    </font>
    <font>
      <sz val="9"/>
      <color indexed="60"/>
      <name val="Arial"/>
      <family val="2"/>
    </font>
    <font>
      <sz val="12"/>
      <name val="Arial"/>
      <family val="2"/>
    </font>
    <font>
      <u val="single"/>
      <sz val="9"/>
      <name val="Arial"/>
      <family val="2"/>
    </font>
    <font>
      <u val="single"/>
      <sz val="10"/>
      <name val="Arial"/>
      <family val="2"/>
    </font>
    <font>
      <sz val="14"/>
      <name val="Arial"/>
      <family val="2"/>
    </font>
    <font>
      <u val="single"/>
      <sz val="11"/>
      <name val="Arial"/>
      <family val="2"/>
    </font>
    <font>
      <b/>
      <i/>
      <sz val="10"/>
      <name val="Arial"/>
      <family val="2"/>
    </font>
    <font>
      <sz val="8.5"/>
      <name val="Arial"/>
      <family val="2"/>
    </font>
    <font>
      <b/>
      <sz val="8.5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13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1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72" fontId="6" fillId="0" borderId="1" xfId="0" applyNumberFormat="1" applyFont="1" applyBorder="1" applyAlignment="1">
      <alignment/>
    </xf>
    <xf numFmtId="172" fontId="7" fillId="0" borderId="1" xfId="0" applyNumberFormat="1" applyFont="1" applyBorder="1" applyAlignment="1">
      <alignment horizontal="right"/>
    </xf>
    <xf numFmtId="172" fontId="7" fillId="0" borderId="1" xfId="0" applyNumberFormat="1" applyFont="1" applyBorder="1" applyAlignment="1">
      <alignment/>
    </xf>
    <xf numFmtId="172" fontId="8" fillId="0" borderId="1" xfId="0" applyNumberFormat="1" applyFont="1" applyBorder="1" applyAlignment="1">
      <alignment horizontal="center" wrapText="1"/>
    </xf>
    <xf numFmtId="172" fontId="8" fillId="0" borderId="1" xfId="0" applyNumberFormat="1" applyFont="1" applyBorder="1" applyAlignment="1">
      <alignment horizontal="center"/>
    </xf>
    <xf numFmtId="172" fontId="8" fillId="0" borderId="1" xfId="0" applyNumberFormat="1" applyFont="1" applyBorder="1" applyAlignment="1">
      <alignment horizontal="right"/>
    </xf>
    <xf numFmtId="172" fontId="6" fillId="0" borderId="1" xfId="0" applyNumberFormat="1" applyFont="1" applyBorder="1" applyAlignment="1">
      <alignment wrapText="1"/>
    </xf>
    <xf numFmtId="172" fontId="7" fillId="0" borderId="1" xfId="0" applyNumberFormat="1" applyFont="1" applyBorder="1" applyAlignment="1">
      <alignment horizontal="center"/>
    </xf>
    <xf numFmtId="172" fontId="7" fillId="0" borderId="1" xfId="0" applyNumberFormat="1" applyFont="1" applyBorder="1" applyAlignment="1">
      <alignment wrapText="1"/>
    </xf>
    <xf numFmtId="172" fontId="1" fillId="0" borderId="1" xfId="0" applyNumberFormat="1" applyFont="1" applyBorder="1" applyAlignment="1">
      <alignment wrapText="1"/>
    </xf>
    <xf numFmtId="172" fontId="1" fillId="0" borderId="1" xfId="0" applyNumberFormat="1" applyFont="1" applyBorder="1" applyAlignment="1">
      <alignment horizontal="right"/>
    </xf>
    <xf numFmtId="172" fontId="1" fillId="0" borderId="1" xfId="0" applyNumberFormat="1" applyFont="1" applyBorder="1" applyAlignment="1">
      <alignment/>
    </xf>
    <xf numFmtId="172" fontId="2" fillId="0" borderId="1" xfId="0" applyNumberFormat="1" applyFont="1" applyBorder="1" applyAlignment="1">
      <alignment horizontal="center"/>
    </xf>
    <xf numFmtId="172" fontId="0" fillId="0" borderId="1" xfId="0" applyNumberFormat="1" applyFont="1" applyBorder="1" applyAlignment="1">
      <alignment horizontal="left" vertical="center"/>
    </xf>
    <xf numFmtId="172" fontId="2" fillId="0" borderId="1" xfId="0" applyNumberFormat="1" applyFont="1" applyBorder="1" applyAlignment="1">
      <alignment/>
    </xf>
    <xf numFmtId="172" fontId="8" fillId="0" borderId="1" xfId="0" applyNumberFormat="1" applyFont="1" applyBorder="1" applyAlignment="1">
      <alignment/>
    </xf>
    <xf numFmtId="172" fontId="2" fillId="0" borderId="1" xfId="0" applyNumberFormat="1" applyFont="1" applyBorder="1" applyAlignment="1">
      <alignment wrapText="1"/>
    </xf>
    <xf numFmtId="172" fontId="2" fillId="0" borderId="1" xfId="0" applyNumberFormat="1" applyFont="1" applyBorder="1" applyAlignment="1">
      <alignment horizontal="right"/>
    </xf>
    <xf numFmtId="172" fontId="0" fillId="0" borderId="1" xfId="0" applyNumberFormat="1" applyFont="1" applyBorder="1" applyAlignment="1">
      <alignment horizontal="left" vertical="center" wrapText="1"/>
    </xf>
    <xf numFmtId="172" fontId="8" fillId="0" borderId="1" xfId="0" applyNumberFormat="1" applyFont="1" applyBorder="1" applyAlignment="1">
      <alignment horizontal="left" wrapText="1"/>
    </xf>
    <xf numFmtId="172" fontId="0" fillId="0" borderId="1" xfId="0" applyNumberFormat="1" applyFont="1" applyBorder="1" applyAlignment="1">
      <alignment horizontal="left"/>
    </xf>
    <xf numFmtId="172" fontId="8" fillId="0" borderId="1" xfId="0" applyNumberFormat="1" applyFont="1" applyBorder="1" applyAlignment="1">
      <alignment horizontal="left"/>
    </xf>
    <xf numFmtId="0" fontId="6" fillId="0" borderId="1" xfId="0" applyFont="1" applyBorder="1" applyAlignment="1">
      <alignment/>
    </xf>
    <xf numFmtId="0" fontId="2" fillId="0" borderId="0" xfId="0" applyFont="1" applyAlignment="1">
      <alignment horizontal="left"/>
    </xf>
    <xf numFmtId="183" fontId="2" fillId="0" borderId="0" xfId="0" applyNumberFormat="1" applyFont="1" applyAlignment="1">
      <alignment horizontal="centerContinuous"/>
    </xf>
    <xf numFmtId="172" fontId="2" fillId="0" borderId="0" xfId="0" applyNumberFormat="1" applyFont="1" applyAlignment="1">
      <alignment/>
    </xf>
    <xf numFmtId="172" fontId="2" fillId="0" borderId="0" xfId="0" applyNumberFormat="1" applyFont="1" applyAlignment="1">
      <alignment horizontal="centerContinuous"/>
    </xf>
    <xf numFmtId="3" fontId="2" fillId="0" borderId="0" xfId="0" applyNumberFormat="1" applyFont="1" applyAlignment="1">
      <alignment horizontal="centerContinuous"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3" fontId="0" fillId="0" borderId="0" xfId="0" applyNumberFormat="1" applyFont="1" applyAlignment="1">
      <alignment/>
    </xf>
    <xf numFmtId="0" fontId="2" fillId="0" borderId="0" xfId="0" applyFont="1" applyAlignment="1">
      <alignment vertical="top"/>
    </xf>
    <xf numFmtId="3" fontId="2" fillId="0" borderId="0" xfId="0" applyNumberFormat="1" applyFont="1" applyAlignment="1">
      <alignment vertical="top"/>
    </xf>
    <xf numFmtId="183" fontId="0" fillId="0" borderId="0" xfId="0" applyNumberFormat="1" applyFont="1" applyAlignment="1">
      <alignment/>
    </xf>
    <xf numFmtId="172" fontId="0" fillId="0" borderId="0" xfId="0" applyNumberFormat="1" applyFont="1" applyAlignment="1">
      <alignment/>
    </xf>
    <xf numFmtId="172" fontId="0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180" fontId="2" fillId="0" borderId="0" xfId="0" applyNumberFormat="1" applyFont="1" applyAlignment="1">
      <alignment/>
    </xf>
    <xf numFmtId="0" fontId="0" fillId="0" borderId="0" xfId="0" applyFont="1" applyAlignment="1">
      <alignment horizontal="centerContinuous"/>
    </xf>
    <xf numFmtId="180" fontId="2" fillId="0" borderId="0" xfId="0" applyNumberFormat="1" applyFont="1" applyAlignment="1">
      <alignment horizontal="centerContinuous"/>
    </xf>
    <xf numFmtId="0" fontId="9" fillId="0" borderId="0" xfId="0" applyFont="1" applyAlignment="1">
      <alignment horizontal="centerContinuous"/>
    </xf>
    <xf numFmtId="180" fontId="2" fillId="0" borderId="1" xfId="0" applyNumberFormat="1" applyFont="1" applyBorder="1" applyAlignment="1">
      <alignment horizontal="center" vertical="center" wrapText="1"/>
    </xf>
    <xf numFmtId="180" fontId="6" fillId="0" borderId="1" xfId="0" applyNumberFormat="1" applyFont="1" applyBorder="1" applyAlignment="1">
      <alignment/>
    </xf>
    <xf numFmtId="181" fontId="7" fillId="0" borderId="1" xfId="19" applyNumberFormat="1" applyFont="1" applyBorder="1" applyAlignment="1">
      <alignment/>
    </xf>
    <xf numFmtId="180" fontId="10" fillId="0" borderId="1" xfId="0" applyNumberFormat="1" applyFont="1" applyBorder="1" applyAlignment="1">
      <alignment/>
    </xf>
    <xf numFmtId="178" fontId="10" fillId="0" borderId="1" xfId="19" applyNumberFormat="1" applyFont="1" applyBorder="1" applyAlignment="1">
      <alignment/>
    </xf>
    <xf numFmtId="0" fontId="10" fillId="0" borderId="1" xfId="0" applyFont="1" applyBorder="1" applyAlignment="1">
      <alignment wrapText="1"/>
    </xf>
    <xf numFmtId="0" fontId="0" fillId="0" borderId="1" xfId="0" applyFont="1" applyBorder="1" applyAlignment="1">
      <alignment/>
    </xf>
    <xf numFmtId="180" fontId="2" fillId="0" borderId="1" xfId="0" applyNumberFormat="1" applyFont="1" applyBorder="1" applyAlignment="1">
      <alignment/>
    </xf>
    <xf numFmtId="181" fontId="2" fillId="0" borderId="1" xfId="19" applyNumberFormat="1" applyFont="1" applyBorder="1" applyAlignment="1">
      <alignment/>
    </xf>
    <xf numFmtId="180" fontId="1" fillId="0" borderId="1" xfId="0" applyNumberFormat="1" applyFont="1" applyBorder="1" applyAlignment="1">
      <alignment/>
    </xf>
    <xf numFmtId="178" fontId="1" fillId="0" borderId="1" xfId="19" applyNumberFormat="1" applyFont="1" applyBorder="1" applyAlignment="1">
      <alignment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180" fontId="1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wrapText="1"/>
    </xf>
    <xf numFmtId="0" fontId="8" fillId="0" borderId="1" xfId="0" applyFont="1" applyBorder="1" applyAlignment="1">
      <alignment wrapText="1"/>
    </xf>
    <xf numFmtId="180" fontId="8" fillId="0" borderId="1" xfId="0" applyNumberFormat="1" applyFont="1" applyBorder="1" applyAlignment="1">
      <alignment/>
    </xf>
    <xf numFmtId="182" fontId="8" fillId="0" borderId="1" xfId="0" applyNumberFormat="1" applyFont="1" applyBorder="1" applyAlignment="1">
      <alignment/>
    </xf>
    <xf numFmtId="178" fontId="8" fillId="0" borderId="1" xfId="19" applyNumberFormat="1" applyFont="1" applyBorder="1" applyAlignment="1">
      <alignment/>
    </xf>
    <xf numFmtId="0" fontId="10" fillId="0" borderId="1" xfId="0" applyFont="1" applyBorder="1" applyAlignment="1">
      <alignment/>
    </xf>
    <xf numFmtId="0" fontId="8" fillId="0" borderId="1" xfId="0" applyFont="1" applyBorder="1" applyAlignment="1">
      <alignment/>
    </xf>
    <xf numFmtId="0" fontId="6" fillId="0" borderId="1" xfId="0" applyFont="1" applyBorder="1" applyAlignment="1">
      <alignment wrapText="1"/>
    </xf>
    <xf numFmtId="0" fontId="11" fillId="0" borderId="1" xfId="0" applyFont="1" applyBorder="1" applyAlignment="1">
      <alignment wrapText="1"/>
    </xf>
    <xf numFmtId="180" fontId="12" fillId="0" borderId="1" xfId="0" applyNumberFormat="1" applyFont="1" applyBorder="1" applyAlignment="1">
      <alignment/>
    </xf>
    <xf numFmtId="178" fontId="12" fillId="0" borderId="1" xfId="19" applyNumberFormat="1" applyFont="1" applyBorder="1" applyAlignment="1">
      <alignment/>
    </xf>
    <xf numFmtId="180" fontId="12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178" fontId="2" fillId="0" borderId="1" xfId="19" applyNumberFormat="1" applyFont="1" applyBorder="1" applyAlignment="1">
      <alignment/>
    </xf>
    <xf numFmtId="0" fontId="6" fillId="0" borderId="0" xfId="0" applyFont="1" applyBorder="1" applyAlignment="1">
      <alignment wrapText="1"/>
    </xf>
    <xf numFmtId="180" fontId="2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 vertical="center" wrapTex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1" fontId="6" fillId="0" borderId="1" xfId="0" applyNumberFormat="1" applyFont="1" applyBorder="1" applyAlignment="1">
      <alignment/>
    </xf>
    <xf numFmtId="178" fontId="6" fillId="0" borderId="1" xfId="0" applyNumberFormat="1" applyFont="1" applyBorder="1" applyAlignment="1">
      <alignment/>
    </xf>
    <xf numFmtId="2" fontId="10" fillId="0" borderId="1" xfId="19" applyNumberFormat="1" applyFont="1" applyBorder="1" applyAlignment="1">
      <alignment/>
    </xf>
    <xf numFmtId="3" fontId="6" fillId="0" borderId="1" xfId="0" applyNumberFormat="1" applyFont="1" applyBorder="1" applyAlignment="1">
      <alignment/>
    </xf>
    <xf numFmtId="175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1" fontId="1" fillId="0" borderId="1" xfId="0" applyNumberFormat="1" applyFont="1" applyBorder="1" applyAlignment="1">
      <alignment/>
    </xf>
    <xf numFmtId="178" fontId="0" fillId="0" borderId="1" xfId="0" applyNumberFormat="1" applyBorder="1" applyAlignment="1">
      <alignment horizontal="right"/>
    </xf>
    <xf numFmtId="1" fontId="0" fillId="0" borderId="1" xfId="0" applyNumberFormat="1" applyBorder="1" applyAlignment="1">
      <alignment/>
    </xf>
    <xf numFmtId="2" fontId="1" fillId="0" borderId="1" xfId="19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178" fontId="1" fillId="0" borderId="1" xfId="0" applyNumberFormat="1" applyFont="1" applyBorder="1" applyAlignment="1">
      <alignment/>
    </xf>
    <xf numFmtId="175" fontId="1" fillId="0" borderId="1" xfId="0" applyNumberFormat="1" applyFont="1" applyBorder="1" applyAlignment="1">
      <alignment horizontal="center"/>
    </xf>
    <xf numFmtId="178" fontId="0" fillId="0" borderId="1" xfId="0" applyNumberFormat="1" applyBorder="1" applyAlignment="1">
      <alignment/>
    </xf>
    <xf numFmtId="0" fontId="0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1" fontId="6" fillId="0" borderId="1" xfId="0" applyNumberFormat="1" applyFont="1" applyBorder="1" applyAlignment="1">
      <alignment horizontal="center"/>
    </xf>
    <xf numFmtId="178" fontId="6" fillId="0" borderId="1" xfId="0" applyNumberFormat="1" applyFont="1" applyBorder="1" applyAlignment="1">
      <alignment/>
    </xf>
    <xf numFmtId="1" fontId="6" fillId="0" borderId="1" xfId="0" applyNumberFormat="1" applyFont="1" applyBorder="1" applyAlignment="1">
      <alignment/>
    </xf>
    <xf numFmtId="3" fontId="0" fillId="0" borderId="1" xfId="0" applyNumberFormat="1" applyFont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3" fontId="10" fillId="0" borderId="1" xfId="0" applyNumberFormat="1" applyFont="1" applyBorder="1" applyAlignment="1">
      <alignment horizontal="center"/>
    </xf>
    <xf numFmtId="3" fontId="10" fillId="0" borderId="1" xfId="0" applyNumberFormat="1" applyFont="1" applyBorder="1" applyAlignment="1">
      <alignment/>
    </xf>
    <xf numFmtId="0" fontId="0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1" fontId="1" fillId="2" borderId="1" xfId="0" applyNumberFormat="1" applyFont="1" applyFill="1" applyBorder="1" applyAlignment="1">
      <alignment/>
    </xf>
    <xf numFmtId="0" fontId="0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0" fillId="0" borderId="1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1" fontId="2" fillId="0" borderId="1" xfId="0" applyNumberFormat="1" applyFont="1" applyBorder="1" applyAlignment="1">
      <alignment/>
    </xf>
    <xf numFmtId="0" fontId="6" fillId="0" borderId="1" xfId="0" applyFont="1" applyBorder="1" applyAlignment="1">
      <alignment horizontal="left" wrapText="1"/>
    </xf>
    <xf numFmtId="1" fontId="10" fillId="0" borderId="1" xfId="0" applyNumberFormat="1" applyFont="1" applyBorder="1" applyAlignment="1">
      <alignment/>
    </xf>
    <xf numFmtId="178" fontId="10" fillId="0" borderId="1" xfId="0" applyNumberFormat="1" applyFont="1" applyBorder="1" applyAlignment="1">
      <alignment/>
    </xf>
    <xf numFmtId="3" fontId="6" fillId="0" borderId="1" xfId="0" applyNumberFormat="1" applyFont="1" applyBorder="1" applyAlignment="1">
      <alignment/>
    </xf>
    <xf numFmtId="0" fontId="0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3" fontId="0" fillId="0" borderId="1" xfId="0" applyNumberFormat="1" applyFont="1" applyBorder="1" applyAlignment="1">
      <alignment/>
    </xf>
    <xf numFmtId="4" fontId="6" fillId="0" borderId="1" xfId="0" applyNumberFormat="1" applyFont="1" applyBorder="1" applyAlignment="1">
      <alignment/>
    </xf>
    <xf numFmtId="0" fontId="6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1" fillId="0" borderId="0" xfId="0" applyFont="1" applyBorder="1" applyAlignment="1">
      <alignment horizontal="left" wrapText="1"/>
    </xf>
    <xf numFmtId="3" fontId="10" fillId="0" borderId="0" xfId="0" applyNumberFormat="1" applyFont="1" applyBorder="1" applyAlignment="1">
      <alignment/>
    </xf>
    <xf numFmtId="0" fontId="5" fillId="0" borderId="0" xfId="0" applyFont="1" applyAlignment="1">
      <alignment horizontal="lef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Continuous"/>
    </xf>
    <xf numFmtId="0" fontId="10" fillId="0" borderId="0" xfId="0" applyFont="1" applyFill="1" applyAlignment="1">
      <alignment horizontal="centerContinuous"/>
    </xf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vertical="center" wrapText="1"/>
    </xf>
    <xf numFmtId="3" fontId="10" fillId="0" borderId="1" xfId="0" applyNumberFormat="1" applyFont="1" applyFill="1" applyBorder="1" applyAlignment="1">
      <alignment/>
    </xf>
    <xf numFmtId="3" fontId="1" fillId="0" borderId="1" xfId="0" applyNumberFormat="1" applyFont="1" applyFill="1" applyBorder="1" applyAlignment="1">
      <alignment horizontal="center" vertical="center" wrapText="1"/>
    </xf>
    <xf numFmtId="178" fontId="10" fillId="0" borderId="1" xfId="19" applyNumberFormat="1" applyFont="1" applyFill="1" applyBorder="1" applyAlignment="1">
      <alignment/>
    </xf>
    <xf numFmtId="178" fontId="1" fillId="0" borderId="1" xfId="19" applyNumberFormat="1" applyFont="1" applyFill="1" applyBorder="1" applyAlignment="1">
      <alignment/>
    </xf>
    <xf numFmtId="3" fontId="10" fillId="0" borderId="1" xfId="0" applyNumberFormat="1" applyFont="1" applyFill="1" applyBorder="1" applyAlignment="1">
      <alignment vertical="center" wrapText="1"/>
    </xf>
    <xf numFmtId="3" fontId="1" fillId="0" borderId="1" xfId="0" applyNumberFormat="1" applyFont="1" applyFill="1" applyBorder="1" applyAlignment="1">
      <alignment horizontal="center"/>
    </xf>
    <xf numFmtId="178" fontId="1" fillId="0" borderId="1" xfId="0" applyNumberFormat="1" applyFont="1" applyFill="1" applyBorder="1" applyAlignment="1">
      <alignment horizontal="center"/>
    </xf>
    <xf numFmtId="3" fontId="1" fillId="0" borderId="0" xfId="0" applyNumberFormat="1" applyFont="1" applyFill="1" applyAlignment="1">
      <alignment/>
    </xf>
    <xf numFmtId="0" fontId="1" fillId="0" borderId="1" xfId="0" applyFont="1" applyFill="1" applyBorder="1" applyAlignment="1">
      <alignment horizontal="left" vertical="center" wrapText="1"/>
    </xf>
    <xf numFmtId="3" fontId="1" fillId="0" borderId="1" xfId="0" applyNumberFormat="1" applyFont="1" applyFill="1" applyBorder="1" applyAlignment="1">
      <alignment horizontal="right" vertical="center" wrapText="1"/>
    </xf>
    <xf numFmtId="178" fontId="10" fillId="0" borderId="1" xfId="0" applyNumberFormat="1" applyFont="1" applyFill="1" applyBorder="1" applyAlignment="1">
      <alignment/>
    </xf>
    <xf numFmtId="3" fontId="1" fillId="0" borderId="1" xfId="0" applyNumberFormat="1" applyFont="1" applyFill="1" applyBorder="1" applyAlignment="1">
      <alignment/>
    </xf>
    <xf numFmtId="178" fontId="1" fillId="0" borderId="1" xfId="0" applyNumberFormat="1" applyFont="1" applyFill="1" applyBorder="1" applyAlignment="1">
      <alignment/>
    </xf>
    <xf numFmtId="3" fontId="13" fillId="0" borderId="1" xfId="0" applyNumberFormat="1" applyFont="1" applyFill="1" applyBorder="1" applyAlignment="1">
      <alignment horizontal="right" vertical="center" wrapText="1"/>
    </xf>
    <xf numFmtId="0" fontId="10" fillId="0" borderId="1" xfId="0" applyFont="1" applyFill="1" applyBorder="1" applyAlignment="1">
      <alignment horizontal="center"/>
    </xf>
    <xf numFmtId="3" fontId="10" fillId="0" borderId="1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left"/>
    </xf>
    <xf numFmtId="3" fontId="1" fillId="0" borderId="1" xfId="0" applyNumberFormat="1" applyFont="1" applyFill="1" applyBorder="1" applyAlignment="1">
      <alignment horizontal="right"/>
    </xf>
    <xf numFmtId="3" fontId="1" fillId="0" borderId="1" xfId="0" applyNumberFormat="1" applyFont="1" applyFill="1" applyBorder="1" applyAlignment="1">
      <alignment/>
    </xf>
    <xf numFmtId="0" fontId="10" fillId="0" borderId="1" xfId="0" applyFont="1" applyFill="1" applyBorder="1" applyAlignment="1">
      <alignment horizontal="center" wrapText="1"/>
    </xf>
    <xf numFmtId="3" fontId="10" fillId="0" borderId="1" xfId="0" applyNumberFormat="1" applyFont="1" applyFill="1" applyBorder="1" applyAlignment="1">
      <alignment/>
    </xf>
    <xf numFmtId="0" fontId="14" fillId="0" borderId="0" xfId="0" applyFont="1" applyFill="1" applyAlignment="1">
      <alignment/>
    </xf>
    <xf numFmtId="0" fontId="10" fillId="0" borderId="0" xfId="0" applyFont="1" applyFill="1" applyAlignment="1">
      <alignment/>
    </xf>
    <xf numFmtId="3" fontId="1" fillId="0" borderId="1" xfId="0" applyNumberFormat="1" applyFont="1" applyFill="1" applyBorder="1" applyAlignment="1">
      <alignment horizontal="right" wrapText="1" shrinkToFit="1"/>
    </xf>
    <xf numFmtId="3" fontId="10" fillId="0" borderId="1" xfId="0" applyNumberFormat="1" applyFont="1" applyFill="1" applyBorder="1" applyAlignment="1">
      <alignment horizontal="right" wrapText="1" shrinkToFit="1"/>
    </xf>
    <xf numFmtId="178" fontId="1" fillId="0" borderId="0" xfId="0" applyNumberFormat="1" applyFont="1" applyFill="1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Continuous"/>
    </xf>
    <xf numFmtId="0" fontId="15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10" fillId="0" borderId="2" xfId="0" applyFont="1" applyBorder="1" applyAlignment="1">
      <alignment wrapText="1"/>
    </xf>
    <xf numFmtId="3" fontId="10" fillId="0" borderId="1" xfId="0" applyNumberFormat="1" applyFont="1" applyBorder="1" applyAlignment="1">
      <alignment/>
    </xf>
    <xf numFmtId="3" fontId="10" fillId="0" borderId="1" xfId="0" applyNumberFormat="1" applyFont="1" applyBorder="1" applyAlignment="1">
      <alignment horizontal="right"/>
    </xf>
    <xf numFmtId="0" fontId="6" fillId="0" borderId="2" xfId="0" applyFont="1" applyBorder="1" applyAlignment="1">
      <alignment wrapText="1"/>
    </xf>
    <xf numFmtId="3" fontId="6" fillId="0" borderId="1" xfId="0" applyNumberFormat="1" applyFont="1" applyBorder="1" applyAlignment="1">
      <alignment/>
    </xf>
    <xf numFmtId="3" fontId="6" fillId="0" borderId="1" xfId="0" applyNumberFormat="1" applyFont="1" applyBorder="1" applyAlignment="1">
      <alignment horizontal="center"/>
    </xf>
    <xf numFmtId="3" fontId="6" fillId="0" borderId="1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0" fontId="1" fillId="0" borderId="2" xfId="0" applyFont="1" applyFill="1" applyBorder="1" applyAlignment="1">
      <alignment wrapText="1"/>
    </xf>
    <xf numFmtId="3" fontId="1" fillId="0" borderId="1" xfId="0" applyNumberFormat="1" applyFont="1" applyBorder="1" applyAlignment="1">
      <alignment/>
    </xf>
    <xf numFmtId="175" fontId="1" fillId="0" borderId="1" xfId="19" applyNumberFormat="1" applyFont="1" applyBorder="1" applyAlignment="1">
      <alignment horizontal="right"/>
    </xf>
    <xf numFmtId="175" fontId="1" fillId="0" borderId="1" xfId="0" applyNumberFormat="1" applyFont="1" applyBorder="1" applyAlignment="1">
      <alignment/>
    </xf>
    <xf numFmtId="0" fontId="0" fillId="0" borderId="2" xfId="0" applyFont="1" applyFill="1" applyBorder="1" applyAlignment="1">
      <alignment wrapText="1"/>
    </xf>
    <xf numFmtId="175" fontId="6" fillId="0" borderId="1" xfId="19" applyNumberFormat="1" applyFont="1" applyBorder="1" applyAlignment="1">
      <alignment horizontal="right"/>
    </xf>
    <xf numFmtId="0" fontId="1" fillId="0" borderId="2" xfId="0" applyFont="1" applyBorder="1" applyAlignment="1">
      <alignment wrapText="1"/>
    </xf>
    <xf numFmtId="0" fontId="0" fillId="0" borderId="2" xfId="0" applyFont="1" applyBorder="1" applyAlignment="1">
      <alignment wrapText="1"/>
    </xf>
    <xf numFmtId="3" fontId="0" fillId="0" borderId="1" xfId="0" applyNumberFormat="1" applyFont="1" applyBorder="1" applyAlignment="1">
      <alignment/>
    </xf>
    <xf numFmtId="175" fontId="0" fillId="0" borderId="1" xfId="19" applyNumberFormat="1" applyFont="1" applyBorder="1" applyAlignment="1">
      <alignment horizontal="right"/>
    </xf>
    <xf numFmtId="0" fontId="10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10" fillId="0" borderId="2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1" fillId="0" borderId="2" xfId="0" applyFont="1" applyBorder="1" applyAlignment="1">
      <alignment/>
    </xf>
    <xf numFmtId="0" fontId="0" fillId="0" borderId="2" xfId="0" applyFont="1" applyBorder="1" applyAlignment="1">
      <alignment/>
    </xf>
    <xf numFmtId="3" fontId="1" fillId="0" borderId="1" xfId="0" applyNumberFormat="1" applyFont="1" applyBorder="1" applyAlignment="1">
      <alignment horizontal="center"/>
    </xf>
    <xf numFmtId="175" fontId="1" fillId="0" borderId="1" xfId="0" applyNumberFormat="1" applyFont="1" applyBorder="1" applyAlignment="1">
      <alignment horizontal="right"/>
    </xf>
    <xf numFmtId="3" fontId="0" fillId="0" borderId="1" xfId="0" applyNumberFormat="1" applyFont="1" applyBorder="1" applyAlignment="1">
      <alignment horizontal="center"/>
    </xf>
    <xf numFmtId="175" fontId="0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 wrapText="1"/>
    </xf>
    <xf numFmtId="175" fontId="0" fillId="0" borderId="1" xfId="0" applyNumberFormat="1" applyFont="1" applyBorder="1" applyAlignment="1">
      <alignment/>
    </xf>
    <xf numFmtId="175" fontId="10" fillId="0" borderId="1" xfId="19" applyNumberFormat="1" applyFont="1" applyBorder="1" applyAlignment="1">
      <alignment horizontal="right"/>
    </xf>
    <xf numFmtId="175" fontId="10" fillId="0" borderId="1" xfId="0" applyNumberFormat="1" applyFont="1" applyBorder="1" applyAlignment="1">
      <alignment/>
    </xf>
    <xf numFmtId="0" fontId="6" fillId="0" borderId="1" xfId="0" applyFont="1" applyBorder="1" applyAlignment="1">
      <alignment wrapText="1"/>
    </xf>
    <xf numFmtId="0" fontId="10" fillId="0" borderId="2" xfId="0" applyFont="1" applyBorder="1" applyAlignment="1">
      <alignment/>
    </xf>
    <xf numFmtId="0" fontId="6" fillId="0" borderId="2" xfId="0" applyFont="1" applyBorder="1" applyAlignment="1">
      <alignment/>
    </xf>
    <xf numFmtId="0" fontId="12" fillId="0" borderId="2" xfId="0" applyFont="1" applyBorder="1" applyAlignment="1">
      <alignment horizontal="left" wrapText="1"/>
    </xf>
    <xf numFmtId="0" fontId="11" fillId="0" borderId="2" xfId="0" applyFont="1" applyBorder="1" applyAlignment="1">
      <alignment horizontal="left" wrapText="1"/>
    </xf>
    <xf numFmtId="0" fontId="12" fillId="0" borderId="2" xfId="0" applyFont="1" applyBorder="1" applyAlignment="1">
      <alignment horizontal="center" wrapText="1"/>
    </xf>
    <xf numFmtId="0" fontId="1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left" wrapText="1"/>
    </xf>
    <xf numFmtId="0" fontId="0" fillId="0" borderId="2" xfId="0" applyFont="1" applyBorder="1" applyAlignment="1">
      <alignment horizontal="left" wrapText="1"/>
    </xf>
    <xf numFmtId="0" fontId="10" fillId="0" borderId="2" xfId="0" applyFont="1" applyBorder="1" applyAlignment="1">
      <alignment horizontal="center" wrapText="1"/>
    </xf>
    <xf numFmtId="175" fontId="10" fillId="0" borderId="1" xfId="0" applyNumberFormat="1" applyFont="1" applyBorder="1" applyAlignment="1">
      <alignment horizontal="right"/>
    </xf>
    <xf numFmtId="0" fontId="6" fillId="0" borderId="2" xfId="0" applyFont="1" applyBorder="1" applyAlignment="1">
      <alignment horizontal="center" wrapText="1"/>
    </xf>
    <xf numFmtId="0" fontId="1" fillId="0" borderId="2" xfId="0" applyFont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0" fontId="12" fillId="0" borderId="2" xfId="0" applyFont="1" applyBorder="1" applyAlignment="1">
      <alignment wrapText="1"/>
    </xf>
    <xf numFmtId="0" fontId="11" fillId="0" borderId="2" xfId="0" applyFont="1" applyBorder="1" applyAlignment="1">
      <alignment wrapText="1"/>
    </xf>
    <xf numFmtId="0" fontId="12" fillId="0" borderId="2" xfId="0" applyFont="1" applyBorder="1" applyAlignment="1">
      <alignment/>
    </xf>
    <xf numFmtId="0" fontId="11" fillId="0" borderId="2" xfId="0" applyFont="1" applyBorder="1" applyAlignment="1">
      <alignment/>
    </xf>
    <xf numFmtId="0" fontId="0" fillId="0" borderId="1" xfId="0" applyFont="1" applyBorder="1" applyAlignment="1">
      <alignment horizontal="left"/>
    </xf>
    <xf numFmtId="0" fontId="1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/>
    </xf>
    <xf numFmtId="178" fontId="0" fillId="0" borderId="0" xfId="19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/>
    </xf>
    <xf numFmtId="0" fontId="6" fillId="0" borderId="1" xfId="0" applyFont="1" applyBorder="1" applyAlignment="1">
      <alignment horizontal="center"/>
    </xf>
    <xf numFmtId="3" fontId="6" fillId="0" borderId="1" xfId="0" applyNumberFormat="1" applyFont="1" applyBorder="1" applyAlignment="1">
      <alignment/>
    </xf>
    <xf numFmtId="178" fontId="6" fillId="0" borderId="1" xfId="19" applyNumberFormat="1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175" fontId="6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179" fontId="0" fillId="0" borderId="1" xfId="0" applyNumberFormat="1" applyFont="1" applyBorder="1" applyAlignment="1">
      <alignment horizontal="center"/>
    </xf>
    <xf numFmtId="3" fontId="0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179" fontId="0" fillId="0" borderId="1" xfId="0" applyNumberFormat="1" applyFont="1" applyBorder="1" applyAlignment="1">
      <alignment horizontal="center"/>
    </xf>
    <xf numFmtId="0" fontId="0" fillId="0" borderId="0" xfId="0" applyFont="1" applyFill="1" applyAlignment="1">
      <alignment/>
    </xf>
    <xf numFmtId="0" fontId="6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172" fontId="0" fillId="0" borderId="1" xfId="0" applyNumberFormat="1" applyFont="1" applyBorder="1" applyAlignment="1">
      <alignment/>
    </xf>
    <xf numFmtId="0" fontId="0" fillId="0" borderId="1" xfId="0" applyFont="1" applyBorder="1" applyAlignment="1">
      <alignment horizontal="center"/>
    </xf>
    <xf numFmtId="10" fontId="0" fillId="0" borderId="0" xfId="0" applyNumberFormat="1" applyFont="1" applyAlignment="1">
      <alignment/>
    </xf>
    <xf numFmtId="172" fontId="0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  <xf numFmtId="178" fontId="0" fillId="0" borderId="0" xfId="0" applyNumberFormat="1" applyFont="1" applyAlignment="1">
      <alignment/>
    </xf>
    <xf numFmtId="0" fontId="18" fillId="0" borderId="0" xfId="0" applyFont="1" applyAlignment="1">
      <alignment horizontal="center"/>
    </xf>
    <xf numFmtId="2" fontId="18" fillId="0" borderId="0" xfId="0" applyNumberFormat="1" applyFont="1" applyAlignment="1">
      <alignment horizontal="center"/>
    </xf>
    <xf numFmtId="178" fontId="18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178" fontId="1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wrapText="1"/>
    </xf>
    <xf numFmtId="2" fontId="0" fillId="0" borderId="1" xfId="0" applyNumberFormat="1" applyFont="1" applyBorder="1" applyAlignment="1">
      <alignment horizontal="center" wrapText="1"/>
    </xf>
    <xf numFmtId="2" fontId="6" fillId="0" borderId="1" xfId="0" applyNumberFormat="1" applyFont="1" applyBorder="1" applyAlignment="1">
      <alignment/>
    </xf>
    <xf numFmtId="178" fontId="6" fillId="0" borderId="1" xfId="0" applyNumberFormat="1" applyFont="1" applyBorder="1" applyAlignment="1">
      <alignment/>
    </xf>
    <xf numFmtId="3" fontId="6" fillId="0" borderId="1" xfId="0" applyNumberFormat="1" applyFont="1" applyBorder="1" applyAlignment="1" applyProtection="1">
      <alignment/>
      <protection locked="0"/>
    </xf>
    <xf numFmtId="2" fontId="0" fillId="0" borderId="1" xfId="0" applyNumberFormat="1" applyFont="1" applyBorder="1" applyAlignment="1">
      <alignment/>
    </xf>
    <xf numFmtId="180" fontId="0" fillId="0" borderId="1" xfId="0" applyNumberFormat="1" applyFont="1" applyBorder="1" applyAlignment="1">
      <alignment/>
    </xf>
    <xf numFmtId="3" fontId="0" fillId="0" borderId="1" xfId="0" applyNumberFormat="1" applyFont="1" applyBorder="1" applyAlignment="1">
      <alignment/>
    </xf>
    <xf numFmtId="3" fontId="0" fillId="0" borderId="1" xfId="0" applyNumberFormat="1" applyFont="1" applyBorder="1" applyAlignment="1" applyProtection="1">
      <alignment/>
      <protection locked="0"/>
    </xf>
    <xf numFmtId="178" fontId="0" fillId="0" borderId="1" xfId="0" applyNumberFormat="1" applyFont="1" applyBorder="1" applyAlignment="1">
      <alignment/>
    </xf>
    <xf numFmtId="0" fontId="11" fillId="0" borderId="1" xfId="0" applyFont="1" applyBorder="1" applyAlignment="1">
      <alignment/>
    </xf>
    <xf numFmtId="3" fontId="0" fillId="0" borderId="1" xfId="0" applyNumberFormat="1" applyFont="1" applyBorder="1" applyAlignment="1" applyProtection="1">
      <alignment/>
      <protection locked="0"/>
    </xf>
    <xf numFmtId="0" fontId="10" fillId="0" borderId="1" xfId="0" applyFont="1" applyBorder="1" applyAlignment="1">
      <alignment horizont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left" vertical="center"/>
    </xf>
    <xf numFmtId="3" fontId="0" fillId="0" borderId="1" xfId="0" applyNumberFormat="1" applyFont="1" applyBorder="1" applyAlignment="1">
      <alignment horizontal="right"/>
    </xf>
    <xf numFmtId="0" fontId="0" fillId="0" borderId="1" xfId="0" applyFont="1" applyBorder="1" applyAlignment="1" applyProtection="1">
      <alignment/>
      <protection locked="0"/>
    </xf>
    <xf numFmtId="0" fontId="0" fillId="3" borderId="1" xfId="0" applyFont="1" applyFill="1" applyBorder="1" applyAlignment="1">
      <alignment/>
    </xf>
    <xf numFmtId="3" fontId="11" fillId="0" borderId="1" xfId="0" applyNumberFormat="1" applyFont="1" applyBorder="1" applyAlignment="1">
      <alignment/>
    </xf>
    <xf numFmtId="3" fontId="11" fillId="0" borderId="1" xfId="0" applyNumberFormat="1" applyFont="1" applyBorder="1" applyAlignment="1" applyProtection="1">
      <alignment/>
      <protection locked="0"/>
    </xf>
    <xf numFmtId="2" fontId="0" fillId="0" borderId="0" xfId="0" applyNumberFormat="1" applyFont="1" applyBorder="1" applyAlignment="1">
      <alignment/>
    </xf>
    <xf numFmtId="178" fontId="0" fillId="0" borderId="0" xfId="0" applyNumberFormat="1" applyFont="1" applyBorder="1" applyAlignment="1">
      <alignment/>
    </xf>
    <xf numFmtId="0" fontId="11" fillId="0" borderId="0" xfId="0" applyFont="1" applyBorder="1" applyAlignment="1">
      <alignment horizontal="center" wrapText="1"/>
    </xf>
    <xf numFmtId="0" fontId="0" fillId="0" borderId="0" xfId="0" applyFont="1" applyAlignment="1">
      <alignment wrapText="1"/>
    </xf>
    <xf numFmtId="2" fontId="0" fillId="0" borderId="0" xfId="0" applyNumberFormat="1" applyFont="1" applyAlignment="1">
      <alignment horizontal="centerContinuous"/>
    </xf>
    <xf numFmtId="178" fontId="0" fillId="0" borderId="0" xfId="0" applyNumberFormat="1" applyFont="1" applyAlignment="1">
      <alignment horizontal="centerContinuous"/>
    </xf>
    <xf numFmtId="2" fontId="1" fillId="0" borderId="0" xfId="0" applyNumberFormat="1" applyFont="1" applyAlignment="1">
      <alignment/>
    </xf>
    <xf numFmtId="178" fontId="1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78" fontId="0" fillId="0" borderId="0" xfId="0" applyNumberFormat="1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 horizontal="centerContinuous"/>
    </xf>
    <xf numFmtId="3" fontId="5" fillId="0" borderId="0" xfId="0" applyNumberFormat="1" applyFont="1" applyAlignment="1">
      <alignment horizontal="centerContinuous"/>
    </xf>
    <xf numFmtId="1" fontId="5" fillId="0" borderId="0" xfId="0" applyNumberFormat="1" applyFont="1" applyAlignment="1">
      <alignment horizontal="centerContinuous"/>
    </xf>
    <xf numFmtId="0" fontId="5" fillId="0" borderId="0" xfId="0" applyFont="1" applyAlignment="1">
      <alignment horizontal="right"/>
    </xf>
    <xf numFmtId="3" fontId="5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3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1" fontId="0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180" fontId="4" fillId="0" borderId="1" xfId="0" applyNumberFormat="1" applyFont="1" applyBorder="1" applyAlignment="1">
      <alignment horizontal="right" wrapText="1"/>
    </xf>
    <xf numFmtId="3" fontId="4" fillId="0" borderId="1" xfId="19" applyNumberFormat="1" applyFont="1" applyBorder="1" applyAlignment="1">
      <alignment/>
    </xf>
    <xf numFmtId="184" fontId="5" fillId="0" borderId="1" xfId="19" applyNumberFormat="1" applyFont="1" applyBorder="1" applyAlignment="1">
      <alignment/>
    </xf>
    <xf numFmtId="180" fontId="6" fillId="0" borderId="1" xfId="0" applyNumberFormat="1" applyFont="1" applyBorder="1" applyAlignment="1">
      <alignment horizontal="right" wrapText="1"/>
    </xf>
    <xf numFmtId="175" fontId="4" fillId="0" borderId="1" xfId="19" applyNumberFormat="1" applyFont="1" applyBorder="1" applyAlignment="1">
      <alignment/>
    </xf>
    <xf numFmtId="180" fontId="0" fillId="0" borderId="1" xfId="0" applyNumberFormat="1" applyFont="1" applyBorder="1" applyAlignment="1">
      <alignment horizontal="right" wrapText="1"/>
    </xf>
    <xf numFmtId="3" fontId="5" fillId="0" borderId="1" xfId="19" applyNumberFormat="1" applyFont="1" applyBorder="1" applyAlignment="1">
      <alignment/>
    </xf>
    <xf numFmtId="180" fontId="5" fillId="0" borderId="1" xfId="0" applyNumberFormat="1" applyFont="1" applyBorder="1" applyAlignment="1">
      <alignment horizontal="right" wrapText="1"/>
    </xf>
    <xf numFmtId="175" fontId="5" fillId="0" borderId="1" xfId="19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3" fontId="5" fillId="0" borderId="1" xfId="0" applyNumberFormat="1" applyFont="1" applyBorder="1" applyAlignment="1">
      <alignment/>
    </xf>
    <xf numFmtId="0" fontId="4" fillId="0" borderId="1" xfId="0" applyFont="1" applyBorder="1" applyAlignment="1">
      <alignment horizontal="left"/>
    </xf>
    <xf numFmtId="3" fontId="4" fillId="0" borderId="1" xfId="0" applyNumberFormat="1" applyFont="1" applyBorder="1" applyAlignment="1">
      <alignment/>
    </xf>
    <xf numFmtId="3" fontId="5" fillId="0" borderId="1" xfId="0" applyNumberFormat="1" applyFont="1" applyBorder="1" applyAlignment="1">
      <alignment/>
    </xf>
    <xf numFmtId="180" fontId="0" fillId="0" borderId="1" xfId="0" applyNumberFormat="1" applyFont="1" applyBorder="1" applyAlignment="1">
      <alignment horizontal="right" vertical="center" wrapText="1"/>
    </xf>
    <xf numFmtId="180" fontId="0" fillId="0" borderId="1" xfId="0" applyNumberFormat="1" applyFont="1" applyBorder="1" applyAlignment="1">
      <alignment horizontal="center"/>
    </xf>
    <xf numFmtId="175" fontId="0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wrapText="1"/>
    </xf>
    <xf numFmtId="180" fontId="4" fillId="0" borderId="1" xfId="0" applyNumberFormat="1" applyFont="1" applyBorder="1" applyAlignment="1">
      <alignment/>
    </xf>
    <xf numFmtId="180" fontId="5" fillId="0" borderId="1" xfId="0" applyNumberFormat="1" applyFont="1" applyBorder="1" applyAlignment="1">
      <alignment/>
    </xf>
    <xf numFmtId="180" fontId="5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 horizontal="right"/>
    </xf>
    <xf numFmtId="180" fontId="0" fillId="0" borderId="1" xfId="0" applyNumberFormat="1" applyFont="1" applyFill="1" applyBorder="1" applyAlignment="1">
      <alignment horizontal="center"/>
    </xf>
    <xf numFmtId="3" fontId="5" fillId="0" borderId="1" xfId="0" applyNumberFormat="1" applyFont="1" applyBorder="1" applyAlignment="1">
      <alignment horizontal="right"/>
    </xf>
    <xf numFmtId="3" fontId="5" fillId="0" borderId="1" xfId="0" applyNumberFormat="1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/>
    </xf>
    <xf numFmtId="172" fontId="0" fillId="0" borderId="1" xfId="0" applyNumberFormat="1" applyFont="1" applyBorder="1" applyAlignment="1">
      <alignment horizontal="center"/>
    </xf>
    <xf numFmtId="3" fontId="5" fillId="0" borderId="1" xfId="0" applyNumberFormat="1" applyFont="1" applyFill="1" applyBorder="1" applyAlignment="1">
      <alignment horizontal="right"/>
    </xf>
    <xf numFmtId="0" fontId="11" fillId="0" borderId="1" xfId="0" applyFont="1" applyBorder="1" applyAlignment="1">
      <alignment horizontal="center" wrapText="1"/>
    </xf>
    <xf numFmtId="180" fontId="11" fillId="0" borderId="1" xfId="0" applyNumberFormat="1" applyFont="1" applyBorder="1" applyAlignment="1">
      <alignment horizontal="center"/>
    </xf>
    <xf numFmtId="180" fontId="0" fillId="0" borderId="1" xfId="0" applyNumberFormat="1" applyFont="1" applyBorder="1" applyAlignment="1" applyProtection="1">
      <alignment horizontal="right" wrapText="1"/>
      <protection locked="0"/>
    </xf>
    <xf numFmtId="180" fontId="11" fillId="0" borderId="1" xfId="0" applyNumberFormat="1" applyFont="1" applyBorder="1" applyAlignment="1" applyProtection="1">
      <alignment horizontal="right" wrapText="1"/>
      <protection locked="0"/>
    </xf>
    <xf numFmtId="180" fontId="0" fillId="0" borderId="1" xfId="0" applyNumberFormat="1" applyFont="1" applyBorder="1" applyAlignment="1">
      <alignment horizontal="center" wrapText="1"/>
    </xf>
    <xf numFmtId="180" fontId="0" fillId="0" borderId="1" xfId="0" applyNumberFormat="1" applyFont="1" applyFill="1" applyBorder="1" applyAlignment="1">
      <alignment horizontal="center" wrapText="1"/>
    </xf>
    <xf numFmtId="180" fontId="11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3" fontId="5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180" fontId="6" fillId="0" borderId="1" xfId="0" applyNumberFormat="1" applyFont="1" applyBorder="1" applyAlignment="1">
      <alignment horizontal="center"/>
    </xf>
    <xf numFmtId="0" fontId="0" fillId="0" borderId="0" xfId="0" applyFont="1" applyBorder="1" applyAlignment="1">
      <alignment wrapText="1"/>
    </xf>
    <xf numFmtId="172" fontId="0" fillId="0" borderId="0" xfId="0" applyNumberFormat="1" applyFont="1" applyBorder="1" applyAlignment="1">
      <alignment horizontal="center"/>
    </xf>
    <xf numFmtId="172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center" wrapText="1"/>
    </xf>
    <xf numFmtId="1" fontId="0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/>
    </xf>
    <xf numFmtId="3" fontId="0" fillId="0" borderId="1" xfId="0" applyNumberFormat="1" applyFont="1" applyBorder="1" applyAlignment="1">
      <alignment horizontal="center" wrapText="1"/>
    </xf>
    <xf numFmtId="172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5" fillId="0" borderId="0" xfId="0" applyFont="1" applyBorder="1" applyAlignment="1">
      <alignment wrapText="1"/>
    </xf>
    <xf numFmtId="3" fontId="6" fillId="0" borderId="0" xfId="0" applyNumberFormat="1" applyFont="1" applyBorder="1" applyAlignment="1">
      <alignment horizontal="center" wrapText="1"/>
    </xf>
    <xf numFmtId="3" fontId="0" fillId="0" borderId="0" xfId="0" applyNumberFormat="1" applyFont="1" applyBorder="1" applyAlignment="1">
      <alignment horizontal="centerContinuous"/>
    </xf>
    <xf numFmtId="1" fontId="0" fillId="0" borderId="0" xfId="0" applyNumberFormat="1" applyFont="1" applyAlignment="1">
      <alignment horizontal="centerContinuous"/>
    </xf>
    <xf numFmtId="3" fontId="0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72" fontId="5" fillId="0" borderId="0" xfId="0" applyNumberFormat="1" applyFont="1" applyAlignment="1">
      <alignment horizontal="center"/>
    </xf>
    <xf numFmtId="172" fontId="5" fillId="0" borderId="0" xfId="0" applyNumberFormat="1" applyFont="1" applyAlignment="1">
      <alignment/>
    </xf>
    <xf numFmtId="0" fontId="0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180" fontId="6" fillId="0" borderId="1" xfId="0" applyNumberFormat="1" applyFont="1" applyBorder="1" applyAlignment="1">
      <alignment horizontal="right"/>
    </xf>
    <xf numFmtId="185" fontId="6" fillId="0" borderId="1" xfId="19" applyNumberFormat="1" applyFont="1" applyBorder="1" applyAlignment="1">
      <alignment/>
    </xf>
    <xf numFmtId="3" fontId="6" fillId="0" borderId="1" xfId="0" applyNumberFormat="1" applyFont="1" applyBorder="1" applyAlignment="1">
      <alignment horizontal="right"/>
    </xf>
    <xf numFmtId="175" fontId="6" fillId="0" borderId="1" xfId="19" applyNumberFormat="1" applyFont="1" applyBorder="1" applyAlignment="1">
      <alignment/>
    </xf>
    <xf numFmtId="180" fontId="0" fillId="0" borderId="0" xfId="0" applyNumberFormat="1" applyFont="1" applyBorder="1" applyAlignment="1">
      <alignment horizontal="right"/>
    </xf>
    <xf numFmtId="180" fontId="0" fillId="0" borderId="0" xfId="0" applyNumberFormat="1" applyAlignment="1">
      <alignment/>
    </xf>
    <xf numFmtId="180" fontId="0" fillId="0" borderId="1" xfId="0" applyNumberFormat="1" applyFont="1" applyBorder="1" applyAlignment="1">
      <alignment horizontal="right"/>
    </xf>
    <xf numFmtId="175" fontId="0" fillId="0" borderId="1" xfId="19" applyNumberFormat="1" applyFont="1" applyBorder="1" applyAlignment="1">
      <alignment/>
    </xf>
    <xf numFmtId="2" fontId="0" fillId="0" borderId="0" xfId="0" applyNumberFormat="1" applyAlignment="1">
      <alignment/>
    </xf>
    <xf numFmtId="0" fontId="11" fillId="0" borderId="1" xfId="0" applyFont="1" applyBorder="1" applyAlignment="1">
      <alignment/>
    </xf>
    <xf numFmtId="4" fontId="0" fillId="0" borderId="0" xfId="0" applyNumberFormat="1" applyAlignment="1">
      <alignment/>
    </xf>
    <xf numFmtId="180" fontId="0" fillId="0" borderId="1" xfId="0" applyNumberFormat="1" applyFont="1" applyFill="1" applyBorder="1" applyAlignment="1">
      <alignment horizontal="right"/>
    </xf>
    <xf numFmtId="179" fontId="0" fillId="0" borderId="1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10" fontId="0" fillId="0" borderId="0" xfId="0" applyNumberFormat="1" applyFont="1" applyBorder="1" applyAlignment="1">
      <alignment/>
    </xf>
    <xf numFmtId="17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vertical="center" wrapText="1"/>
    </xf>
    <xf numFmtId="172" fontId="6" fillId="0" borderId="1" xfId="0" applyNumberFormat="1" applyFont="1" applyBorder="1" applyAlignment="1">
      <alignment horizontal="right" vertical="center" wrapText="1"/>
    </xf>
    <xf numFmtId="178" fontId="6" fillId="0" borderId="1" xfId="0" applyNumberFormat="1" applyFont="1" applyBorder="1" applyAlignment="1">
      <alignment horizontal="right" vertical="center" wrapText="1"/>
    </xf>
    <xf numFmtId="172" fontId="6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left"/>
    </xf>
    <xf numFmtId="172" fontId="0" fillId="0" borderId="1" xfId="0" applyNumberFormat="1" applyFont="1" applyBorder="1" applyAlignment="1">
      <alignment horizontal="right"/>
    </xf>
    <xf numFmtId="178" fontId="0" fillId="0" borderId="1" xfId="0" applyNumberFormat="1" applyFont="1" applyBorder="1" applyAlignment="1">
      <alignment horizontal="right" vertical="center" wrapText="1"/>
    </xf>
    <xf numFmtId="172" fontId="0" fillId="0" borderId="1" xfId="0" applyNumberFormat="1" applyFont="1" applyBorder="1" applyAlignment="1">
      <alignment horizontal="right"/>
    </xf>
    <xf numFmtId="172" fontId="10" fillId="0" borderId="1" xfId="0" applyNumberFormat="1" applyFont="1" applyBorder="1" applyAlignment="1">
      <alignment/>
    </xf>
    <xf numFmtId="0" fontId="6" fillId="0" borderId="1" xfId="0" applyFont="1" applyBorder="1" applyAlignment="1">
      <alignment horizontal="left" vertical="center" wrapText="1"/>
    </xf>
    <xf numFmtId="172" fontId="1" fillId="0" borderId="1" xfId="0" applyNumberFormat="1" applyFont="1" applyBorder="1" applyAlignment="1">
      <alignment/>
    </xf>
    <xf numFmtId="178" fontId="10" fillId="0" borderId="1" xfId="0" applyNumberFormat="1" applyFont="1" applyBorder="1" applyAlignment="1">
      <alignment horizontal="right" vertical="center" wrapText="1"/>
    </xf>
    <xf numFmtId="178" fontId="1" fillId="0" borderId="1" xfId="0" applyNumberFormat="1" applyFont="1" applyBorder="1" applyAlignment="1">
      <alignment horizontal="right" vertical="center" wrapText="1"/>
    </xf>
    <xf numFmtId="0" fontId="6" fillId="0" borderId="1" xfId="0" applyFont="1" applyFill="1" applyBorder="1" applyAlignment="1">
      <alignment horizontal="left" vertical="center" wrapText="1"/>
    </xf>
    <xf numFmtId="172" fontId="10" fillId="0" borderId="1" xfId="0" applyNumberFormat="1" applyFont="1" applyFill="1" applyBorder="1" applyAlignment="1">
      <alignment/>
    </xf>
    <xf numFmtId="178" fontId="10" fillId="0" borderId="1" xfId="0" applyNumberFormat="1" applyFont="1" applyFill="1" applyBorder="1" applyAlignment="1">
      <alignment horizontal="right" vertical="center" wrapText="1"/>
    </xf>
    <xf numFmtId="172" fontId="1" fillId="0" borderId="1" xfId="0" applyNumberFormat="1" applyFont="1" applyFill="1" applyBorder="1" applyAlignment="1">
      <alignment/>
    </xf>
    <xf numFmtId="0" fontId="6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178" fontId="1" fillId="0" borderId="1" xfId="0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center"/>
    </xf>
    <xf numFmtId="178" fontId="0" fillId="0" borderId="1" xfId="0" applyNumberFormat="1" applyFont="1" applyFill="1" applyBorder="1" applyAlignment="1">
      <alignment horizontal="right" vertical="center" wrapText="1"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 horizontal="centerContinuous"/>
    </xf>
    <xf numFmtId="3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/>
    </xf>
    <xf numFmtId="3" fontId="0" fillId="0" borderId="1" xfId="0" applyNumberFormat="1" applyFont="1" applyBorder="1" applyAlignment="1">
      <alignment horizontal="right" wrapText="1"/>
    </xf>
    <xf numFmtId="3" fontId="6" fillId="0" borderId="1" xfId="0" applyNumberFormat="1" applyFont="1" applyBorder="1" applyAlignment="1">
      <alignment horizontal="right" wrapText="1"/>
    </xf>
    <xf numFmtId="178" fontId="6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right" wrapText="1"/>
    </xf>
    <xf numFmtId="178" fontId="6" fillId="0" borderId="1" xfId="0" applyNumberFormat="1" applyFont="1" applyBorder="1" applyAlignment="1">
      <alignment horizontal="right" wrapText="1"/>
    </xf>
    <xf numFmtId="178" fontId="0" fillId="0" borderId="1" xfId="0" applyNumberFormat="1" applyFont="1" applyBorder="1" applyAlignment="1">
      <alignment horizontal="center" wrapText="1"/>
    </xf>
    <xf numFmtId="0" fontId="0" fillId="0" borderId="1" xfId="0" applyFont="1" applyBorder="1" applyAlignment="1">
      <alignment horizontal="right" wrapText="1"/>
    </xf>
    <xf numFmtId="178" fontId="0" fillId="0" borderId="1" xfId="0" applyNumberFormat="1" applyFont="1" applyBorder="1" applyAlignment="1">
      <alignment horizontal="right" wrapText="1"/>
    </xf>
    <xf numFmtId="3" fontId="6" fillId="0" borderId="1" xfId="0" applyNumberFormat="1" applyFont="1" applyFill="1" applyBorder="1" applyAlignment="1">
      <alignment horizontal="right"/>
    </xf>
    <xf numFmtId="172" fontId="11" fillId="0" borderId="1" xfId="0" applyNumberFormat="1" applyFont="1" applyBorder="1" applyAlignment="1">
      <alignment horizontal="center"/>
    </xf>
    <xf numFmtId="3" fontId="11" fillId="0" borderId="1" xfId="0" applyNumberFormat="1" applyFont="1" applyBorder="1" applyAlignment="1">
      <alignment horizontal="right" wrapText="1"/>
    </xf>
    <xf numFmtId="172" fontId="11" fillId="0" borderId="1" xfId="0" applyNumberFormat="1" applyFont="1" applyBorder="1" applyAlignment="1">
      <alignment horizontal="right"/>
    </xf>
    <xf numFmtId="3" fontId="6" fillId="0" borderId="1" xfId="0" applyNumberFormat="1" applyFont="1" applyBorder="1" applyAlignment="1">
      <alignment horizontal="right" wrapText="1"/>
    </xf>
    <xf numFmtId="3" fontId="20" fillId="0" borderId="1" xfId="0" applyNumberFormat="1" applyFont="1" applyBorder="1" applyAlignment="1">
      <alignment horizontal="right"/>
    </xf>
    <xf numFmtId="172" fontId="0" fillId="0" borderId="1" xfId="0" applyNumberFormat="1" applyFont="1" applyBorder="1" applyAlignment="1">
      <alignment/>
    </xf>
    <xf numFmtId="1" fontId="0" fillId="0" borderId="1" xfId="0" applyNumberFormat="1" applyFont="1" applyBorder="1" applyAlignment="1">
      <alignment horizontal="center" wrapText="1"/>
    </xf>
    <xf numFmtId="1" fontId="0" fillId="0" borderId="1" xfId="0" applyNumberFormat="1" applyFont="1" applyBorder="1" applyAlignment="1">
      <alignment horizontal="right" wrapText="1"/>
    </xf>
    <xf numFmtId="172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172" fontId="0" fillId="0" borderId="0" xfId="0" applyNumberFormat="1" applyFont="1" applyAlignment="1">
      <alignment horizontal="centerContinuous"/>
    </xf>
    <xf numFmtId="172" fontId="11" fillId="0" borderId="0" xfId="0" applyNumberFormat="1" applyFont="1" applyAlignment="1">
      <alignment horizontal="center"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7" fillId="0" borderId="0" xfId="0" applyFont="1" applyAlignment="1">
      <alignment/>
    </xf>
    <xf numFmtId="178" fontId="2" fillId="0" borderId="0" xfId="0" applyNumberFormat="1" applyFont="1" applyAlignment="1">
      <alignment horizontal="center"/>
    </xf>
    <xf numFmtId="0" fontId="7" fillId="0" borderId="1" xfId="0" applyFont="1" applyBorder="1" applyAlignment="1">
      <alignment/>
    </xf>
    <xf numFmtId="0" fontId="2" fillId="0" borderId="1" xfId="0" applyFont="1" applyBorder="1" applyAlignment="1">
      <alignment/>
    </xf>
    <xf numFmtId="3" fontId="7" fillId="0" borderId="1" xfId="0" applyNumberFormat="1" applyFont="1" applyBorder="1" applyAlignment="1">
      <alignment/>
    </xf>
    <xf numFmtId="178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/>
    </xf>
    <xf numFmtId="49" fontId="2" fillId="0" borderId="0" xfId="0" applyNumberFormat="1" applyFont="1" applyAlignment="1">
      <alignment horizontal="center"/>
    </xf>
    <xf numFmtId="49" fontId="2" fillId="0" borderId="1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/>
    </xf>
    <xf numFmtId="178" fontId="2" fillId="0" borderId="1" xfId="0" applyNumberFormat="1" applyFont="1" applyBorder="1" applyAlignment="1">
      <alignment horizontal="center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0" fontId="1" fillId="0" borderId="0" xfId="0" applyFont="1" applyAlignment="1">
      <alignment/>
    </xf>
    <xf numFmtId="0" fontId="3" fillId="0" borderId="0" xfId="0" applyFont="1" applyAlignment="1">
      <alignment horizontal="centerContinuous"/>
    </xf>
    <xf numFmtId="0" fontId="15" fillId="0" borderId="0" xfId="0" applyFont="1" applyAlignment="1">
      <alignment horizontal="centerContinuous"/>
    </xf>
    <xf numFmtId="0" fontId="6" fillId="0" borderId="3" xfId="0" applyFont="1" applyBorder="1" applyAlignment="1">
      <alignment horizontal="center" wrapText="1"/>
    </xf>
    <xf numFmtId="172" fontId="6" fillId="0" borderId="4" xfId="0" applyNumberFormat="1" applyFont="1" applyBorder="1" applyAlignment="1">
      <alignment horizontal="right"/>
    </xf>
    <xf numFmtId="181" fontId="6" fillId="0" borderId="4" xfId="19" applyNumberFormat="1" applyFont="1" applyBorder="1" applyAlignment="1">
      <alignment/>
    </xf>
    <xf numFmtId="172" fontId="7" fillId="0" borderId="4" xfId="0" applyNumberFormat="1" applyFont="1" applyBorder="1" applyAlignment="1">
      <alignment horizontal="right"/>
    </xf>
    <xf numFmtId="172" fontId="6" fillId="0" borderId="1" xfId="0" applyNumberFormat="1" applyFont="1" applyBorder="1" applyAlignment="1">
      <alignment/>
    </xf>
    <xf numFmtId="178" fontId="6" fillId="0" borderId="1" xfId="19" applyNumberFormat="1" applyFont="1" applyBorder="1" applyAlignment="1">
      <alignment/>
    </xf>
    <xf numFmtId="0" fontId="6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181" fontId="7" fillId="0" borderId="4" xfId="19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172" fontId="10" fillId="0" borderId="1" xfId="0" applyNumberFormat="1" applyFont="1" applyBorder="1" applyAlignment="1">
      <alignment horizontal="right"/>
    </xf>
    <xf numFmtId="0" fontId="7" fillId="0" borderId="1" xfId="0" applyFont="1" applyBorder="1" applyAlignment="1">
      <alignment horizontal="left"/>
    </xf>
    <xf numFmtId="172" fontId="7" fillId="0" borderId="1" xfId="0" applyNumberFormat="1" applyFont="1" applyBorder="1" applyAlignment="1">
      <alignment/>
    </xf>
    <xf numFmtId="178" fontId="7" fillId="0" borderId="1" xfId="19" applyNumberFormat="1" applyFont="1" applyBorder="1" applyAlignment="1">
      <alignment/>
    </xf>
    <xf numFmtId="0" fontId="2" fillId="0" borderId="1" xfId="0" applyFont="1" applyBorder="1" applyAlignment="1">
      <alignment horizontal="left"/>
    </xf>
    <xf numFmtId="172" fontId="2" fillId="0" borderId="1" xfId="0" applyNumberFormat="1" applyFont="1" applyBorder="1" applyAlignment="1">
      <alignment/>
    </xf>
    <xf numFmtId="181" fontId="10" fillId="0" borderId="4" xfId="19" applyNumberFormat="1" applyFont="1" applyBorder="1" applyAlignment="1">
      <alignment/>
    </xf>
    <xf numFmtId="172" fontId="10" fillId="0" borderId="0" xfId="0" applyNumberFormat="1" applyFont="1" applyAlignment="1">
      <alignment/>
    </xf>
    <xf numFmtId="0" fontId="2" fillId="0" borderId="1" xfId="0" applyFont="1" applyBorder="1" applyAlignment="1">
      <alignment horizontal="left" wrapText="1"/>
    </xf>
    <xf numFmtId="0" fontId="10" fillId="0" borderId="1" xfId="0" applyFont="1" applyBorder="1" applyAlignment="1">
      <alignment horizontal="left" wrapText="1"/>
    </xf>
    <xf numFmtId="172" fontId="2" fillId="0" borderId="0" xfId="0" applyNumberFormat="1" applyFont="1" applyBorder="1" applyAlignment="1">
      <alignment/>
    </xf>
    <xf numFmtId="172" fontId="6" fillId="0" borderId="3" xfId="0" applyNumberFormat="1" applyFont="1" applyBorder="1" applyAlignment="1">
      <alignment/>
    </xf>
    <xf numFmtId="172" fontId="6" fillId="0" borderId="4" xfId="0" applyNumberFormat="1" applyFont="1" applyBorder="1" applyAlignment="1">
      <alignment/>
    </xf>
    <xf numFmtId="172" fontId="6" fillId="0" borderId="4" xfId="0" applyNumberFormat="1" applyFont="1" applyBorder="1" applyAlignment="1">
      <alignment horizontal="center"/>
    </xf>
    <xf numFmtId="172" fontId="2" fillId="0" borderId="4" xfId="0" applyNumberFormat="1" applyFont="1" applyBorder="1" applyAlignment="1">
      <alignment horizontal="center"/>
    </xf>
    <xf numFmtId="0" fontId="21" fillId="0" borderId="0" xfId="0" applyFont="1" applyAlignment="1">
      <alignment/>
    </xf>
    <xf numFmtId="0" fontId="3" fillId="0" borderId="0" xfId="0" applyFont="1" applyAlignment="1">
      <alignment horizontal="centerContinuous" wrapText="1"/>
    </xf>
    <xf numFmtId="0" fontId="9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1" fillId="0" borderId="1" xfId="0" applyFont="1" applyBorder="1" applyAlignment="1">
      <alignment horizontal="left" wrapText="1"/>
    </xf>
    <xf numFmtId="0" fontId="11" fillId="0" borderId="1" xfId="0" applyFont="1" applyBorder="1" applyAlignment="1">
      <alignment horizontal="right" wrapText="1"/>
    </xf>
    <xf numFmtId="0" fontId="6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 wrapText="1"/>
    </xf>
    <xf numFmtId="172" fontId="12" fillId="0" borderId="1" xfId="0" applyNumberFormat="1" applyFont="1" applyFill="1" applyBorder="1" applyAlignment="1">
      <alignment/>
    </xf>
    <xf numFmtId="0" fontId="11" fillId="0" borderId="1" xfId="0" applyFont="1" applyFill="1" applyBorder="1" applyAlignment="1">
      <alignment horizontal="left" wrapText="1"/>
    </xf>
    <xf numFmtId="172" fontId="12" fillId="0" borderId="1" xfId="0" applyNumberFormat="1" applyFont="1" applyFill="1" applyBorder="1" applyAlignment="1">
      <alignment horizontal="right"/>
    </xf>
    <xf numFmtId="0" fontId="11" fillId="0" borderId="1" xfId="0" applyFont="1" applyFill="1" applyBorder="1" applyAlignment="1">
      <alignment horizontal="right" wrapText="1"/>
    </xf>
    <xf numFmtId="0" fontId="21" fillId="0" borderId="5" xfId="0" applyFont="1" applyBorder="1" applyAlignment="1">
      <alignment/>
    </xf>
    <xf numFmtId="172" fontId="1" fillId="0" borderId="5" xfId="0" applyNumberFormat="1" applyFont="1" applyBorder="1" applyAlignment="1">
      <alignment/>
    </xf>
    <xf numFmtId="178" fontId="1" fillId="0" borderId="5" xfId="0" applyNumberFormat="1" applyFont="1" applyBorder="1" applyAlignment="1">
      <alignment/>
    </xf>
    <xf numFmtId="172" fontId="1" fillId="0" borderId="0" xfId="0" applyNumberFormat="1" applyFont="1" applyBorder="1" applyAlignment="1">
      <alignment/>
    </xf>
    <xf numFmtId="178" fontId="1" fillId="0" borderId="0" xfId="0" applyNumberFormat="1" applyFont="1" applyBorder="1" applyAlignment="1">
      <alignment/>
    </xf>
    <xf numFmtId="0" fontId="2" fillId="0" borderId="0" xfId="0" applyFont="1" applyAlignment="1">
      <alignment wrapText="1"/>
    </xf>
    <xf numFmtId="49" fontId="1" fillId="0" borderId="0" xfId="0" applyNumberFormat="1" applyFont="1" applyBorder="1" applyAlignment="1">
      <alignment horizontal="center"/>
    </xf>
    <xf numFmtId="0" fontId="21" fillId="0" borderId="0" xfId="0" applyFont="1" applyAlignment="1">
      <alignment wrapText="1"/>
    </xf>
    <xf numFmtId="49" fontId="0" fillId="0" borderId="0" xfId="0" applyNumberFormat="1" applyFont="1" applyAlignment="1">
      <alignment vertical="top" wrapText="1"/>
    </xf>
    <xf numFmtId="49" fontId="0" fillId="0" borderId="0" xfId="0" applyNumberFormat="1" applyFont="1" applyAlignment="1">
      <alignment horizontal="centerContinuous" vertical="top" wrapText="1"/>
    </xf>
    <xf numFmtId="49" fontId="6" fillId="0" borderId="0" xfId="0" applyNumberFormat="1" applyFont="1" applyAlignment="1">
      <alignment horizontal="centerContinuous" vertical="top" wrapText="1"/>
    </xf>
    <xf numFmtId="49" fontId="15" fillId="0" borderId="0" xfId="0" applyNumberFormat="1" applyFont="1" applyAlignment="1">
      <alignment horizontal="centerContinuous" vertical="top" wrapText="1"/>
    </xf>
    <xf numFmtId="0" fontId="15" fillId="0" borderId="0" xfId="0" applyFont="1" applyAlignment="1">
      <alignment/>
    </xf>
    <xf numFmtId="0" fontId="15" fillId="0" borderId="0" xfId="0" applyFont="1" applyAlignment="1" applyProtection="1">
      <alignment horizontal="centerContinuous"/>
      <protection locked="0"/>
    </xf>
    <xf numFmtId="49" fontId="0" fillId="0" borderId="0" xfId="0" applyNumberFormat="1" applyFont="1" applyBorder="1" applyAlignment="1">
      <alignment vertical="top" wrapText="1"/>
    </xf>
    <xf numFmtId="49" fontId="2" fillId="0" borderId="0" xfId="0" applyNumberFormat="1" applyFont="1" applyBorder="1" applyAlignment="1">
      <alignment vertical="top" wrapText="1"/>
    </xf>
    <xf numFmtId="0" fontId="2" fillId="0" borderId="0" xfId="0" applyFon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49" fontId="0" fillId="0" borderId="1" xfId="0" applyNumberFormat="1" applyFont="1" applyFill="1" applyBorder="1" applyAlignment="1">
      <alignment horizontal="centerContinuous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3" fontId="6" fillId="0" borderId="1" xfId="0" applyNumberFormat="1" applyFont="1" applyBorder="1" applyAlignment="1">
      <alignment horizontal="center"/>
    </xf>
    <xf numFmtId="49" fontId="6" fillId="0" borderId="1" xfId="0" applyNumberFormat="1" applyFont="1" applyFill="1" applyBorder="1" applyAlignment="1">
      <alignment horizontal="center" vertical="top" wrapText="1"/>
    </xf>
    <xf numFmtId="3" fontId="6" fillId="0" borderId="1" xfId="0" applyNumberFormat="1" applyFont="1" applyBorder="1" applyAlignment="1">
      <alignment horizontal="left"/>
    </xf>
    <xf numFmtId="3" fontId="11" fillId="0" borderId="1" xfId="0" applyNumberFormat="1" applyFont="1" applyBorder="1" applyAlignment="1">
      <alignment wrapText="1"/>
    </xf>
    <xf numFmtId="3" fontId="0" fillId="0" borderId="1" xfId="0" applyNumberFormat="1" applyFont="1" applyBorder="1" applyAlignment="1">
      <alignment wrapText="1"/>
    </xf>
    <xf numFmtId="49" fontId="0" fillId="0" borderId="1" xfId="0" applyNumberFormat="1" applyFont="1" applyFill="1" applyBorder="1" applyAlignment="1">
      <alignment vertical="top" wrapText="1"/>
    </xf>
    <xf numFmtId="49" fontId="6" fillId="0" borderId="1" xfId="0" applyNumberFormat="1" applyFont="1" applyFill="1" applyBorder="1" applyAlignment="1">
      <alignment vertical="top" wrapText="1"/>
    </xf>
    <xf numFmtId="3" fontId="2" fillId="0" borderId="1" xfId="0" applyNumberFormat="1" applyFont="1" applyBorder="1" applyAlignment="1">
      <alignment wrapText="1"/>
    </xf>
    <xf numFmtId="49" fontId="6" fillId="0" borderId="1" xfId="0" applyNumberFormat="1" applyFont="1" applyFill="1" applyBorder="1" applyAlignment="1">
      <alignment horizontal="center" vertical="justify" wrapText="1"/>
    </xf>
    <xf numFmtId="3" fontId="1" fillId="0" borderId="3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3" fontId="1" fillId="0" borderId="0" xfId="0" applyNumberFormat="1" applyFont="1" applyBorder="1" applyAlignment="1">
      <alignment horizontal="center"/>
    </xf>
    <xf numFmtId="0" fontId="21" fillId="0" borderId="0" xfId="0" applyFont="1" applyAlignment="1">
      <alignment horizontal="left"/>
    </xf>
    <xf numFmtId="0" fontId="21" fillId="0" borderId="0" xfId="0" applyFont="1" applyBorder="1" applyAlignment="1">
      <alignment horizontal="center"/>
    </xf>
    <xf numFmtId="49" fontId="0" fillId="0" borderId="0" xfId="0" applyNumberFormat="1" applyFont="1" applyAlignment="1">
      <alignment horizontal="left" vertical="top" wrapText="1"/>
    </xf>
    <xf numFmtId="0" fontId="21" fillId="0" borderId="0" xfId="0" applyFont="1" applyAlignment="1">
      <alignment/>
    </xf>
    <xf numFmtId="49" fontId="0" fillId="0" borderId="0" xfId="0" applyNumberFormat="1" applyFont="1" applyAlignment="1">
      <alignment horizontal="center" vertical="top" wrapText="1"/>
    </xf>
    <xf numFmtId="49" fontId="2" fillId="0" borderId="0" xfId="0" applyNumberFormat="1" applyFont="1" applyAlignment="1">
      <alignment horizontal="centerContinuous" vertical="top" wrapText="1"/>
    </xf>
    <xf numFmtId="49" fontId="6" fillId="0" borderId="0" xfId="0" applyNumberFormat="1" applyFont="1" applyAlignment="1">
      <alignment horizontal="center" vertical="top" wrapText="1"/>
    </xf>
    <xf numFmtId="49" fontId="2" fillId="0" borderId="0" xfId="0" applyNumberFormat="1" applyFont="1" applyAlignment="1">
      <alignment horizontal="center" vertical="top" wrapText="1"/>
    </xf>
    <xf numFmtId="49" fontId="0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left" vertical="top" wrapText="1"/>
    </xf>
    <xf numFmtId="49" fontId="0" fillId="0" borderId="1" xfId="0" applyNumberFormat="1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right"/>
    </xf>
    <xf numFmtId="4" fontId="1" fillId="0" borderId="1" xfId="0" applyNumberFormat="1" applyFont="1" applyBorder="1" applyAlignment="1">
      <alignment/>
    </xf>
    <xf numFmtId="49" fontId="0" fillId="0" borderId="0" xfId="0" applyNumberFormat="1" applyFont="1" applyFill="1" applyBorder="1" applyAlignment="1">
      <alignment horizontal="left" vertical="top" wrapText="1"/>
    </xf>
    <xf numFmtId="49" fontId="1" fillId="0" borderId="0" xfId="0" applyNumberFormat="1" applyFont="1" applyAlignment="1">
      <alignment horizontal="center" vertical="top" wrapText="1"/>
    </xf>
    <xf numFmtId="49" fontId="0" fillId="0" borderId="0" xfId="0" applyNumberFormat="1" applyFont="1" applyFill="1" applyBorder="1" applyAlignment="1">
      <alignment vertical="top" wrapText="1"/>
    </xf>
    <xf numFmtId="49" fontId="1" fillId="0" borderId="0" xfId="0" applyNumberFormat="1" applyFont="1" applyFill="1" applyBorder="1" applyAlignment="1">
      <alignment horizontal="center" vertical="top" wrapText="1"/>
    </xf>
    <xf numFmtId="49" fontId="1" fillId="0" borderId="0" xfId="0" applyNumberFormat="1" applyFont="1" applyAlignment="1">
      <alignment vertical="top" wrapText="1"/>
    </xf>
    <xf numFmtId="49" fontId="21" fillId="0" borderId="0" xfId="0" applyNumberFormat="1" applyFont="1" applyAlignment="1">
      <alignment vertical="top" wrapText="1"/>
    </xf>
    <xf numFmtId="49" fontId="21" fillId="0" borderId="0" xfId="0" applyNumberFormat="1" applyFont="1" applyAlignment="1">
      <alignment horizontal="center" vertical="top" wrapText="1"/>
    </xf>
    <xf numFmtId="49" fontId="0" fillId="0" borderId="0" xfId="0" applyNumberFormat="1" applyFont="1" applyAlignment="1">
      <alignment horizontal="right" vertical="top" wrapText="1"/>
    </xf>
    <xf numFmtId="49" fontId="11" fillId="0" borderId="1" xfId="0" applyNumberFormat="1" applyFont="1" applyFill="1" applyBorder="1" applyAlignment="1">
      <alignment horizontal="left" vertical="top" wrapText="1"/>
    </xf>
    <xf numFmtId="0" fontId="21" fillId="0" borderId="0" xfId="0" applyFont="1" applyAlignment="1">
      <alignment horizontal="centerContinuous"/>
    </xf>
    <xf numFmtId="49" fontId="1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49" fontId="10" fillId="0" borderId="1" xfId="0" applyNumberFormat="1" applyFont="1" applyFill="1" applyBorder="1" applyAlignment="1">
      <alignment horizontal="center" vertical="top" wrapText="1"/>
    </xf>
    <xf numFmtId="178" fontId="10" fillId="0" borderId="1" xfId="0" applyNumberFormat="1" applyFont="1" applyBorder="1" applyAlignment="1">
      <alignment horizontal="right"/>
    </xf>
    <xf numFmtId="49" fontId="1" fillId="0" borderId="1" xfId="0" applyNumberFormat="1" applyFont="1" applyFill="1" applyBorder="1" applyAlignment="1">
      <alignment horizontal="left" wrapText="1"/>
    </xf>
    <xf numFmtId="178" fontId="1" fillId="0" borderId="1" xfId="0" applyNumberFormat="1" applyFont="1" applyBorder="1" applyAlignment="1">
      <alignment horizontal="right"/>
    </xf>
    <xf numFmtId="49" fontId="1" fillId="0" borderId="1" xfId="0" applyNumberFormat="1" applyFont="1" applyFill="1" applyBorder="1" applyAlignment="1">
      <alignment horizontal="left" vertical="top" wrapText="1"/>
    </xf>
    <xf numFmtId="49" fontId="10" fillId="0" borderId="1" xfId="0" applyNumberFormat="1" applyFont="1" applyFill="1" applyBorder="1" applyAlignment="1">
      <alignment horizontal="left" wrapText="1"/>
    </xf>
    <xf numFmtId="49" fontId="0" fillId="0" borderId="1" xfId="0" applyNumberFormat="1" applyFont="1" applyFill="1" applyBorder="1" applyAlignment="1">
      <alignment horizontal="left" wrapText="1"/>
    </xf>
    <xf numFmtId="49" fontId="0" fillId="0" borderId="5" xfId="0" applyNumberFormat="1" applyFont="1" applyFill="1" applyBorder="1" applyAlignment="1">
      <alignment horizontal="left" vertical="top" wrapText="1"/>
    </xf>
    <xf numFmtId="3" fontId="1" fillId="0" borderId="5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22" fillId="0" borderId="0" xfId="0" applyFont="1" applyAlignment="1">
      <alignment horizontal="centerContinuous"/>
    </xf>
    <xf numFmtId="0" fontId="7" fillId="0" borderId="0" xfId="0" applyFont="1" applyAlignment="1">
      <alignment horizontal="centerContinuous" wrapText="1"/>
    </xf>
    <xf numFmtId="0" fontId="2" fillId="0" borderId="1" xfId="0" applyFont="1" applyBorder="1" applyAlignment="1">
      <alignment horizontal="centerContinuous"/>
    </xf>
    <xf numFmtId="0" fontId="2" fillId="0" borderId="1" xfId="0" applyFont="1" applyBorder="1" applyAlignment="1">
      <alignment horizontal="centerContinuous" vertical="center"/>
    </xf>
    <xf numFmtId="0" fontId="2" fillId="0" borderId="1" xfId="0" applyFont="1" applyBorder="1" applyAlignment="1">
      <alignment horizontal="centerContinuous" vertical="center" wrapText="1"/>
    </xf>
    <xf numFmtId="0" fontId="0" fillId="0" borderId="1" xfId="0" applyFont="1" applyBorder="1" applyAlignment="1">
      <alignment horizontal="centerContinuous"/>
    </xf>
    <xf numFmtId="0" fontId="2" fillId="0" borderId="1" xfId="0" applyFont="1" applyBorder="1" applyAlignment="1">
      <alignment/>
    </xf>
    <xf numFmtId="49" fontId="23" fillId="0" borderId="1" xfId="0" applyNumberFormat="1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49" fontId="23" fillId="0" borderId="0" xfId="0" applyNumberFormat="1" applyFont="1" applyAlignment="1">
      <alignment/>
    </xf>
    <xf numFmtId="0" fontId="2" fillId="0" borderId="1" xfId="0" applyFont="1" applyBorder="1" applyAlignment="1">
      <alignment horizontal="center" wrapText="1"/>
    </xf>
    <xf numFmtId="3" fontId="24" fillId="0" borderId="1" xfId="0" applyNumberFormat="1" applyFont="1" applyBorder="1" applyAlignment="1">
      <alignment/>
    </xf>
    <xf numFmtId="3" fontId="2" fillId="0" borderId="1" xfId="0" applyNumberFormat="1" applyFont="1" applyBorder="1" applyAlignment="1">
      <alignment/>
    </xf>
    <xf numFmtId="3" fontId="23" fillId="0" borderId="1" xfId="0" applyNumberFormat="1" applyFont="1" applyBorder="1" applyAlignment="1">
      <alignment/>
    </xf>
    <xf numFmtId="3" fontId="2" fillId="0" borderId="1" xfId="0" applyNumberFormat="1" applyFont="1" applyBorder="1" applyAlignment="1" applyProtection="1">
      <alignment/>
      <protection locked="0"/>
    </xf>
    <xf numFmtId="3" fontId="7" fillId="0" borderId="1" xfId="0" applyNumberFormat="1" applyFont="1" applyBorder="1" applyAlignment="1" applyProtection="1">
      <alignment/>
      <protection locked="0"/>
    </xf>
    <xf numFmtId="3" fontId="2" fillId="0" borderId="1" xfId="0" applyNumberFormat="1" applyFont="1" applyBorder="1" applyAlignment="1">
      <alignment horizontal="right"/>
    </xf>
    <xf numFmtId="0" fontId="24" fillId="0" borderId="1" xfId="0" applyFont="1" applyBorder="1" applyAlignment="1">
      <alignment horizontal="right" wrapText="1"/>
    </xf>
    <xf numFmtId="0" fontId="2" fillId="0" borderId="0" xfId="0" applyFont="1" applyBorder="1" applyAlignment="1">
      <alignment/>
    </xf>
    <xf numFmtId="49" fontId="5" fillId="0" borderId="0" xfId="0" applyNumberFormat="1" applyFont="1" applyBorder="1" applyAlignment="1">
      <alignment/>
    </xf>
    <xf numFmtId="0" fontId="6" fillId="0" borderId="0" xfId="0" applyFont="1" applyAlignment="1">
      <alignment horizontal="centerContinuous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7" fillId="0" borderId="1" xfId="0" applyFont="1" applyBorder="1" applyAlignment="1">
      <alignment horizontal="right" wrapText="1"/>
    </xf>
    <xf numFmtId="0" fontId="2" fillId="0" borderId="4" xfId="0" applyFont="1" applyBorder="1" applyAlignment="1">
      <alignment wrapText="1"/>
    </xf>
    <xf numFmtId="0" fontId="7" fillId="0" borderId="0" xfId="0" applyFont="1" applyBorder="1" applyAlignment="1">
      <alignment horizontal="right" wrapText="1"/>
    </xf>
    <xf numFmtId="177" fontId="2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left"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centerContinuous" wrapText="1"/>
    </xf>
    <xf numFmtId="0" fontId="0" fillId="0" borderId="1" xfId="0" applyFont="1" applyBorder="1" applyAlignment="1">
      <alignment horizontal="centerContinuous" vertical="center"/>
    </xf>
    <xf numFmtId="0" fontId="0" fillId="0" borderId="1" xfId="0" applyFont="1" applyBorder="1" applyAlignment="1">
      <alignment horizontal="centerContinuous" vertical="center" wrapText="1"/>
    </xf>
    <xf numFmtId="0" fontId="22" fillId="0" borderId="0" xfId="0" applyFont="1" applyAlignment="1">
      <alignment/>
    </xf>
    <xf numFmtId="0" fontId="2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21" fillId="0" borderId="0" xfId="0" applyFont="1" applyBorder="1" applyAlignment="1">
      <alignment wrapText="1"/>
    </xf>
    <xf numFmtId="176" fontId="10" fillId="0" borderId="1" xfId="19" applyNumberFormat="1" applyFont="1" applyBorder="1" applyAlignment="1">
      <alignment horizontal="right"/>
    </xf>
    <xf numFmtId="176" fontId="1" fillId="0" borderId="1" xfId="19" applyNumberFormat="1" applyFont="1" applyBorder="1" applyAlignment="1">
      <alignment horizontal="right"/>
    </xf>
    <xf numFmtId="9" fontId="6" fillId="0" borderId="1" xfId="19" applyNumberFormat="1" applyFont="1" applyBorder="1" applyAlignment="1">
      <alignment horizontal="center"/>
    </xf>
    <xf numFmtId="172" fontId="6" fillId="0" borderId="1" xfId="0" applyNumberFormat="1" applyFont="1" applyBorder="1" applyAlignment="1">
      <alignment horizontal="center"/>
    </xf>
    <xf numFmtId="3" fontId="6" fillId="0" borderId="1" xfId="0" applyNumberFormat="1" applyFont="1" applyBorder="1" applyAlignment="1">
      <alignment horizontal="center" wrapText="1"/>
    </xf>
    <xf numFmtId="49" fontId="1" fillId="0" borderId="0" xfId="0" applyNumberFormat="1" applyFont="1" applyBorder="1" applyAlignment="1">
      <alignment vertical="top" wrapText="1"/>
    </xf>
    <xf numFmtId="0" fontId="1" fillId="0" borderId="0" xfId="0" applyFont="1" applyBorder="1" applyAlignment="1">
      <alignment/>
    </xf>
    <xf numFmtId="0" fontId="0" fillId="0" borderId="7" xfId="0" applyFont="1" applyBorder="1" applyAlignment="1">
      <alignment wrapText="1"/>
    </xf>
    <xf numFmtId="3" fontId="1" fillId="0" borderId="3" xfId="0" applyNumberFormat="1" applyFont="1" applyBorder="1" applyAlignment="1">
      <alignment horizontal="right"/>
    </xf>
    <xf numFmtId="0" fontId="0" fillId="0" borderId="3" xfId="0" applyFont="1" applyBorder="1" applyAlignment="1">
      <alignment wrapText="1"/>
    </xf>
    <xf numFmtId="3" fontId="1" fillId="0" borderId="1" xfId="0" applyNumberFormat="1" applyFont="1" applyBorder="1" applyAlignment="1">
      <alignment horizontal="right"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  <xf numFmtId="0" fontId="21" fillId="0" borderId="1" xfId="0" applyFont="1" applyBorder="1" applyAlignment="1">
      <alignment horizontal="centerContinuous"/>
    </xf>
    <xf numFmtId="3" fontId="1" fillId="0" borderId="1" xfId="0" applyNumberFormat="1" applyFont="1" applyBorder="1" applyAlignment="1">
      <alignment horizontal="right"/>
    </xf>
    <xf numFmtId="4" fontId="10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3" fontId="10" fillId="0" borderId="0" xfId="0" applyNumberFormat="1" applyFont="1" applyBorder="1" applyAlignment="1">
      <alignment horizontal="right"/>
    </xf>
    <xf numFmtId="4" fontId="6" fillId="0" borderId="0" xfId="0" applyNumberFormat="1" applyFont="1" applyBorder="1" applyAlignment="1">
      <alignment/>
    </xf>
    <xf numFmtId="173" fontId="6" fillId="0" borderId="0" xfId="0" applyNumberFormat="1" applyFont="1" applyBorder="1" applyAlignment="1">
      <alignment/>
    </xf>
    <xf numFmtId="174" fontId="6" fillId="0" borderId="0" xfId="0" applyNumberFormat="1" applyFont="1" applyBorder="1" applyAlignment="1">
      <alignment/>
    </xf>
    <xf numFmtId="172" fontId="6" fillId="0" borderId="0" xfId="0" applyNumberFormat="1" applyFont="1" applyBorder="1" applyAlignment="1">
      <alignment/>
    </xf>
    <xf numFmtId="174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  <xf numFmtId="4" fontId="10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21" fillId="0" borderId="0" xfId="0" applyFont="1" applyAlignment="1">
      <alignment horizontal="right"/>
    </xf>
    <xf numFmtId="0" fontId="15" fillId="0" borderId="8" xfId="0" applyFont="1" applyBorder="1" applyAlignment="1">
      <alignment vertical="center"/>
    </xf>
    <xf numFmtId="0" fontId="15" fillId="0" borderId="9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25" fillId="0" borderId="11" xfId="0" applyFont="1" applyBorder="1" applyAlignment="1">
      <alignment vertical="center"/>
    </xf>
    <xf numFmtId="0" fontId="25" fillId="0" borderId="12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4" fillId="0" borderId="13" xfId="0" applyFont="1" applyBorder="1" applyAlignment="1">
      <alignment/>
    </xf>
    <xf numFmtId="0" fontId="4" fillId="0" borderId="12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0" xfId="0" applyFont="1" applyAlignment="1">
      <alignment horizontal="centerContinuous" vertical="top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/>
    </xf>
    <xf numFmtId="0" fontId="0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5" fillId="0" borderId="11" xfId="0" applyFont="1" applyBorder="1" applyAlignment="1">
      <alignment horizontal="right"/>
    </xf>
    <xf numFmtId="0" fontId="5" fillId="0" borderId="0" xfId="0" applyFont="1" applyAlignment="1">
      <alignment vertical="top"/>
    </xf>
    <xf numFmtId="0" fontId="5" fillId="0" borderId="14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12" xfId="0" applyFont="1" applyBorder="1" applyAlignment="1">
      <alignment horizontal="centerContinuous"/>
    </xf>
    <xf numFmtId="0" fontId="0" fillId="0" borderId="12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20" xfId="0" applyFont="1" applyBorder="1" applyAlignment="1">
      <alignment horizontal="center" vertical="center" wrapText="1"/>
    </xf>
    <xf numFmtId="178" fontId="6" fillId="0" borderId="1" xfId="0" applyNumberFormat="1" applyFont="1" applyBorder="1" applyAlignment="1">
      <alignment horizontal="right"/>
    </xf>
    <xf numFmtId="0" fontId="10" fillId="0" borderId="3" xfId="0" applyFont="1" applyBorder="1" applyAlignment="1">
      <alignment horizontal="left"/>
    </xf>
    <xf numFmtId="0" fontId="10" fillId="0" borderId="0" xfId="0" applyFont="1" applyAlignment="1">
      <alignment/>
    </xf>
    <xf numFmtId="0" fontId="10" fillId="0" borderId="4" xfId="0" applyFont="1" applyBorder="1" applyAlignment="1">
      <alignment horizontal="center"/>
    </xf>
    <xf numFmtId="178" fontId="7" fillId="0" borderId="1" xfId="0" applyNumberFormat="1" applyFont="1" applyBorder="1" applyAlignment="1">
      <alignment horizontal="right"/>
    </xf>
    <xf numFmtId="178" fontId="2" fillId="0" borderId="1" xfId="0" applyNumberFormat="1" applyFont="1" applyBorder="1" applyAlignment="1">
      <alignment horizontal="right"/>
    </xf>
    <xf numFmtId="0" fontId="2" fillId="0" borderId="3" xfId="0" applyFont="1" applyBorder="1" applyAlignment="1">
      <alignment horizontal="left"/>
    </xf>
    <xf numFmtId="178" fontId="2" fillId="0" borderId="2" xfId="0" applyNumberFormat="1" applyFont="1" applyBorder="1" applyAlignment="1">
      <alignment horizontal="right"/>
    </xf>
    <xf numFmtId="172" fontId="2" fillId="0" borderId="20" xfId="0" applyNumberFormat="1" applyFont="1" applyBorder="1" applyAlignment="1">
      <alignment horizontal="right"/>
    </xf>
    <xf numFmtId="0" fontId="10" fillId="0" borderId="4" xfId="0" applyFont="1" applyBorder="1" applyAlignment="1">
      <alignment/>
    </xf>
    <xf numFmtId="10" fontId="1" fillId="0" borderId="0" xfId="0" applyNumberFormat="1" applyFont="1" applyBorder="1" applyAlignment="1">
      <alignment/>
    </xf>
    <xf numFmtId="172" fontId="1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172" fontId="2" fillId="0" borderId="0" xfId="0" applyNumberFormat="1" applyFont="1" applyAlignment="1">
      <alignment/>
    </xf>
    <xf numFmtId="10" fontId="2" fillId="0" borderId="0" xfId="0" applyNumberFormat="1" applyFont="1" applyBorder="1" applyAlignment="1">
      <alignment/>
    </xf>
    <xf numFmtId="172" fontId="8" fillId="0" borderId="0" xfId="0" applyNumberFormat="1" applyFont="1" applyAlignment="1">
      <alignment/>
    </xf>
    <xf numFmtId="0" fontId="10" fillId="0" borderId="4" xfId="0" applyFont="1" applyBorder="1" applyAlignment="1">
      <alignment horizontal="left"/>
    </xf>
    <xf numFmtId="3" fontId="1" fillId="0" borderId="0" xfId="0" applyNumberFormat="1" applyFont="1" applyAlignment="1">
      <alignment horizontal="centerContinuous"/>
    </xf>
    <xf numFmtId="172" fontId="1" fillId="0" borderId="0" xfId="0" applyNumberFormat="1" applyFont="1" applyAlignment="1">
      <alignment horizontal="centerContinuous"/>
    </xf>
    <xf numFmtId="10" fontId="1" fillId="0" borderId="0" xfId="0" applyNumberFormat="1" applyFont="1" applyBorder="1" applyAlignment="1">
      <alignment horizontal="centerContinuous"/>
    </xf>
    <xf numFmtId="172" fontId="12" fillId="0" borderId="0" xfId="0" applyNumberFormat="1" applyFont="1" applyAlignment="1">
      <alignment horizontal="centerContinuous"/>
    </xf>
    <xf numFmtId="3" fontId="3" fillId="0" borderId="1" xfId="0" applyNumberFormat="1" applyFont="1" applyBorder="1" applyAlignment="1">
      <alignment horizontal="center" wrapText="1"/>
    </xf>
    <xf numFmtId="3" fontId="3" fillId="0" borderId="1" xfId="0" applyNumberFormat="1" applyFont="1" applyBorder="1" applyAlignment="1">
      <alignment horizontal="right" wrapText="1"/>
    </xf>
    <xf numFmtId="175" fontId="3" fillId="0" borderId="1" xfId="0" applyNumberFormat="1" applyFont="1" applyBorder="1" applyAlignment="1">
      <alignment horizontal="right" wrapText="1"/>
    </xf>
    <xf numFmtId="14" fontId="0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1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/>
    </xf>
    <xf numFmtId="3" fontId="4" fillId="0" borderId="4" xfId="0" applyNumberFormat="1" applyFont="1" applyBorder="1" applyAlignment="1">
      <alignment/>
    </xf>
    <xf numFmtId="0" fontId="4" fillId="0" borderId="0" xfId="0" applyFont="1" applyAlignment="1">
      <alignment/>
    </xf>
    <xf numFmtId="3" fontId="1" fillId="0" borderId="1" xfId="0" applyNumberFormat="1" applyFont="1" applyBorder="1" applyAlignment="1">
      <alignment horizontal="center"/>
    </xf>
    <xf numFmtId="178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175" fontId="1" fillId="0" borderId="1" xfId="0" applyNumberFormat="1" applyFont="1" applyBorder="1" applyAlignment="1">
      <alignment horizontal="center"/>
    </xf>
    <xf numFmtId="0" fontId="12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11" fillId="0" borderId="0" xfId="0" applyFont="1" applyBorder="1" applyAlignment="1">
      <alignment horizontal="left" wrapText="1"/>
    </xf>
    <xf numFmtId="0" fontId="0" fillId="0" borderId="7" xfId="0" applyFont="1" applyBorder="1" applyAlignment="1">
      <alignment horizontal="left"/>
    </xf>
    <xf numFmtId="0" fontId="0" fillId="0" borderId="5" xfId="0" applyFont="1" applyBorder="1" applyAlignment="1">
      <alignment horizontal="left"/>
    </xf>
    <xf numFmtId="0" fontId="0" fillId="0" borderId="5" xfId="0" applyFont="1" applyBorder="1" applyAlignment="1">
      <alignment horizontal="left" wrapText="1"/>
    </xf>
    <xf numFmtId="0" fontId="1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49" fontId="0" fillId="0" borderId="0" xfId="0" applyNumberFormat="1" applyFont="1" applyAlignment="1">
      <alignment horizontal="center" vertical="top" wrapText="1"/>
    </xf>
    <xf numFmtId="0" fontId="0" fillId="0" borderId="0" xfId="0" applyFont="1" applyAlignment="1">
      <alignment horizontal="left" wrapText="1"/>
    </xf>
    <xf numFmtId="0" fontId="0" fillId="0" borderId="0" xfId="0" applyFont="1" applyAlignment="1" applyProtection="1">
      <alignment horizontal="left" wrapText="1"/>
      <protection locked="0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" fillId="0" borderId="5" xfId="0" applyFont="1" applyBorder="1" applyAlignment="1">
      <alignment horizontal="left" wrapText="1"/>
    </xf>
    <xf numFmtId="0" fontId="0" fillId="0" borderId="5" xfId="0" applyFont="1" applyBorder="1" applyAlignment="1">
      <alignment horizontal="right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178" fontId="0" fillId="0" borderId="0" xfId="0" applyNumberFormat="1" applyFont="1" applyAlignment="1">
      <alignment horizontal="center"/>
    </xf>
    <xf numFmtId="2" fontId="15" fillId="0" borderId="0" xfId="0" applyNumberFormat="1" applyFont="1" applyAlignment="1">
      <alignment horizontal="center"/>
    </xf>
    <xf numFmtId="178" fontId="3" fillId="0" borderId="0" xfId="0" applyNumberFormat="1" applyFont="1" applyAlignment="1">
      <alignment horizontal="center"/>
    </xf>
    <xf numFmtId="2" fontId="15" fillId="0" borderId="0" xfId="0" applyNumberFormat="1" applyFont="1" applyAlignment="1" applyProtection="1">
      <alignment horizontal="center"/>
      <protection locked="0"/>
    </xf>
    <xf numFmtId="178" fontId="5" fillId="0" borderId="0" xfId="0" applyNumberFormat="1" applyFont="1" applyAlignment="1" applyProtection="1">
      <alignment horizontal="center"/>
      <protection locked="0"/>
    </xf>
    <xf numFmtId="2" fontId="11" fillId="0" borderId="0" xfId="0" applyNumberFormat="1" applyFont="1" applyBorder="1" applyAlignment="1">
      <alignment horizontal="left" wrapText="1"/>
    </xf>
    <xf numFmtId="178" fontId="11" fillId="0" borderId="0" xfId="0" applyNumberFormat="1" applyFont="1" applyBorder="1" applyAlignment="1">
      <alignment horizontal="left" wrapText="1"/>
    </xf>
    <xf numFmtId="3" fontId="15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right" wrapText="1"/>
    </xf>
    <xf numFmtId="0" fontId="5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left"/>
    </xf>
    <xf numFmtId="49" fontId="0" fillId="0" borderId="0" xfId="0" applyNumberFormat="1" applyFont="1" applyAlignment="1">
      <alignment horizontal="center" vertical="top" wrapText="1"/>
    </xf>
    <xf numFmtId="49" fontId="6" fillId="0" borderId="0" xfId="0" applyNumberFormat="1" applyFont="1" applyAlignment="1">
      <alignment horizontal="center" vertical="top" wrapText="1"/>
    </xf>
    <xf numFmtId="49" fontId="23" fillId="0" borderId="3" xfId="0" applyNumberFormat="1" applyFont="1" applyFill="1" applyBorder="1" applyAlignment="1">
      <alignment horizontal="center" vertical="center" wrapText="1"/>
    </xf>
    <xf numFmtId="0" fontId="23" fillId="0" borderId="4" xfId="0" applyFont="1" applyFill="1" applyBorder="1" applyAlignment="1">
      <alignment horizontal="center" vertical="center"/>
    </xf>
    <xf numFmtId="49" fontId="23" fillId="0" borderId="3" xfId="0" applyNumberFormat="1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49" fontId="5" fillId="0" borderId="0" xfId="0" applyNumberFormat="1" applyFont="1" applyAlignment="1" applyProtection="1">
      <alignment horizontal="center" vertical="top" wrapText="1"/>
      <protection locked="0"/>
    </xf>
    <xf numFmtId="0" fontId="23" fillId="0" borderId="22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49" fontId="23" fillId="0" borderId="22" xfId="0" applyNumberFormat="1" applyFont="1" applyBorder="1" applyAlignment="1">
      <alignment horizontal="center" vertical="center" wrapText="1"/>
    </xf>
    <xf numFmtId="49" fontId="23" fillId="0" borderId="4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 wrapText="1"/>
    </xf>
    <xf numFmtId="0" fontId="0" fillId="0" borderId="0" xfId="0" applyFont="1" applyAlignment="1" applyProtection="1">
      <alignment horizontal="left" wrapText="1"/>
      <protection locked="0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right"/>
    </xf>
    <xf numFmtId="0" fontId="2" fillId="0" borderId="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4" fontId="4" fillId="0" borderId="0" xfId="0" applyNumberFormat="1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externalLink" Target="externalLinks/externalLink1.xml" /><Relationship Id="rId35" Type="http://schemas.openxmlformats.org/officeDocument/2006/relationships/externalLink" Target="externalLinks/externalLink2.xml" /><Relationship Id="rId36" Type="http://schemas.openxmlformats.org/officeDocument/2006/relationships/externalLink" Target="externalLinks/externalLink3.xml" /><Relationship Id="rId37" Type="http://schemas.openxmlformats.org/officeDocument/2006/relationships/externalLink" Target="externalLinks/externalLink4.xml" /><Relationship Id="rId38" Type="http://schemas.openxmlformats.org/officeDocument/2006/relationships/externalLink" Target="externalLinks/externalLink5.xml" /><Relationship Id="rId39" Type="http://schemas.openxmlformats.org/officeDocument/2006/relationships/externalLink" Target="externalLinks/externalLink6.xml" /><Relationship Id="rId40" Type="http://schemas.openxmlformats.org/officeDocument/2006/relationships/externalLink" Target="externalLinks/externalLink7.xml" /><Relationship Id="rId41" Type="http://schemas.openxmlformats.org/officeDocument/2006/relationships/externalLink" Target="externalLinks/externalLink8.xml" /><Relationship Id="rId42" Type="http://schemas.openxmlformats.org/officeDocument/2006/relationships/externalLink" Target="externalLinks/externalLink9.xml" /><Relationship Id="rId43" Type="http://schemas.openxmlformats.org/officeDocument/2006/relationships/externalLink" Target="externalLinks/externalLink10.xml" /><Relationship Id="rId44" Type="http://schemas.openxmlformats.org/officeDocument/2006/relationships/externalLink" Target="externalLinks/externalLink11.xml" /><Relationship Id="rId45" Type="http://schemas.openxmlformats.org/officeDocument/2006/relationships/externalLink" Target="externalLinks/externalLink12.xml" /><Relationship Id="rId46" Type="http://schemas.openxmlformats.org/officeDocument/2006/relationships/externalLink" Target="externalLinks/externalLink13.xml" /><Relationship Id="rId47" Type="http://schemas.openxmlformats.org/officeDocument/2006/relationships/externalLink" Target="externalLinks/externalLink14.xml" /><Relationship Id="rId48" Type="http://schemas.openxmlformats.org/officeDocument/2006/relationships/externalLink" Target="externalLinks/externalLink15.xml" /><Relationship Id="rId49" Type="http://schemas.openxmlformats.org/officeDocument/2006/relationships/externalLink" Target="externalLinks/externalLink16.xml" /><Relationship Id="rId50" Type="http://schemas.openxmlformats.org/officeDocument/2006/relationships/externalLink" Target="externalLinks/externalLink17.xml" /><Relationship Id="rId5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Guntarsm.000\LOCALS~1\Temp\2.tabula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Guntarsm.000\LOCALS~1\Temp\11.tab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Guntarsm.000\LOCALS~1\Temp\12-arv.fin.pal.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Guntarsm.000\LOCALS~1\Temp\Pa&#353;vald&#299;bu%20m&#275;nesis\14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Guntarsm.000\LOCALS~1\Temp\Pa&#353;vald&#299;bu%20m&#275;nesis\15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Guntarsm.000\LOCALS~1\Temp\Pa&#353;vald&#299;bu%20m&#275;nesis\16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Guntarsm.000\LOCALS~1\Temp\29-NATO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DACE\menesa%20parskats%202001\6-%20SBU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DACE\menesa%20parskats%202001\Darbam-spec.bu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Guntarsm.000\LOCALS~1\Temp\3.tabul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Guntarsm.000\LOCALS~1\Temp\4.tabul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Guntarsm.000\LOCALS~1\Temp\5.tabula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Guntarsm.000\LOCALS~1\Temp\6-%20SBU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Guntarsm.000\LOCALS~1\Temp\Darbam-spec.bu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Guntarsm.000\LOCALS~1\Temp\7-SBU-EKK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Guntarsm.000\LOCALS~1\Temp\8-SBU-vald.f.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Guntarsm.000\LOCALS~1\Temp\10.ta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rba tab."/>
      <sheetName val="Janvāris"/>
      <sheetName val="februāris"/>
      <sheetName val="marts"/>
      <sheetName val="aprīlis"/>
      <sheetName val="maijs"/>
      <sheetName val="Sheet1"/>
    </sheetNames>
    <sheetDataSet>
      <sheetData sheetId="3">
        <row r="12">
          <cell r="D12">
            <v>23160523.76</v>
          </cell>
        </row>
        <row r="13">
          <cell r="D13">
            <v>107946854.98</v>
          </cell>
        </row>
        <row r="14">
          <cell r="D14">
            <v>78166239.7</v>
          </cell>
        </row>
        <row r="15">
          <cell r="D15">
            <v>26508035.42</v>
          </cell>
        </row>
        <row r="16">
          <cell r="D16">
            <v>3272579.86</v>
          </cell>
        </row>
        <row r="17">
          <cell r="D17">
            <v>3383888.52</v>
          </cell>
        </row>
        <row r="18">
          <cell r="D18">
            <v>25416.68</v>
          </cell>
        </row>
        <row r="19">
          <cell r="D19">
            <v>15575254.7</v>
          </cell>
        </row>
        <row r="20">
          <cell r="D20">
            <v>188005.04</v>
          </cell>
        </row>
        <row r="21">
          <cell r="D21">
            <v>3757520.63</v>
          </cell>
        </row>
        <row r="22">
          <cell r="D22">
            <v>4016092.94</v>
          </cell>
        </row>
        <row r="23">
          <cell r="D23">
            <v>139921.3</v>
          </cell>
        </row>
        <row r="24">
          <cell r="D24">
            <v>201500.01</v>
          </cell>
        </row>
        <row r="25">
          <cell r="D25">
            <v>2097258.71</v>
          </cell>
        </row>
        <row r="26">
          <cell r="D26">
            <v>678256.79</v>
          </cell>
        </row>
        <row r="27">
          <cell r="D27">
            <v>1247760.59</v>
          </cell>
        </row>
        <row r="28">
          <cell r="D28">
            <v>58925</v>
          </cell>
        </row>
        <row r="29">
          <cell r="D29">
            <v>1836162.82</v>
          </cell>
        </row>
        <row r="30">
          <cell r="D30">
            <v>3338793.25</v>
          </cell>
        </row>
        <row r="31">
          <cell r="D31">
            <v>300300</v>
          </cell>
        </row>
        <row r="32">
          <cell r="D32">
            <v>2034000</v>
          </cell>
        </row>
        <row r="33">
          <cell r="D33">
            <v>34469</v>
          </cell>
        </row>
        <row r="36">
          <cell r="D36">
            <v>15300505.64</v>
          </cell>
        </row>
        <row r="37">
          <cell r="D37">
            <v>15300505.64</v>
          </cell>
        </row>
        <row r="38">
          <cell r="D38">
            <v>2965552.53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janvāris"/>
      <sheetName val="februāris"/>
      <sheetName val="marts"/>
      <sheetName val="aprīlis"/>
      <sheetName val="maijs"/>
      <sheetName val="Natalija"/>
      <sheetName val="darbam"/>
    </sheetNames>
    <sheetDataSet>
      <sheetData sheetId="2">
        <row r="9">
          <cell r="K9">
            <v>964</v>
          </cell>
        </row>
        <row r="10">
          <cell r="D10">
            <v>59259</v>
          </cell>
          <cell r="K10">
            <v>59</v>
          </cell>
        </row>
        <row r="11">
          <cell r="D11">
            <v>5870</v>
          </cell>
          <cell r="K11">
            <v>6</v>
          </cell>
        </row>
        <row r="12">
          <cell r="D12">
            <v>47480</v>
          </cell>
          <cell r="K12">
            <v>47</v>
          </cell>
        </row>
        <row r="13">
          <cell r="D13">
            <v>446626</v>
          </cell>
          <cell r="K13">
            <v>447</v>
          </cell>
        </row>
        <row r="14">
          <cell r="D14">
            <v>106781</v>
          </cell>
          <cell r="K14">
            <v>107</v>
          </cell>
        </row>
        <row r="15">
          <cell r="D15">
            <v>7278</v>
          </cell>
          <cell r="K15">
            <v>7</v>
          </cell>
        </row>
        <row r="16">
          <cell r="D16">
            <v>9113</v>
          </cell>
          <cell r="K16">
            <v>9</v>
          </cell>
        </row>
        <row r="17">
          <cell r="D17">
            <v>179083</v>
          </cell>
          <cell r="K17">
            <v>179</v>
          </cell>
        </row>
        <row r="18">
          <cell r="K18">
            <v>0</v>
          </cell>
        </row>
        <row r="19">
          <cell r="D19">
            <v>27286</v>
          </cell>
          <cell r="K19">
            <v>27</v>
          </cell>
        </row>
        <row r="22">
          <cell r="D22">
            <v>75591</v>
          </cell>
          <cell r="K22">
            <v>76</v>
          </cell>
        </row>
        <row r="23">
          <cell r="K23">
            <v>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Janvaris"/>
      <sheetName val="Februaris"/>
      <sheetName val="Marts"/>
      <sheetName val="Aprilis"/>
      <sheetName val="Maijs"/>
    </sheetNames>
    <sheetDataSet>
      <sheetData sheetId="2">
        <row r="8">
          <cell r="D8">
            <v>3966318</v>
          </cell>
        </row>
        <row r="9">
          <cell r="D9">
            <v>3410797</v>
          </cell>
        </row>
        <row r="10">
          <cell r="D10">
            <v>2054342</v>
          </cell>
        </row>
        <row r="11">
          <cell r="D11">
            <v>1356455</v>
          </cell>
        </row>
        <row r="12">
          <cell r="D12">
            <v>555521</v>
          </cell>
        </row>
        <row r="13">
          <cell r="D13">
            <v>260218</v>
          </cell>
        </row>
        <row r="14">
          <cell r="D14">
            <v>295303</v>
          </cell>
        </row>
        <row r="15">
          <cell r="D15">
            <v>0</v>
          </cell>
        </row>
        <row r="16">
          <cell r="D16">
            <v>0</v>
          </cell>
        </row>
        <row r="18">
          <cell r="D18">
            <v>6532</v>
          </cell>
        </row>
        <row r="19">
          <cell r="D19">
            <v>0</v>
          </cell>
        </row>
        <row r="21">
          <cell r="D21">
            <v>6532</v>
          </cell>
        </row>
        <row r="22">
          <cell r="D22">
            <v>6532</v>
          </cell>
        </row>
        <row r="23">
          <cell r="D23">
            <v>0</v>
          </cell>
        </row>
        <row r="24">
          <cell r="D24">
            <v>0</v>
          </cell>
        </row>
        <row r="26">
          <cell r="D26">
            <v>152510</v>
          </cell>
        </row>
        <row r="27">
          <cell r="D27">
            <v>148275</v>
          </cell>
        </row>
        <row r="28">
          <cell r="D28">
            <v>148275</v>
          </cell>
        </row>
        <row r="30">
          <cell r="D30">
            <v>4235</v>
          </cell>
        </row>
        <row r="31">
          <cell r="D31">
            <v>4235</v>
          </cell>
        </row>
        <row r="32">
          <cell r="D32">
            <v>623727</v>
          </cell>
        </row>
        <row r="33">
          <cell r="D33">
            <v>540779</v>
          </cell>
        </row>
        <row r="34">
          <cell r="D34">
            <v>182942</v>
          </cell>
        </row>
        <row r="35">
          <cell r="D35">
            <v>357837</v>
          </cell>
        </row>
        <row r="36">
          <cell r="D36">
            <v>82948</v>
          </cell>
        </row>
        <row r="38">
          <cell r="D38">
            <v>82948</v>
          </cell>
        </row>
        <row r="39">
          <cell r="D39">
            <v>47596</v>
          </cell>
        </row>
        <row r="40">
          <cell r="D40">
            <v>47596</v>
          </cell>
        </row>
        <row r="41">
          <cell r="D41">
            <v>47596</v>
          </cell>
        </row>
        <row r="43">
          <cell r="D43">
            <v>0</v>
          </cell>
        </row>
        <row r="46">
          <cell r="D46">
            <v>1420454</v>
          </cell>
        </row>
        <row r="47">
          <cell r="D47">
            <v>1258159</v>
          </cell>
        </row>
        <row r="48">
          <cell r="D48">
            <v>1203004</v>
          </cell>
        </row>
        <row r="49">
          <cell r="D49">
            <v>55155</v>
          </cell>
        </row>
        <row r="50">
          <cell r="D50">
            <v>162295</v>
          </cell>
        </row>
        <row r="51">
          <cell r="D51">
            <v>162295</v>
          </cell>
        </row>
        <row r="52">
          <cell r="D52">
            <v>161870</v>
          </cell>
        </row>
        <row r="53">
          <cell r="D53">
            <v>44067</v>
          </cell>
        </row>
        <row r="54">
          <cell r="D54">
            <v>44067</v>
          </cell>
        </row>
        <row r="56">
          <cell r="D56">
            <v>117803</v>
          </cell>
        </row>
        <row r="58">
          <cell r="D58">
            <v>117803</v>
          </cell>
        </row>
        <row r="59">
          <cell r="D59">
            <v>158393</v>
          </cell>
        </row>
        <row r="60">
          <cell r="D60">
            <v>90483</v>
          </cell>
        </row>
        <row r="61">
          <cell r="D61">
            <v>62809</v>
          </cell>
        </row>
        <row r="62">
          <cell r="D62">
            <v>27674</v>
          </cell>
        </row>
        <row r="63">
          <cell r="D63">
            <v>67910</v>
          </cell>
        </row>
        <row r="64">
          <cell r="D64">
            <v>67910</v>
          </cell>
        </row>
        <row r="65">
          <cell r="D65">
            <v>61121</v>
          </cell>
        </row>
        <row r="66">
          <cell r="D66">
            <v>8539</v>
          </cell>
        </row>
        <row r="67">
          <cell r="D67">
            <v>8539</v>
          </cell>
        </row>
        <row r="69">
          <cell r="D69">
            <v>52582</v>
          </cell>
        </row>
        <row r="70">
          <cell r="D70">
            <v>48182</v>
          </cell>
        </row>
        <row r="71">
          <cell r="D71">
            <v>4400</v>
          </cell>
        </row>
        <row r="72">
          <cell r="D72">
            <v>274825</v>
          </cell>
        </row>
        <row r="73">
          <cell r="D73">
            <v>251661</v>
          </cell>
        </row>
        <row r="74">
          <cell r="D74">
            <v>42573</v>
          </cell>
        </row>
        <row r="75">
          <cell r="D75">
            <v>209088</v>
          </cell>
        </row>
        <row r="76">
          <cell r="D76">
            <v>23164</v>
          </cell>
        </row>
        <row r="77">
          <cell r="D77">
            <v>7613</v>
          </cell>
        </row>
        <row r="78">
          <cell r="D78">
            <v>15551</v>
          </cell>
        </row>
        <row r="79">
          <cell r="D79">
            <v>706701</v>
          </cell>
        </row>
        <row r="80">
          <cell r="D80">
            <v>706701</v>
          </cell>
        </row>
        <row r="82">
          <cell r="D82">
            <v>706701</v>
          </cell>
        </row>
        <row r="83">
          <cell r="D83">
            <v>0</v>
          </cell>
        </row>
        <row r="84">
          <cell r="D84">
            <v>0</v>
          </cell>
        </row>
        <row r="86">
          <cell r="D86">
            <v>0</v>
          </cell>
        </row>
        <row r="87">
          <cell r="D87">
            <v>0</v>
          </cell>
        </row>
        <row r="89">
          <cell r="D89">
            <v>0</v>
          </cell>
        </row>
        <row r="91">
          <cell r="D91">
            <v>6691</v>
          </cell>
        </row>
        <row r="92">
          <cell r="D92">
            <v>0</v>
          </cell>
        </row>
        <row r="95">
          <cell r="D95">
            <v>6691</v>
          </cell>
        </row>
        <row r="97">
          <cell r="D97">
            <v>6691</v>
          </cell>
        </row>
        <row r="98">
          <cell r="D98">
            <v>278428</v>
          </cell>
        </row>
        <row r="99">
          <cell r="D99">
            <v>247067</v>
          </cell>
        </row>
        <row r="100">
          <cell r="D100">
            <v>247067</v>
          </cell>
        </row>
        <row r="102">
          <cell r="D102">
            <v>31361</v>
          </cell>
        </row>
        <row r="103">
          <cell r="D103">
            <v>31361</v>
          </cell>
        </row>
        <row r="104">
          <cell r="D104">
            <v>67470</v>
          </cell>
        </row>
        <row r="105">
          <cell r="D105">
            <v>67470</v>
          </cell>
        </row>
        <row r="106">
          <cell r="D106">
            <v>67470</v>
          </cell>
        </row>
        <row r="107">
          <cell r="D107">
            <v>0</v>
          </cell>
        </row>
        <row r="109">
          <cell r="D109">
            <v>576290</v>
          </cell>
        </row>
        <row r="110">
          <cell r="D110">
            <v>576290</v>
          </cell>
        </row>
        <row r="111">
          <cell r="D111">
            <v>0</v>
          </cell>
        </row>
        <row r="112">
          <cell r="D112">
            <v>576290</v>
          </cell>
        </row>
        <row r="113">
          <cell r="D113">
            <v>0</v>
          </cell>
        </row>
        <row r="114">
          <cell r="D114">
            <v>0</v>
          </cell>
        </row>
        <row r="115">
          <cell r="D115">
            <v>0</v>
          </cell>
        </row>
        <row r="116">
          <cell r="D116">
            <v>576290</v>
          </cell>
        </row>
        <row r="117">
          <cell r="D117">
            <v>576290</v>
          </cell>
        </row>
        <row r="119">
          <cell r="D119">
            <v>576290</v>
          </cell>
        </row>
        <row r="120">
          <cell r="D120">
            <v>0</v>
          </cell>
        </row>
        <row r="122">
          <cell r="D122">
            <v>0</v>
          </cell>
        </row>
        <row r="123">
          <cell r="D123">
            <v>0</v>
          </cell>
        </row>
        <row r="125">
          <cell r="D125">
            <v>0</v>
          </cell>
        </row>
        <row r="127">
          <cell r="D127">
            <v>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Janvāris"/>
      <sheetName val="Februaris"/>
      <sheetName val="Marts"/>
      <sheetName val="Aprilis"/>
    </sheetNames>
    <sheetDataSet>
      <sheetData sheetId="2">
        <row r="9">
          <cell r="C9">
            <v>0</v>
          </cell>
        </row>
        <row r="15">
          <cell r="C15">
            <v>0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Janvāris"/>
      <sheetName val="Februaris"/>
      <sheetName val="Marts"/>
      <sheetName val="Aprilis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Janvāris"/>
      <sheetName val="Februaris"/>
      <sheetName val="Marts"/>
      <sheetName val="Aprilis"/>
    </sheetNames>
    <sheetDataSet>
      <sheetData sheetId="2">
        <row r="9">
          <cell r="C9">
            <v>0</v>
          </cell>
        </row>
        <row r="32">
          <cell r="C32">
            <v>0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Janvaris"/>
      <sheetName val="Februaris"/>
      <sheetName val="Marts"/>
      <sheetName val="Aprilis"/>
      <sheetName val="Maijs"/>
    </sheetNames>
    <sheetDataSet>
      <sheetData sheetId="2">
        <row r="9">
          <cell r="C9">
            <v>12523442</v>
          </cell>
        </row>
        <row r="10">
          <cell r="C10">
            <v>10993443</v>
          </cell>
        </row>
        <row r="11">
          <cell r="C11">
            <v>63286</v>
          </cell>
        </row>
        <row r="12">
          <cell r="C12">
            <v>11919</v>
          </cell>
        </row>
        <row r="13">
          <cell r="C13">
            <v>51367</v>
          </cell>
        </row>
        <row r="14">
          <cell r="C14">
            <v>401847</v>
          </cell>
        </row>
        <row r="15">
          <cell r="C15">
            <v>21143</v>
          </cell>
        </row>
        <row r="16">
          <cell r="C16">
            <v>1990</v>
          </cell>
        </row>
        <row r="17">
          <cell r="C17">
            <v>342714</v>
          </cell>
        </row>
        <row r="18">
          <cell r="C18">
            <v>36000</v>
          </cell>
        </row>
        <row r="19">
          <cell r="C19">
            <v>67310</v>
          </cell>
        </row>
        <row r="20">
          <cell r="C20">
            <v>67310</v>
          </cell>
        </row>
        <row r="21">
          <cell r="C21">
            <v>67910</v>
          </cell>
        </row>
        <row r="22">
          <cell r="C22">
            <v>67910</v>
          </cell>
        </row>
        <row r="23">
          <cell r="C23">
            <v>656746</v>
          </cell>
        </row>
        <row r="24">
          <cell r="C24">
            <v>307517</v>
          </cell>
        </row>
        <row r="25">
          <cell r="C25">
            <v>104279</v>
          </cell>
        </row>
        <row r="26">
          <cell r="C26">
            <v>44633</v>
          </cell>
        </row>
        <row r="27">
          <cell r="C27">
            <v>37923</v>
          </cell>
        </row>
        <row r="28">
          <cell r="C28">
            <v>30737</v>
          </cell>
        </row>
        <row r="29">
          <cell r="C29">
            <v>131657</v>
          </cell>
        </row>
        <row r="30">
          <cell r="C30">
            <v>272900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Janvāris"/>
      <sheetName val="Februāris"/>
      <sheetName val="Marts"/>
      <sheetName val="Aprīlis"/>
      <sheetName val="Maijs"/>
    </sheetNames>
    <sheetDataSet>
      <sheetData sheetId="2">
        <row r="20">
          <cell r="D20">
            <v>523431</v>
          </cell>
        </row>
        <row r="21">
          <cell r="D21">
            <v>523431</v>
          </cell>
        </row>
        <row r="22">
          <cell r="D22">
            <v>494137</v>
          </cell>
        </row>
        <row r="23">
          <cell r="D23">
            <v>489374</v>
          </cell>
        </row>
        <row r="24">
          <cell r="D24">
            <v>4763</v>
          </cell>
        </row>
        <row r="27">
          <cell r="D27">
            <v>712671</v>
          </cell>
        </row>
        <row r="28">
          <cell r="D28">
            <v>530937</v>
          </cell>
        </row>
        <row r="29">
          <cell r="D29">
            <v>399163</v>
          </cell>
        </row>
        <row r="30">
          <cell r="D30">
            <v>51105</v>
          </cell>
        </row>
        <row r="31">
          <cell r="D31">
            <v>31096</v>
          </cell>
        </row>
        <row r="32">
          <cell r="D32">
            <v>49573</v>
          </cell>
        </row>
        <row r="33">
          <cell r="D33">
            <v>59519</v>
          </cell>
        </row>
        <row r="34">
          <cell r="D34">
            <v>52176</v>
          </cell>
        </row>
        <row r="35">
          <cell r="D35">
            <v>70039</v>
          </cell>
        </row>
        <row r="36">
          <cell r="D36">
            <v>216809</v>
          </cell>
        </row>
        <row r="37">
          <cell r="D37">
            <v>216809</v>
          </cell>
        </row>
        <row r="39">
          <cell r="D39">
            <v>388027</v>
          </cell>
        </row>
        <row r="40">
          <cell r="D40">
            <v>388027</v>
          </cell>
        </row>
        <row r="41">
          <cell r="D41">
            <v>9905</v>
          </cell>
        </row>
        <row r="42">
          <cell r="D42">
            <v>9905</v>
          </cell>
        </row>
        <row r="44">
          <cell r="D44">
            <v>49168</v>
          </cell>
        </row>
        <row r="45">
          <cell r="D45">
            <v>49168</v>
          </cell>
        </row>
        <row r="46">
          <cell r="D46">
            <v>4975</v>
          </cell>
        </row>
        <row r="47">
          <cell r="D47">
            <v>44193</v>
          </cell>
        </row>
        <row r="50">
          <cell r="D50">
            <v>653500</v>
          </cell>
        </row>
        <row r="51">
          <cell r="D51">
            <v>653500</v>
          </cell>
        </row>
        <row r="52">
          <cell r="D52">
            <v>648607</v>
          </cell>
        </row>
        <row r="53">
          <cell r="D53">
            <v>540642</v>
          </cell>
        </row>
        <row r="54">
          <cell r="D54">
            <v>200000</v>
          </cell>
        </row>
        <row r="55">
          <cell r="D55">
            <v>107965</v>
          </cell>
        </row>
        <row r="57">
          <cell r="D57">
            <v>304352</v>
          </cell>
        </row>
        <row r="58">
          <cell r="D58">
            <v>304352</v>
          </cell>
        </row>
        <row r="60">
          <cell r="D60">
            <v>275950</v>
          </cell>
        </row>
        <row r="61">
          <cell r="D61">
            <v>275950</v>
          </cell>
        </row>
        <row r="62">
          <cell r="D62">
            <v>8761</v>
          </cell>
        </row>
        <row r="64">
          <cell r="D64">
            <v>1973327</v>
          </cell>
        </row>
        <row r="65">
          <cell r="D65">
            <v>-1944925</v>
          </cell>
        </row>
        <row r="66">
          <cell r="D66">
            <v>2043155</v>
          </cell>
        </row>
        <row r="69">
          <cell r="D69">
            <v>214530</v>
          </cell>
        </row>
        <row r="70">
          <cell r="D70">
            <v>98161</v>
          </cell>
        </row>
        <row r="71">
          <cell r="D71">
            <v>116369</v>
          </cell>
        </row>
        <row r="72">
          <cell r="D72">
            <v>65030</v>
          </cell>
        </row>
        <row r="73">
          <cell r="D73">
            <v>59301</v>
          </cell>
        </row>
        <row r="74">
          <cell r="D74">
            <v>5729</v>
          </cell>
        </row>
        <row r="77">
          <cell r="D77">
            <v>11882413</v>
          </cell>
        </row>
        <row r="78">
          <cell r="D78">
            <v>2293151</v>
          </cell>
        </row>
        <row r="79">
          <cell r="D79">
            <v>9006605</v>
          </cell>
        </row>
        <row r="80">
          <cell r="D80">
            <v>6367</v>
          </cell>
        </row>
        <row r="81">
          <cell r="D81">
            <v>576290</v>
          </cell>
        </row>
        <row r="82">
          <cell r="D82">
            <v>15386448</v>
          </cell>
        </row>
        <row r="83">
          <cell r="D83">
            <v>11616097</v>
          </cell>
        </row>
        <row r="84">
          <cell r="D84">
            <v>592296</v>
          </cell>
        </row>
        <row r="85">
          <cell r="D85">
            <v>3770351</v>
          </cell>
        </row>
        <row r="86">
          <cell r="D86">
            <v>-3504035</v>
          </cell>
        </row>
        <row r="87">
          <cell r="D87">
            <v>3301067</v>
          </cell>
        </row>
        <row r="89">
          <cell r="D89">
            <v>154701</v>
          </cell>
        </row>
        <row r="90">
          <cell r="D90">
            <v>154701</v>
          </cell>
        </row>
        <row r="91">
          <cell r="D91">
            <v>26040</v>
          </cell>
        </row>
        <row r="92">
          <cell r="D92">
            <v>25570</v>
          </cell>
        </row>
        <row r="93">
          <cell r="D93">
            <v>470</v>
          </cell>
        </row>
        <row r="95">
          <cell r="D95">
            <v>488411</v>
          </cell>
        </row>
        <row r="96">
          <cell r="D96">
            <v>488411</v>
          </cell>
        </row>
        <row r="97">
          <cell r="D97">
            <v>33652</v>
          </cell>
        </row>
        <row r="99">
          <cell r="D99">
            <v>33652</v>
          </cell>
        </row>
        <row r="102">
          <cell r="D102">
            <v>30613169</v>
          </cell>
        </row>
        <row r="103">
          <cell r="D103">
            <v>18160770</v>
          </cell>
        </row>
        <row r="104">
          <cell r="D104">
            <v>12055364</v>
          </cell>
        </row>
        <row r="105">
          <cell r="D105">
            <v>397035</v>
          </cell>
        </row>
        <row r="107">
          <cell r="D107">
            <v>32063344</v>
          </cell>
        </row>
        <row r="108">
          <cell r="D108">
            <v>31372563</v>
          </cell>
        </row>
        <row r="109">
          <cell r="D109">
            <v>0</v>
          </cell>
        </row>
        <row r="110">
          <cell r="D110">
            <v>690781</v>
          </cell>
        </row>
        <row r="111">
          <cell r="D111">
            <v>-1450175</v>
          </cell>
        </row>
        <row r="112">
          <cell r="D112">
            <v>535471</v>
          </cell>
        </row>
        <row r="114">
          <cell r="D114">
            <v>116087917</v>
          </cell>
        </row>
        <row r="115">
          <cell r="D115">
            <v>114217152</v>
          </cell>
        </row>
        <row r="116">
          <cell r="D116">
            <v>1409897</v>
          </cell>
        </row>
        <row r="117">
          <cell r="D117">
            <v>460868</v>
          </cell>
        </row>
        <row r="118">
          <cell r="D118">
            <v>121951690</v>
          </cell>
        </row>
        <row r="119">
          <cell r="D119">
            <v>121814928</v>
          </cell>
        </row>
        <row r="120">
          <cell r="D120">
            <v>0</v>
          </cell>
        </row>
        <row r="121">
          <cell r="D121">
            <v>136762</v>
          </cell>
        </row>
        <row r="122">
          <cell r="D122">
            <v>-5863773</v>
          </cell>
        </row>
        <row r="123">
          <cell r="D123">
            <v>8759268</v>
          </cell>
        </row>
        <row r="125">
          <cell r="D125">
            <v>93951592</v>
          </cell>
        </row>
        <row r="126">
          <cell r="D126">
            <v>88134092</v>
          </cell>
        </row>
        <row r="127">
          <cell r="D127">
            <v>835430</v>
          </cell>
        </row>
        <row r="128">
          <cell r="D128">
            <v>4982070</v>
          </cell>
        </row>
        <row r="129">
          <cell r="D129">
            <v>99788794</v>
          </cell>
        </row>
        <row r="130">
          <cell r="D130">
            <v>99788794</v>
          </cell>
        </row>
        <row r="131">
          <cell r="D131">
            <v>-5837202</v>
          </cell>
        </row>
        <row r="132">
          <cell r="D132">
            <v>5838653</v>
          </cell>
        </row>
        <row r="134">
          <cell r="D134">
            <v>9207996</v>
          </cell>
        </row>
        <row r="135">
          <cell r="D135">
            <v>6977561</v>
          </cell>
        </row>
        <row r="136">
          <cell r="D136">
            <v>85627</v>
          </cell>
        </row>
        <row r="137">
          <cell r="D137">
            <v>2144808</v>
          </cell>
        </row>
        <row r="138">
          <cell r="D138">
            <v>6641966</v>
          </cell>
        </row>
        <row r="139">
          <cell r="D139">
            <v>6641966</v>
          </cell>
        </row>
        <row r="140">
          <cell r="D140">
            <v>2566030</v>
          </cell>
        </row>
        <row r="143">
          <cell r="D143">
            <v>299823</v>
          </cell>
        </row>
        <row r="144">
          <cell r="D144">
            <v>296918</v>
          </cell>
        </row>
        <row r="145">
          <cell r="D145">
            <v>2905</v>
          </cell>
        </row>
        <row r="146">
          <cell r="D146">
            <v>199982</v>
          </cell>
        </row>
        <row r="147">
          <cell r="D147">
            <v>199982</v>
          </cell>
        </row>
        <row r="148">
          <cell r="D148">
            <v>99841</v>
          </cell>
        </row>
        <row r="150">
          <cell r="D150">
            <v>18934227</v>
          </cell>
        </row>
        <row r="151">
          <cell r="D151">
            <v>18808581</v>
          </cell>
        </row>
        <row r="152">
          <cell r="D152">
            <v>125646</v>
          </cell>
        </row>
        <row r="153">
          <cell r="D153">
            <v>21799556</v>
          </cell>
        </row>
        <row r="154">
          <cell r="D154">
            <v>21799556</v>
          </cell>
        </row>
        <row r="155">
          <cell r="D155">
            <v>-2865329</v>
          </cell>
        </row>
        <row r="156">
          <cell r="D156">
            <v>2865517</v>
          </cell>
        </row>
        <row r="158">
          <cell r="D158">
            <v>2194612</v>
          </cell>
        </row>
        <row r="159">
          <cell r="D159">
            <v>488840</v>
          </cell>
        </row>
        <row r="160">
          <cell r="D160">
            <v>1705772</v>
          </cell>
        </row>
        <row r="161">
          <cell r="D161">
            <v>2021723</v>
          </cell>
        </row>
        <row r="162">
          <cell r="D162">
            <v>1884961</v>
          </cell>
        </row>
        <row r="164">
          <cell r="D164">
            <v>136762</v>
          </cell>
        </row>
        <row r="165">
          <cell r="D165">
            <v>172889</v>
          </cell>
        </row>
        <row r="166">
          <cell r="D166">
            <v>55098</v>
          </cell>
        </row>
        <row r="169">
          <cell r="D169">
            <v>1643627</v>
          </cell>
        </row>
        <row r="170">
          <cell r="D170">
            <v>1477231</v>
          </cell>
        </row>
        <row r="171">
          <cell r="D171">
            <v>140038</v>
          </cell>
        </row>
        <row r="172">
          <cell r="D172">
            <v>26358</v>
          </cell>
        </row>
        <row r="173">
          <cell r="D173">
            <v>512908</v>
          </cell>
        </row>
        <row r="174">
          <cell r="D174">
            <v>498950</v>
          </cell>
        </row>
        <row r="175">
          <cell r="D175">
            <v>13958</v>
          </cell>
        </row>
        <row r="178">
          <cell r="D178">
            <v>454993</v>
          </cell>
        </row>
        <row r="179">
          <cell r="D179">
            <v>307191</v>
          </cell>
        </row>
        <row r="180">
          <cell r="D180">
            <v>147802</v>
          </cell>
        </row>
        <row r="181">
          <cell r="D181">
            <v>457240</v>
          </cell>
        </row>
        <row r="182">
          <cell r="D182">
            <v>457240</v>
          </cell>
        </row>
        <row r="184">
          <cell r="D184">
            <v>15766</v>
          </cell>
        </row>
        <row r="185">
          <cell r="D185">
            <v>15766</v>
          </cell>
        </row>
        <row r="186">
          <cell r="D186">
            <v>27893</v>
          </cell>
        </row>
        <row r="187">
          <cell r="D187">
            <v>27723</v>
          </cell>
        </row>
        <row r="188">
          <cell r="D188">
            <v>0</v>
          </cell>
        </row>
        <row r="189">
          <cell r="D189">
            <v>170</v>
          </cell>
        </row>
        <row r="190">
          <cell r="D190">
            <v>-12127</v>
          </cell>
        </row>
        <row r="191">
          <cell r="D191">
            <v>14188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Janvāris"/>
      <sheetName val="Februāris"/>
      <sheetName val="Marts"/>
      <sheetName val="Aprīlis"/>
      <sheetName val="Sheet2"/>
      <sheetName val="Sheet1"/>
      <sheetName val="Maijs"/>
    </sheetNames>
    <sheetDataSet>
      <sheetData sheetId="3">
        <row r="6">
          <cell r="F6">
            <v>195542</v>
          </cell>
          <cell r="G6">
            <v>646233</v>
          </cell>
          <cell r="K6">
            <v>659802</v>
          </cell>
          <cell r="N6">
            <v>758660</v>
          </cell>
          <cell r="P6">
            <v>15385</v>
          </cell>
          <cell r="X6">
            <v>796565</v>
          </cell>
        </row>
        <row r="7">
          <cell r="X7">
            <v>13379</v>
          </cell>
        </row>
        <row r="8">
          <cell r="C8">
            <v>167878213</v>
          </cell>
          <cell r="D8">
            <v>43616068</v>
          </cell>
          <cell r="E8">
            <v>772249</v>
          </cell>
          <cell r="F8">
            <v>48490</v>
          </cell>
          <cell r="I8">
            <v>16383969</v>
          </cell>
          <cell r="K8">
            <v>637721</v>
          </cell>
          <cell r="L8">
            <v>135467</v>
          </cell>
          <cell r="N8">
            <v>552324</v>
          </cell>
          <cell r="O8">
            <v>567279</v>
          </cell>
          <cell r="P8">
            <v>38396</v>
          </cell>
          <cell r="Q8">
            <v>595260</v>
          </cell>
          <cell r="W8">
            <v>245754</v>
          </cell>
        </row>
        <row r="15">
          <cell r="I15">
            <v>1736363</v>
          </cell>
          <cell r="N15">
            <v>200000</v>
          </cell>
        </row>
        <row r="30">
          <cell r="C30">
            <v>240533</v>
          </cell>
          <cell r="D30">
            <v>913623</v>
          </cell>
          <cell r="E30">
            <v>15640</v>
          </cell>
          <cell r="F30">
            <v>470</v>
          </cell>
          <cell r="G30">
            <v>40195</v>
          </cell>
          <cell r="I30">
            <v>4137196</v>
          </cell>
          <cell r="L30">
            <v>11000</v>
          </cell>
          <cell r="N30">
            <v>117370</v>
          </cell>
          <cell r="P30">
            <v>170</v>
          </cell>
        </row>
        <row r="31">
          <cell r="K31">
            <v>5003</v>
          </cell>
        </row>
        <row r="33">
          <cell r="O33">
            <v>2569307</v>
          </cell>
        </row>
        <row r="39">
          <cell r="C39">
            <v>15175779</v>
          </cell>
        </row>
        <row r="43">
          <cell r="C43">
            <v>147616</v>
          </cell>
          <cell r="D43">
            <v>647252</v>
          </cell>
          <cell r="I43">
            <v>4801066</v>
          </cell>
          <cell r="O43">
            <v>2655227</v>
          </cell>
          <cell r="P43">
            <v>18917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anvāris"/>
      <sheetName val="Februāris"/>
      <sheetName val="Marts"/>
      <sheetName val="Aprīlis"/>
      <sheetName val="Maijs"/>
      <sheetName val="paligs"/>
      <sheetName val="Marts "/>
    </sheetNames>
    <sheetDataSet>
      <sheetData sheetId="2">
        <row r="23">
          <cell r="D23">
            <v>255070</v>
          </cell>
        </row>
        <row r="25">
          <cell r="D25">
            <v>233892</v>
          </cell>
        </row>
        <row r="26">
          <cell r="D26">
            <v>21009.18</v>
          </cell>
        </row>
        <row r="29">
          <cell r="D29">
            <v>1519328</v>
          </cell>
        </row>
        <row r="32">
          <cell r="D32">
            <v>1253224.69</v>
          </cell>
        </row>
        <row r="33">
          <cell r="D33">
            <v>241065.95</v>
          </cell>
        </row>
        <row r="36">
          <cell r="D36">
            <v>664328</v>
          </cell>
        </row>
        <row r="37">
          <cell r="D37">
            <v>72792.66</v>
          </cell>
        </row>
        <row r="40">
          <cell r="D40">
            <v>682467.24</v>
          </cell>
        </row>
        <row r="41">
          <cell r="D41">
            <v>29103.78</v>
          </cell>
        </row>
        <row r="44">
          <cell r="D44">
            <v>11345707</v>
          </cell>
        </row>
        <row r="45">
          <cell r="D45">
            <v>411834.08</v>
          </cell>
        </row>
        <row r="47">
          <cell r="D47">
            <v>10251860.03</v>
          </cell>
        </row>
        <row r="48">
          <cell r="D48">
            <v>741582.9</v>
          </cell>
        </row>
        <row r="51">
          <cell r="D51">
            <v>2842099</v>
          </cell>
        </row>
        <row r="52">
          <cell r="D52">
            <v>35887.51</v>
          </cell>
        </row>
        <row r="54">
          <cell r="D54">
            <v>2668285.7</v>
          </cell>
        </row>
        <row r="55">
          <cell r="D55">
            <v>86853</v>
          </cell>
        </row>
        <row r="58">
          <cell r="D58">
            <v>1087490</v>
          </cell>
        </row>
        <row r="59">
          <cell r="D59">
            <v>10640.03</v>
          </cell>
        </row>
        <row r="60">
          <cell r="D60">
            <v>154408.98</v>
          </cell>
        </row>
        <row r="63">
          <cell r="D63">
            <v>1357746.44</v>
          </cell>
        </row>
        <row r="64">
          <cell r="D64">
            <v>7968.41</v>
          </cell>
        </row>
        <row r="67">
          <cell r="D67">
            <v>19025483</v>
          </cell>
        </row>
        <row r="68">
          <cell r="D68">
            <v>115872.52</v>
          </cell>
        </row>
        <row r="69">
          <cell r="D69">
            <v>1049969.75</v>
          </cell>
        </row>
        <row r="72">
          <cell r="D72">
            <v>17450083.04</v>
          </cell>
        </row>
        <row r="73">
          <cell r="D73">
            <v>1817619.41</v>
          </cell>
        </row>
        <row r="74">
          <cell r="D74">
            <v>12632419</v>
          </cell>
        </row>
        <row r="78">
          <cell r="D78">
            <v>17673683</v>
          </cell>
        </row>
        <row r="79">
          <cell r="D79">
            <v>1693688.13</v>
          </cell>
        </row>
        <row r="82">
          <cell r="D82">
            <v>18163355.41</v>
          </cell>
        </row>
        <row r="83">
          <cell r="D83">
            <v>1125595.51</v>
          </cell>
        </row>
        <row r="86">
          <cell r="D86">
            <v>14395503</v>
          </cell>
        </row>
        <row r="87">
          <cell r="D87">
            <v>164371.47</v>
          </cell>
        </row>
        <row r="88">
          <cell r="D88">
            <v>5612973.99</v>
          </cell>
        </row>
        <row r="91">
          <cell r="D91">
            <v>16668524.42</v>
          </cell>
        </row>
        <row r="92">
          <cell r="D92">
            <v>585106.07</v>
          </cell>
        </row>
        <row r="95">
          <cell r="D95">
            <v>12521102</v>
          </cell>
        </row>
        <row r="96">
          <cell r="D96">
            <v>1889885.77</v>
          </cell>
        </row>
        <row r="99">
          <cell r="D99">
            <v>12877609.97</v>
          </cell>
        </row>
        <row r="100">
          <cell r="D100">
            <v>816647.7</v>
          </cell>
        </row>
        <row r="103">
          <cell r="D103">
            <v>1924783</v>
          </cell>
        </row>
        <row r="104">
          <cell r="D104">
            <v>1213.88</v>
          </cell>
        </row>
        <row r="107">
          <cell r="D107">
            <v>1633318.76</v>
          </cell>
        </row>
        <row r="108">
          <cell r="D108">
            <v>97110.36</v>
          </cell>
        </row>
        <row r="111">
          <cell r="D111">
            <v>36563256</v>
          </cell>
        </row>
        <row r="113">
          <cell r="D113">
            <v>1129703.81</v>
          </cell>
        </row>
        <row r="116">
          <cell r="D116">
            <v>36654565.84</v>
          </cell>
        </row>
        <row r="117">
          <cell r="D117">
            <v>463520.59</v>
          </cell>
        </row>
        <row r="120">
          <cell r="D120">
            <v>5901622</v>
          </cell>
        </row>
        <row r="121">
          <cell r="D121">
            <v>180756.78</v>
          </cell>
        </row>
        <row r="124">
          <cell r="D124">
            <v>5387870.88</v>
          </cell>
        </row>
        <row r="125">
          <cell r="D125">
            <v>893556.47</v>
          </cell>
        </row>
        <row r="128">
          <cell r="D128">
            <v>1610330</v>
          </cell>
        </row>
        <row r="129">
          <cell r="D129">
            <v>297599.62</v>
          </cell>
        </row>
        <row r="132">
          <cell r="D132">
            <v>1524814.64</v>
          </cell>
        </row>
        <row r="133">
          <cell r="D133">
            <v>841708.26</v>
          </cell>
        </row>
        <row r="136">
          <cell r="D136">
            <v>4222362</v>
          </cell>
        </row>
        <row r="137">
          <cell r="D137">
            <v>731087.49</v>
          </cell>
        </row>
        <row r="140">
          <cell r="D140">
            <v>4635704.78</v>
          </cell>
        </row>
        <row r="141">
          <cell r="D141">
            <v>52746.66</v>
          </cell>
        </row>
        <row r="144">
          <cell r="D144">
            <v>1247810</v>
          </cell>
        </row>
        <row r="145">
          <cell r="D145">
            <v>1936955.57</v>
          </cell>
        </row>
        <row r="147">
          <cell r="D147">
            <v>2925861.16</v>
          </cell>
        </row>
        <row r="148">
          <cell r="D148">
            <v>78821.13</v>
          </cell>
        </row>
        <row r="151">
          <cell r="D151">
            <v>259596</v>
          </cell>
        </row>
        <row r="152">
          <cell r="D152">
            <v>231</v>
          </cell>
        </row>
        <row r="155">
          <cell r="D155">
            <v>245723.71</v>
          </cell>
        </row>
        <row r="156">
          <cell r="D156">
            <v>6691.2</v>
          </cell>
        </row>
        <row r="159">
          <cell r="D159">
            <v>160787</v>
          </cell>
        </row>
        <row r="162">
          <cell r="D162">
            <v>160783.47</v>
          </cell>
        </row>
        <row r="165">
          <cell r="D165">
            <v>69007</v>
          </cell>
        </row>
        <row r="168">
          <cell r="D168">
            <v>67589.63</v>
          </cell>
        </row>
        <row r="169">
          <cell r="D169">
            <v>947.6</v>
          </cell>
        </row>
        <row r="172">
          <cell r="D172">
            <v>1472847</v>
          </cell>
        </row>
        <row r="173">
          <cell r="D173">
            <v>4462.07</v>
          </cell>
        </row>
        <row r="175">
          <cell r="D175">
            <v>1463930.73</v>
          </cell>
        </row>
        <row r="176">
          <cell r="D176">
            <v>1880.75</v>
          </cell>
        </row>
        <row r="179">
          <cell r="D179">
            <v>111091</v>
          </cell>
        </row>
        <row r="181">
          <cell r="D181">
            <v>95007.27</v>
          </cell>
        </row>
        <row r="182">
          <cell r="D182">
            <v>12290.78</v>
          </cell>
        </row>
        <row r="185">
          <cell r="D185">
            <v>11517</v>
          </cell>
        </row>
        <row r="187">
          <cell r="D187">
            <v>10025.48</v>
          </cell>
        </row>
        <row r="190">
          <cell r="D190">
            <v>272900</v>
          </cell>
        </row>
        <row r="192">
          <cell r="D192">
            <v>272900</v>
          </cell>
        </row>
        <row r="195">
          <cell r="D195">
            <v>1607819</v>
          </cell>
        </row>
        <row r="196">
          <cell r="D196">
            <v>2170</v>
          </cell>
        </row>
        <row r="198">
          <cell r="D198">
            <v>1596746.65</v>
          </cell>
        </row>
        <row r="199">
          <cell r="D199">
            <v>195.38</v>
          </cell>
        </row>
        <row r="202">
          <cell r="D202">
            <v>24047</v>
          </cell>
        </row>
        <row r="204">
          <cell r="D204">
            <v>24047</v>
          </cell>
        </row>
        <row r="207">
          <cell r="D207">
            <v>118891</v>
          </cell>
        </row>
        <row r="211">
          <cell r="D211">
            <v>365342.03</v>
          </cell>
        </row>
        <row r="215">
          <cell r="D215">
            <v>323834</v>
          </cell>
        </row>
        <row r="216">
          <cell r="D216">
            <v>20.7</v>
          </cell>
        </row>
        <row r="219">
          <cell r="D219">
            <v>265633.08</v>
          </cell>
        </row>
        <row r="220">
          <cell r="D220">
            <v>2384.3</v>
          </cell>
        </row>
        <row r="230">
          <cell r="D230">
            <v>26226616</v>
          </cell>
        </row>
        <row r="232">
          <cell r="D232">
            <v>24576760</v>
          </cell>
        </row>
        <row r="233">
          <cell r="D233">
            <v>889995.05</v>
          </cell>
        </row>
        <row r="236">
          <cell r="D236">
            <v>2013791</v>
          </cell>
        </row>
        <row r="238">
          <cell r="D238">
            <v>1957260.22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Janvāris"/>
      <sheetName val="februāris"/>
      <sheetName val="sadaletab"/>
      <sheetName val="sadale"/>
      <sheetName val="dotspec"/>
      <sheetName val="aizd_atm"/>
      <sheetName val="marts"/>
      <sheetName val="aprīlis"/>
      <sheetName val="maijs"/>
    </sheetNames>
    <sheetDataSet>
      <sheetData sheetId="6">
        <row r="12">
          <cell r="D12">
            <v>165472699</v>
          </cell>
        </row>
        <row r="13">
          <cell r="D13">
            <v>290884.02</v>
          </cell>
        </row>
        <row r="14">
          <cell r="D14">
            <v>15300505.64</v>
          </cell>
        </row>
        <row r="15">
          <cell r="D15">
            <v>3410797</v>
          </cell>
        </row>
        <row r="16">
          <cell r="D16">
            <v>174285334.70999998</v>
          </cell>
        </row>
        <row r="17">
          <cell r="D17">
            <v>165470934.26999998</v>
          </cell>
        </row>
        <row r="18">
          <cell r="D18">
            <v>82473238.84</v>
          </cell>
        </row>
        <row r="19">
          <cell r="D19">
            <v>37600753.67</v>
          </cell>
        </row>
        <row r="20">
          <cell r="D20">
            <v>9800900.21</v>
          </cell>
        </row>
        <row r="21">
          <cell r="D21">
            <v>35071584.96</v>
          </cell>
        </row>
        <row r="22">
          <cell r="D22">
            <v>8138545.57</v>
          </cell>
        </row>
        <row r="23">
          <cell r="D23">
            <v>4799187.78</v>
          </cell>
        </row>
        <row r="24">
          <cell r="D24">
            <v>3273548.06</v>
          </cell>
        </row>
        <row r="25">
          <cell r="D25">
            <v>65809.73</v>
          </cell>
        </row>
        <row r="26">
          <cell r="D26">
            <v>74859149.86</v>
          </cell>
        </row>
        <row r="27">
          <cell r="D27">
            <v>5976316.27</v>
          </cell>
        </row>
        <row r="28">
          <cell r="D28">
            <v>24586760</v>
          </cell>
        </row>
        <row r="29">
          <cell r="D29">
            <v>1931289</v>
          </cell>
        </row>
        <row r="30">
          <cell r="D30">
            <v>6326614.37</v>
          </cell>
        </row>
        <row r="32">
          <cell r="D32">
            <v>19350092.05</v>
          </cell>
        </row>
        <row r="33">
          <cell r="D33">
            <v>415706.8</v>
          </cell>
        </row>
        <row r="34">
          <cell r="D34">
            <v>14233607.31</v>
          </cell>
        </row>
        <row r="35">
          <cell r="D35">
            <v>1811726.1</v>
          </cell>
        </row>
        <row r="36">
          <cell r="D36">
            <v>2889051.84</v>
          </cell>
        </row>
        <row r="37">
          <cell r="D37">
            <v>2512651.17</v>
          </cell>
        </row>
        <row r="38">
          <cell r="D38">
            <v>14175427</v>
          </cell>
        </row>
        <row r="39">
          <cell r="D39">
            <v>14175427</v>
          </cell>
        </row>
        <row r="41">
          <cell r="D41">
            <v>8814400.44</v>
          </cell>
        </row>
        <row r="42">
          <cell r="D42">
            <v>2960052.03</v>
          </cell>
        </row>
        <row r="43">
          <cell r="D43">
            <v>5854348.41</v>
          </cell>
        </row>
        <row r="44">
          <cell r="D44">
            <v>248280</v>
          </cell>
        </row>
        <row r="45">
          <cell r="D45">
            <v>889995.05</v>
          </cell>
        </row>
        <row r="46">
          <cell r="D46">
            <v>12632419</v>
          </cell>
        </row>
        <row r="47">
          <cell r="D47">
            <v>19444317</v>
          </cell>
        </row>
        <row r="48">
          <cell r="D48">
            <v>14653149</v>
          </cell>
        </row>
        <row r="49">
          <cell r="D49">
            <v>6811898</v>
          </cell>
        </row>
        <row r="50">
          <cell r="D50">
            <v>801058</v>
          </cell>
        </row>
        <row r="51">
          <cell r="D51">
            <v>-18585174</v>
          </cell>
        </row>
        <row r="52">
          <cell r="D52">
            <v>18585174</v>
          </cell>
        </row>
        <row r="53">
          <cell r="D53">
            <v>3268000</v>
          </cell>
        </row>
        <row r="54">
          <cell r="D54">
            <v>295148.92</v>
          </cell>
        </row>
        <row r="55">
          <cell r="D55">
            <v>15022025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valdfunkc"/>
      <sheetName val="janvāris"/>
      <sheetName val="februāris"/>
      <sheetName val="marts"/>
      <sheetName val="aprīlis"/>
      <sheetName val="maijs"/>
      <sheetName val="Sheet1"/>
    </sheetNames>
    <sheetDataSet>
      <sheetData sheetId="3">
        <row r="11">
          <cell r="D11">
            <v>18884595.4</v>
          </cell>
        </row>
        <row r="12">
          <cell r="D12">
            <v>10933437.3</v>
          </cell>
        </row>
        <row r="13">
          <cell r="D13">
            <v>25309286.6</v>
          </cell>
        </row>
        <row r="14">
          <cell r="D14">
            <v>21005642.5</v>
          </cell>
        </row>
        <row r="15">
          <cell r="D15">
            <v>15033551</v>
          </cell>
        </row>
        <row r="16">
          <cell r="D16">
            <v>20394335.5</v>
          </cell>
        </row>
        <row r="17">
          <cell r="D17">
            <v>1673002.3</v>
          </cell>
        </row>
        <row r="18">
          <cell r="D18">
            <v>5663618.9</v>
          </cell>
        </row>
        <row r="19">
          <cell r="D19">
            <v>44183.6</v>
          </cell>
        </row>
        <row r="20">
          <cell r="D20">
            <v>14049419</v>
          </cell>
        </row>
        <row r="21">
          <cell r="D21">
            <v>171332.2</v>
          </cell>
        </row>
        <row r="22">
          <cell r="D22">
            <v>1681310.9</v>
          </cell>
        </row>
        <row r="23">
          <cell r="D23">
            <v>3723818.7</v>
          </cell>
        </row>
        <row r="24">
          <cell r="D24">
            <v>48350219</v>
          </cell>
        </row>
        <row r="25">
          <cell r="D25">
            <v>12632419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Janvāris"/>
      <sheetName val="Februāris"/>
      <sheetName val="Marts"/>
      <sheetName val="Aprīlis"/>
      <sheetName val="Maijs"/>
    </sheetNames>
    <sheetDataSet>
      <sheetData sheetId="2">
        <row r="17">
          <cell r="C17">
            <v>24474015</v>
          </cell>
        </row>
      </sheetData>
      <sheetData sheetId="3">
        <row r="20">
          <cell r="D20">
            <v>659802</v>
          </cell>
        </row>
        <row r="27">
          <cell r="D27">
            <v>976509</v>
          </cell>
        </row>
        <row r="39">
          <cell r="D39">
            <v>796565</v>
          </cell>
        </row>
        <row r="44">
          <cell r="D44">
            <v>57211</v>
          </cell>
        </row>
        <row r="50">
          <cell r="D50">
            <v>758660</v>
          </cell>
        </row>
        <row r="57">
          <cell r="D57">
            <v>625980</v>
          </cell>
        </row>
        <row r="69">
          <cell r="D69">
            <v>261250</v>
          </cell>
        </row>
        <row r="78">
          <cell r="D78">
            <v>3141852</v>
          </cell>
        </row>
        <row r="79">
          <cell r="D79">
            <v>11413595</v>
          </cell>
        </row>
        <row r="80">
          <cell r="D80">
            <v>13872</v>
          </cell>
        </row>
        <row r="81">
          <cell r="D81">
            <v>723238</v>
          </cell>
        </row>
        <row r="89">
          <cell r="D89">
            <v>195542</v>
          </cell>
        </row>
        <row r="95">
          <cell r="D95">
            <v>646233</v>
          </cell>
        </row>
        <row r="103">
          <cell r="D103">
            <v>24442747</v>
          </cell>
        </row>
        <row r="104">
          <cell r="D104">
            <v>18599001</v>
          </cell>
        </row>
        <row r="105">
          <cell r="D105">
            <v>784839</v>
          </cell>
        </row>
        <row r="114">
          <cell r="D114">
            <v>155724822</v>
          </cell>
        </row>
        <row r="170">
          <cell r="D170">
            <v>2030585</v>
          </cell>
        </row>
        <row r="171">
          <cell r="D171">
            <v>158132</v>
          </cell>
        </row>
        <row r="172">
          <cell r="D172">
            <v>33276</v>
          </cell>
        </row>
        <row r="178">
          <cell r="D178">
            <v>587847</v>
          </cell>
        </row>
        <row r="184">
          <cell r="D184">
            <v>15385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Janvāris"/>
      <sheetName val="Februāris"/>
      <sheetName val="Marts"/>
      <sheetName val="Aprīlis"/>
      <sheetName val="Sheet2"/>
      <sheetName val="Sheet1"/>
      <sheetName val="Maijs"/>
    </sheetNames>
    <sheetDataSet>
      <sheetData sheetId="3">
        <row r="7">
          <cell r="C7">
            <v>168118746</v>
          </cell>
          <cell r="D7">
            <v>44529691</v>
          </cell>
          <cell r="E7">
            <v>787889</v>
          </cell>
          <cell r="F7">
            <v>48960</v>
          </cell>
          <cell r="G7">
            <v>40195</v>
          </cell>
          <cell r="I7">
            <v>20521165</v>
          </cell>
          <cell r="K7">
            <v>642724</v>
          </cell>
          <cell r="L7">
            <v>146467</v>
          </cell>
          <cell r="N7">
            <v>669694</v>
          </cell>
          <cell r="O7">
            <v>567279</v>
          </cell>
          <cell r="P7">
            <v>38566</v>
          </cell>
          <cell r="Q7">
            <v>595260</v>
          </cell>
          <cell r="W7">
            <v>245754</v>
          </cell>
          <cell r="X7">
            <v>13379</v>
          </cell>
        </row>
        <row r="9">
          <cell r="Z9">
            <v>11106437</v>
          </cell>
        </row>
        <row r="10">
          <cell r="Z10">
            <v>423349</v>
          </cell>
        </row>
        <row r="11">
          <cell r="Z11">
            <v>107511</v>
          </cell>
        </row>
        <row r="12">
          <cell r="Z12">
            <v>8601738</v>
          </cell>
        </row>
        <row r="15">
          <cell r="Z15">
            <v>1973839</v>
          </cell>
        </row>
        <row r="16">
          <cell r="Z16">
            <v>3514203</v>
          </cell>
        </row>
        <row r="17">
          <cell r="Z17">
            <v>2324696</v>
          </cell>
        </row>
        <row r="18">
          <cell r="Z18">
            <v>1189507</v>
          </cell>
        </row>
        <row r="20">
          <cell r="Z20">
            <v>1695906</v>
          </cell>
        </row>
        <row r="21">
          <cell r="Z21">
            <v>4888963</v>
          </cell>
        </row>
        <row r="23">
          <cell r="Z23">
            <v>48253551</v>
          </cell>
        </row>
        <row r="29">
          <cell r="Z29">
            <v>5011</v>
          </cell>
        </row>
        <row r="31">
          <cell r="Z31">
            <v>4161162</v>
          </cell>
        </row>
        <row r="32">
          <cell r="Z32">
            <v>1320038</v>
          </cell>
        </row>
        <row r="33">
          <cell r="O33">
            <v>2569307</v>
          </cell>
        </row>
        <row r="34">
          <cell r="Z34">
            <v>2649836</v>
          </cell>
        </row>
        <row r="35">
          <cell r="Z35">
            <v>-80529</v>
          </cell>
        </row>
        <row r="39">
          <cell r="Z39">
            <v>15175779</v>
          </cell>
        </row>
        <row r="43">
          <cell r="Z43">
            <v>8270078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Janvāris"/>
      <sheetName val="Februāris"/>
      <sheetName val="Marts"/>
      <sheetName val="Aprīlis"/>
      <sheetName val="Maijs"/>
      <sheetName val="Sheet1"/>
    </sheetNames>
    <sheetDataSet>
      <sheetData sheetId="2">
        <row r="11">
          <cell r="D11">
            <v>163164860</v>
          </cell>
        </row>
        <row r="13">
          <cell r="D13">
            <v>445526</v>
          </cell>
        </row>
        <row r="14">
          <cell r="D14">
            <v>576290</v>
          </cell>
        </row>
        <row r="17">
          <cell r="D17">
            <v>7919978</v>
          </cell>
        </row>
        <row r="18">
          <cell r="D18">
            <v>303507</v>
          </cell>
        </row>
        <row r="19">
          <cell r="D19">
            <v>75112</v>
          </cell>
        </row>
        <row r="20">
          <cell r="D20">
            <v>6740302</v>
          </cell>
        </row>
        <row r="21">
          <cell r="D21">
            <v>801057</v>
          </cell>
        </row>
        <row r="22">
          <cell r="D22">
            <v>1904217</v>
          </cell>
        </row>
        <row r="23">
          <cell r="D23">
            <v>1180834</v>
          </cell>
        </row>
        <row r="24">
          <cell r="D24">
            <v>723383</v>
          </cell>
        </row>
        <row r="25">
          <cell r="D25">
            <v>157580857</v>
          </cell>
        </row>
        <row r="26">
          <cell r="D26">
            <v>1126629</v>
          </cell>
        </row>
        <row r="27">
          <cell r="D27">
            <v>630983</v>
          </cell>
        </row>
        <row r="28">
          <cell r="D28">
            <v>3821785</v>
          </cell>
        </row>
        <row r="29">
          <cell r="D29">
            <v>2719663</v>
          </cell>
        </row>
        <row r="30">
          <cell r="D30">
            <v>1102122</v>
          </cell>
        </row>
        <row r="31">
          <cell r="D31">
            <v>541404</v>
          </cell>
        </row>
        <row r="32">
          <cell r="D32">
            <v>560718</v>
          </cell>
        </row>
        <row r="33">
          <cell r="D33">
            <v>0</v>
          </cell>
        </row>
        <row r="34">
          <cell r="D34">
            <v>34202895</v>
          </cell>
        </row>
        <row r="35">
          <cell r="D35">
            <v>118124237</v>
          </cell>
        </row>
        <row r="36">
          <cell r="D36">
            <v>108795763</v>
          </cell>
        </row>
        <row r="37">
          <cell r="D37">
            <v>9019647</v>
          </cell>
        </row>
        <row r="38">
          <cell r="D38">
            <v>215981</v>
          </cell>
        </row>
        <row r="39">
          <cell r="D39">
            <v>92846</v>
          </cell>
        </row>
        <row r="40">
          <cell r="D40">
            <v>5011</v>
          </cell>
        </row>
        <row r="41">
          <cell r="D41">
            <v>300300</v>
          </cell>
        </row>
        <row r="42">
          <cell r="D42">
            <v>4764601</v>
          </cell>
        </row>
        <row r="43">
          <cell r="D43">
            <v>3825475</v>
          </cell>
        </row>
        <row r="44">
          <cell r="D44">
            <v>939126</v>
          </cell>
        </row>
        <row r="45">
          <cell r="D45">
            <v>1973327</v>
          </cell>
        </row>
        <row r="46">
          <cell r="D46">
            <v>2039041</v>
          </cell>
        </row>
        <row r="47">
          <cell r="D47">
            <v>65714</v>
          </cell>
        </row>
        <row r="49">
          <cell r="D49">
            <v>9956304</v>
          </cell>
        </row>
        <row r="50">
          <cell r="D50">
            <v>14653149</v>
          </cell>
        </row>
        <row r="51">
          <cell r="D51">
            <v>-4696845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Janvāris"/>
      <sheetName val="Februāris"/>
      <sheetName val="Marts"/>
      <sheetName val="Aprīlis"/>
      <sheetName val="Maijs"/>
      <sheetName val="Sheet1"/>
      <sheetName val="Sheet3"/>
    </sheetNames>
    <sheetDataSet>
      <sheetData sheetId="2">
        <row r="9">
          <cell r="D9">
            <v>174142980</v>
          </cell>
        </row>
        <row r="10">
          <cell r="D10">
            <v>27893</v>
          </cell>
        </row>
        <row r="13">
          <cell r="D13">
            <v>2249277</v>
          </cell>
        </row>
        <row r="14">
          <cell r="D14">
            <v>1973327</v>
          </cell>
        </row>
        <row r="15">
          <cell r="D15">
            <v>32063344</v>
          </cell>
        </row>
        <row r="16">
          <cell r="D16">
            <v>121951690</v>
          </cell>
        </row>
        <row r="17">
          <cell r="D17">
            <v>512908</v>
          </cell>
        </row>
        <row r="18">
          <cell r="D18">
            <v>1105847</v>
          </cell>
        </row>
        <row r="20">
          <cell r="D20">
            <v>65030</v>
          </cell>
        </row>
        <row r="22">
          <cell r="D22">
            <v>15446140</v>
          </cell>
        </row>
        <row r="23">
          <cell r="D23">
            <v>720851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janvāris"/>
      <sheetName val="februāris"/>
      <sheetName val="febr"/>
      <sheetName val="marts"/>
      <sheetName val="aprīlis"/>
      <sheetName val="maijs"/>
      <sheetName val="Natalija"/>
      <sheetName val="m"/>
      <sheetName val="darbam"/>
      <sheetName val="Sheet3"/>
      <sheetName val="darbamjanv"/>
      <sheetName val="Ieva"/>
      <sheetName val="Sheet2"/>
    </sheetNames>
    <sheetDataSet>
      <sheetData sheetId="3">
        <row r="9">
          <cell r="H9">
            <v>1017</v>
          </cell>
        </row>
        <row r="10">
          <cell r="C10">
            <v>943458</v>
          </cell>
          <cell r="H10">
            <v>943</v>
          </cell>
        </row>
        <row r="11">
          <cell r="C11">
            <v>72</v>
          </cell>
          <cell r="H11">
            <v>74</v>
          </cell>
        </row>
        <row r="13">
          <cell r="C13">
            <v>889888</v>
          </cell>
          <cell r="H13">
            <v>964</v>
          </cell>
        </row>
        <row r="14">
          <cell r="C14">
            <v>795927</v>
          </cell>
          <cell r="H14">
            <v>870</v>
          </cell>
        </row>
        <row r="15">
          <cell r="C15">
            <v>672259</v>
          </cell>
          <cell r="H15">
            <v>747</v>
          </cell>
        </row>
        <row r="16">
          <cell r="C16">
            <v>128488</v>
          </cell>
          <cell r="H16">
            <v>128</v>
          </cell>
        </row>
        <row r="17">
          <cell r="C17">
            <v>18016</v>
          </cell>
          <cell r="H17">
            <v>18</v>
          </cell>
        </row>
        <row r="18">
          <cell r="C18">
            <v>525755</v>
          </cell>
          <cell r="H18">
            <v>601</v>
          </cell>
        </row>
        <row r="19">
          <cell r="C19">
            <v>430704</v>
          </cell>
          <cell r="H19">
            <v>506</v>
          </cell>
        </row>
        <row r="20">
          <cell r="C20">
            <v>95051</v>
          </cell>
          <cell r="H20">
            <v>95</v>
          </cell>
        </row>
        <row r="25">
          <cell r="C25">
            <v>123668</v>
          </cell>
          <cell r="H25">
            <v>123</v>
          </cell>
        </row>
        <row r="26">
          <cell r="C26">
            <v>4100</v>
          </cell>
          <cell r="H26">
            <v>4</v>
          </cell>
        </row>
        <row r="27">
          <cell r="C27">
            <v>300</v>
          </cell>
        </row>
        <row r="29">
          <cell r="C29">
            <v>41002</v>
          </cell>
          <cell r="H29">
            <v>41</v>
          </cell>
        </row>
        <row r="30">
          <cell r="C30">
            <v>78266</v>
          </cell>
          <cell r="H30">
            <v>78</v>
          </cell>
        </row>
        <row r="31">
          <cell r="C31">
            <v>93961</v>
          </cell>
          <cell r="H31">
            <v>94</v>
          </cell>
        </row>
        <row r="32">
          <cell r="C32">
            <v>93961</v>
          </cell>
          <cell r="H32">
            <v>94</v>
          </cell>
        </row>
        <row r="33">
          <cell r="H33">
            <v>0</v>
          </cell>
        </row>
        <row r="34">
          <cell r="C34">
            <v>53642</v>
          </cell>
          <cell r="H34">
            <v>53</v>
          </cell>
        </row>
        <row r="35">
          <cell r="C35">
            <v>-53642</v>
          </cell>
          <cell r="H35">
            <v>-53</v>
          </cell>
        </row>
        <row r="36">
          <cell r="H36">
            <v>-53</v>
          </cell>
        </row>
      </sheetData>
      <sheetData sheetId="8">
        <row r="17">
          <cell r="B17">
            <v>128488</v>
          </cell>
        </row>
        <row r="18">
          <cell r="B18">
            <v>18016</v>
          </cell>
        </row>
        <row r="19">
          <cell r="B19">
            <v>810638</v>
          </cell>
        </row>
        <row r="20">
          <cell r="B20">
            <v>583163</v>
          </cell>
        </row>
        <row r="21">
          <cell r="B21">
            <v>95051</v>
          </cell>
        </row>
        <row r="22">
          <cell r="B22">
            <v>0</v>
          </cell>
        </row>
        <row r="23">
          <cell r="B23">
            <v>0</v>
          </cell>
        </row>
        <row r="24">
          <cell r="B24">
            <v>0</v>
          </cell>
        </row>
        <row r="25">
          <cell r="B25">
            <v>0</v>
          </cell>
        </row>
        <row r="28">
          <cell r="B28">
            <v>4100</v>
          </cell>
        </row>
        <row r="29">
          <cell r="B29">
            <v>300</v>
          </cell>
        </row>
        <row r="30">
          <cell r="B30">
            <v>0</v>
          </cell>
        </row>
        <row r="31">
          <cell r="B31">
            <v>41002</v>
          </cell>
        </row>
        <row r="32">
          <cell r="B32">
            <v>78266</v>
          </cell>
        </row>
        <row r="35">
          <cell r="B35">
            <v>93961</v>
          </cell>
        </row>
        <row r="36">
          <cell r="B3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0"/>
  <sheetViews>
    <sheetView workbookViewId="0" topLeftCell="A3">
      <selection activeCell="B4" sqref="B4"/>
    </sheetView>
  </sheetViews>
  <sheetFormatPr defaultColWidth="9.140625" defaultRowHeight="12.75"/>
  <cols>
    <col min="1" max="1" width="43.421875" style="1" customWidth="1"/>
    <col min="2" max="2" width="11.8515625" style="1" customWidth="1"/>
    <col min="3" max="3" width="13.421875" style="1" customWidth="1"/>
    <col min="4" max="4" width="11.421875" style="1" customWidth="1"/>
    <col min="5" max="5" width="12.7109375" style="1" customWidth="1"/>
  </cols>
  <sheetData>
    <row r="1" ht="12.75" customHeight="1" hidden="1">
      <c r="E1" s="2"/>
    </row>
    <row r="2" ht="12.75" customHeight="1" hidden="1">
      <c r="E2" s="2"/>
    </row>
    <row r="3" spans="1:5" ht="12.75">
      <c r="A3" s="752" t="s">
        <v>44</v>
      </c>
      <c r="B3" s="752"/>
      <c r="C3" s="752"/>
      <c r="E3" s="2"/>
    </row>
    <row r="4" ht="12.75">
      <c r="E4" s="2"/>
    </row>
    <row r="5" spans="1:5" ht="11.25" customHeight="1">
      <c r="A5" s="4"/>
      <c r="B5" s="4"/>
      <c r="C5" s="4"/>
      <c r="D5" s="4"/>
      <c r="E5" s="4"/>
    </row>
    <row r="6" spans="1:5" s="5" customFormat="1" ht="36.75" customHeight="1">
      <c r="A6" s="753" t="s">
        <v>45</v>
      </c>
      <c r="B6" s="753"/>
      <c r="C6" s="753"/>
      <c r="D6" s="753"/>
      <c r="E6" s="753"/>
    </row>
    <row r="7" spans="1:5" s="5" customFormat="1" ht="14.25">
      <c r="A7" s="754" t="s">
        <v>18</v>
      </c>
      <c r="B7" s="754"/>
      <c r="C7" s="754"/>
      <c r="D7" s="754"/>
      <c r="E7" s="754"/>
    </row>
    <row r="8" ht="10.5" customHeight="1"/>
    <row r="9" spans="1:5" ht="12.75">
      <c r="A9" s="7"/>
      <c r="E9" s="2" t="s">
        <v>46</v>
      </c>
    </row>
    <row r="10" spans="1:5" ht="31.5" customHeight="1">
      <c r="A10" s="8" t="s">
        <v>47</v>
      </c>
      <c r="B10" s="9" t="s">
        <v>48</v>
      </c>
      <c r="C10" s="9" t="s">
        <v>49</v>
      </c>
      <c r="D10" s="9" t="s">
        <v>50</v>
      </c>
      <c r="E10" s="9" t="s">
        <v>22</v>
      </c>
    </row>
    <row r="11" spans="1:5" ht="12.75">
      <c r="A11" s="10" t="s">
        <v>51</v>
      </c>
      <c r="B11" s="11">
        <v>557513</v>
      </c>
      <c r="C11" s="12">
        <v>185881</v>
      </c>
      <c r="D11" s="11">
        <v>743394</v>
      </c>
      <c r="E11" s="11">
        <v>164796</v>
      </c>
    </row>
    <row r="12" spans="1:5" ht="22.5">
      <c r="A12" s="13" t="s">
        <v>52</v>
      </c>
      <c r="B12" s="14" t="s">
        <v>53</v>
      </c>
      <c r="C12" s="14" t="s">
        <v>53</v>
      </c>
      <c r="D12" s="15">
        <v>46991</v>
      </c>
      <c r="E12" s="15">
        <v>10171</v>
      </c>
    </row>
    <row r="13" spans="1:5" ht="22.5">
      <c r="A13" s="13" t="s">
        <v>54</v>
      </c>
      <c r="B13" s="14" t="s">
        <v>53</v>
      </c>
      <c r="C13" s="14" t="s">
        <v>53</v>
      </c>
      <c r="D13" s="15">
        <v>5148</v>
      </c>
      <c r="E13" s="15">
        <v>920</v>
      </c>
    </row>
    <row r="14" spans="1:5" ht="12.75">
      <c r="A14" s="16" t="s">
        <v>55</v>
      </c>
      <c r="B14" s="17" t="s">
        <v>53</v>
      </c>
      <c r="C14" s="17" t="s">
        <v>53</v>
      </c>
      <c r="D14" s="11">
        <v>691255</v>
      </c>
      <c r="E14" s="11">
        <v>153705</v>
      </c>
    </row>
    <row r="15" spans="1:5" ht="12.75">
      <c r="A15" s="10" t="s">
        <v>56</v>
      </c>
      <c r="B15" s="11">
        <v>580774</v>
      </c>
      <c r="C15" s="12">
        <v>190382</v>
      </c>
      <c r="D15" s="11">
        <v>771156</v>
      </c>
      <c r="E15" s="11">
        <v>166800</v>
      </c>
    </row>
    <row r="16" spans="1:5" ht="22.5">
      <c r="A16" s="13" t="s">
        <v>57</v>
      </c>
      <c r="B16" s="14" t="s">
        <v>53</v>
      </c>
      <c r="C16" s="14" t="s">
        <v>53</v>
      </c>
      <c r="D16" s="15">
        <v>46991</v>
      </c>
      <c r="E16" s="15">
        <v>10171</v>
      </c>
    </row>
    <row r="17" spans="1:5" ht="22.5">
      <c r="A17" s="13" t="s">
        <v>58</v>
      </c>
      <c r="B17" s="14" t="s">
        <v>53</v>
      </c>
      <c r="C17" s="14" t="s">
        <v>53</v>
      </c>
      <c r="D17" s="15">
        <v>5148</v>
      </c>
      <c r="E17" s="15">
        <v>920</v>
      </c>
    </row>
    <row r="18" spans="1:5" ht="12.75">
      <c r="A18" s="16" t="s">
        <v>59</v>
      </c>
      <c r="B18" s="17" t="s">
        <v>53</v>
      </c>
      <c r="C18" s="17" t="s">
        <v>53</v>
      </c>
      <c r="D18" s="11">
        <v>719017</v>
      </c>
      <c r="E18" s="11">
        <v>155709</v>
      </c>
    </row>
    <row r="19" spans="1:5" ht="12.75">
      <c r="A19" s="16" t="s">
        <v>60</v>
      </c>
      <c r="B19" s="11">
        <v>-23261</v>
      </c>
      <c r="C19" s="12">
        <v>-4501</v>
      </c>
      <c r="D19" s="11">
        <v>-27762</v>
      </c>
      <c r="E19" s="11">
        <v>-2004</v>
      </c>
    </row>
    <row r="20" spans="1:5" ht="12.75">
      <c r="A20" s="18" t="s">
        <v>61</v>
      </c>
      <c r="B20" s="12">
        <v>812</v>
      </c>
      <c r="C20" s="12">
        <v>-2389</v>
      </c>
      <c r="D20" s="12">
        <v>-618</v>
      </c>
      <c r="E20" s="12">
        <v>-372</v>
      </c>
    </row>
    <row r="21" spans="1:5" ht="12.75">
      <c r="A21" s="19" t="s">
        <v>62</v>
      </c>
      <c r="B21" s="20">
        <v>10944</v>
      </c>
      <c r="C21" s="21">
        <v>431</v>
      </c>
      <c r="D21" s="20">
        <v>11375</v>
      </c>
      <c r="E21" s="20">
        <v>1453</v>
      </c>
    </row>
    <row r="22" spans="1:5" ht="22.5">
      <c r="A22" s="13" t="s">
        <v>63</v>
      </c>
      <c r="B22" s="14" t="s">
        <v>53</v>
      </c>
      <c r="C22" s="14" t="s">
        <v>53</v>
      </c>
      <c r="D22" s="15">
        <v>5297</v>
      </c>
      <c r="E22" s="15">
        <v>503</v>
      </c>
    </row>
    <row r="23" spans="1:5" ht="12.75">
      <c r="A23" s="18" t="s">
        <v>64</v>
      </c>
      <c r="B23" s="17" t="s">
        <v>53</v>
      </c>
      <c r="C23" s="17" t="s">
        <v>53</v>
      </c>
      <c r="D23" s="11">
        <v>6078</v>
      </c>
      <c r="E23" s="11">
        <v>950</v>
      </c>
    </row>
    <row r="24" spans="1:5" ht="12.75">
      <c r="A24" s="19" t="s">
        <v>65</v>
      </c>
      <c r="B24" s="20">
        <v>10132</v>
      </c>
      <c r="C24" s="21">
        <v>2820</v>
      </c>
      <c r="D24" s="20">
        <v>12952</v>
      </c>
      <c r="E24" s="20">
        <v>2258</v>
      </c>
    </row>
    <row r="25" spans="1:5" ht="22.5">
      <c r="A25" s="13" t="s">
        <v>66</v>
      </c>
      <c r="B25" s="22" t="s">
        <v>53</v>
      </c>
      <c r="C25" s="22" t="s">
        <v>53</v>
      </c>
      <c r="D25" s="15">
        <v>6256</v>
      </c>
      <c r="E25" s="15">
        <v>936</v>
      </c>
    </row>
    <row r="26" spans="1:5" ht="12.75">
      <c r="A26" s="18" t="s">
        <v>67</v>
      </c>
      <c r="B26" s="17" t="s">
        <v>53</v>
      </c>
      <c r="C26" s="17" t="s">
        <v>53</v>
      </c>
      <c r="D26" s="11">
        <v>6696</v>
      </c>
      <c r="E26" s="11">
        <v>1322</v>
      </c>
    </row>
    <row r="27" spans="1:5" ht="12.75">
      <c r="A27" s="16" t="s">
        <v>68</v>
      </c>
      <c r="B27" s="12">
        <v>-24073</v>
      </c>
      <c r="C27" s="12">
        <v>-2112</v>
      </c>
      <c r="D27" s="11">
        <v>-27144</v>
      </c>
      <c r="E27" s="11">
        <v>-1632</v>
      </c>
    </row>
    <row r="28" spans="1:5" ht="12.75">
      <c r="A28" s="10" t="s">
        <v>69</v>
      </c>
      <c r="B28" s="11">
        <v>24073</v>
      </c>
      <c r="C28" s="12">
        <v>2112</v>
      </c>
      <c r="D28" s="11">
        <v>27144</v>
      </c>
      <c r="E28" s="11">
        <v>1632</v>
      </c>
    </row>
    <row r="29" spans="1:5" ht="12.75">
      <c r="A29" s="10" t="s">
        <v>70</v>
      </c>
      <c r="B29" s="11">
        <v>29940</v>
      </c>
      <c r="C29" s="12">
        <v>2112</v>
      </c>
      <c r="D29" s="12">
        <v>33011</v>
      </c>
      <c r="E29" s="12">
        <v>6733</v>
      </c>
    </row>
    <row r="30" spans="1:5" ht="12.75">
      <c r="A30" s="23" t="s">
        <v>71</v>
      </c>
      <c r="B30" s="24">
        <v>0</v>
      </c>
      <c r="C30" s="24">
        <v>-959</v>
      </c>
      <c r="D30" s="24">
        <v>0</v>
      </c>
      <c r="E30" s="24">
        <v>0</v>
      </c>
    </row>
    <row r="31" spans="1:5" ht="12.75">
      <c r="A31" s="13" t="s">
        <v>72</v>
      </c>
      <c r="B31" s="15"/>
      <c r="C31" s="25"/>
      <c r="D31" s="15">
        <v>0</v>
      </c>
      <c r="E31" s="15">
        <v>0</v>
      </c>
    </row>
    <row r="32" spans="1:5" ht="12.75">
      <c r="A32" s="13" t="s">
        <v>73</v>
      </c>
      <c r="B32" s="15"/>
      <c r="C32" s="25">
        <v>-959</v>
      </c>
      <c r="D32" s="15">
        <v>-959</v>
      </c>
      <c r="E32" s="15">
        <v>-433</v>
      </c>
    </row>
    <row r="33" spans="1:5" ht="12.75">
      <c r="A33" s="26" t="s">
        <v>74</v>
      </c>
      <c r="B33" s="22" t="s">
        <v>53</v>
      </c>
      <c r="C33" s="22" t="s">
        <v>53</v>
      </c>
      <c r="D33" s="27">
        <v>959</v>
      </c>
      <c r="E33" s="27">
        <v>433</v>
      </c>
    </row>
    <row r="34" spans="1:5" ht="12.75">
      <c r="A34" s="13" t="s">
        <v>75</v>
      </c>
      <c r="B34" s="22" t="s">
        <v>53</v>
      </c>
      <c r="C34" s="22" t="s">
        <v>53</v>
      </c>
      <c r="D34" s="27"/>
      <c r="E34" s="27">
        <v>0</v>
      </c>
    </row>
    <row r="35" spans="1:5" ht="12.75">
      <c r="A35" s="28" t="s">
        <v>76</v>
      </c>
      <c r="B35" s="27">
        <v>-23869</v>
      </c>
      <c r="C35" s="24">
        <v>0</v>
      </c>
      <c r="D35" s="27">
        <v>-23869</v>
      </c>
      <c r="E35" s="27">
        <v>5393</v>
      </c>
    </row>
    <row r="36" spans="1:5" ht="12.75">
      <c r="A36" s="29" t="s">
        <v>77</v>
      </c>
      <c r="B36" s="15">
        <v>-10154</v>
      </c>
      <c r="C36" s="25"/>
      <c r="D36" s="15">
        <v>-10154</v>
      </c>
      <c r="E36" s="15">
        <v>9052</v>
      </c>
    </row>
    <row r="37" spans="1:5" ht="12.75">
      <c r="A37" s="29" t="s">
        <v>78</v>
      </c>
      <c r="B37" s="15">
        <v>9527</v>
      </c>
      <c r="C37" s="25"/>
      <c r="D37" s="15">
        <v>9527</v>
      </c>
      <c r="E37" s="15">
        <v>720</v>
      </c>
    </row>
    <row r="38" spans="1:5" ht="22.5">
      <c r="A38" s="29" t="s">
        <v>79</v>
      </c>
      <c r="B38" s="15">
        <v>-5512</v>
      </c>
      <c r="C38" s="25"/>
      <c r="D38" s="15">
        <v>-5512</v>
      </c>
      <c r="E38" s="15">
        <v>-4393</v>
      </c>
    </row>
    <row r="39" spans="1:5" ht="12.75">
      <c r="A39" s="29" t="s">
        <v>80</v>
      </c>
      <c r="B39" s="15">
        <v>-17730</v>
      </c>
      <c r="C39" s="25"/>
      <c r="D39" s="15">
        <v>-17730</v>
      </c>
      <c r="E39" s="15">
        <v>14</v>
      </c>
    </row>
    <row r="40" spans="1:5" ht="12.75">
      <c r="A40" s="30" t="s">
        <v>81</v>
      </c>
      <c r="B40" s="27">
        <v>-21851</v>
      </c>
      <c r="C40" s="25">
        <v>-11994</v>
      </c>
      <c r="D40" s="27">
        <v>-33845</v>
      </c>
      <c r="E40" s="27">
        <v>-19368</v>
      </c>
    </row>
    <row r="41" spans="1:5" ht="12.75">
      <c r="A41" s="31" t="s">
        <v>82</v>
      </c>
      <c r="B41" s="15"/>
      <c r="C41" s="25">
        <v>-100</v>
      </c>
      <c r="D41" s="15">
        <v>-100</v>
      </c>
      <c r="E41" s="15">
        <v>-41</v>
      </c>
    </row>
    <row r="42" spans="1:5" ht="12.75">
      <c r="A42" s="29" t="s">
        <v>77</v>
      </c>
      <c r="B42" s="15">
        <v>-49682</v>
      </c>
      <c r="C42" s="25"/>
      <c r="D42" s="15">
        <v>-49682</v>
      </c>
      <c r="E42" s="15">
        <v>-20148</v>
      </c>
    </row>
    <row r="43" spans="1:5" ht="12.75">
      <c r="A43" s="29" t="s">
        <v>78</v>
      </c>
      <c r="B43" s="15">
        <v>-828</v>
      </c>
      <c r="C43" s="25">
        <v>-11894</v>
      </c>
      <c r="D43" s="15">
        <v>-12722</v>
      </c>
      <c r="E43" s="15">
        <v>-1417</v>
      </c>
    </row>
    <row r="44" spans="1:5" ht="22.5">
      <c r="A44" s="29" t="s">
        <v>79</v>
      </c>
      <c r="B44" s="15">
        <v>-39</v>
      </c>
      <c r="C44" s="25"/>
      <c r="D44" s="15">
        <v>-39</v>
      </c>
      <c r="E44" s="15">
        <v>125</v>
      </c>
    </row>
    <row r="45" spans="1:5" ht="12.75">
      <c r="A45" s="29" t="s">
        <v>80</v>
      </c>
      <c r="B45" s="15">
        <v>28698</v>
      </c>
      <c r="C45" s="25"/>
      <c r="D45" s="15">
        <v>28698</v>
      </c>
      <c r="E45" s="15">
        <v>2113</v>
      </c>
    </row>
    <row r="46" spans="1:5" ht="12.75">
      <c r="A46" s="30" t="s">
        <v>83</v>
      </c>
      <c r="B46" s="27">
        <v>75660</v>
      </c>
      <c r="C46" s="27">
        <v>15065</v>
      </c>
      <c r="D46" s="15">
        <v>90725</v>
      </c>
      <c r="E46" s="15">
        <v>20708</v>
      </c>
    </row>
    <row r="47" spans="1:5" ht="22.5">
      <c r="A47" s="29" t="s">
        <v>84</v>
      </c>
      <c r="B47" s="27">
        <v>3748</v>
      </c>
      <c r="C47" s="24">
        <v>3914</v>
      </c>
      <c r="D47" s="15">
        <v>7662</v>
      </c>
      <c r="E47" s="15">
        <v>854</v>
      </c>
    </row>
    <row r="48" spans="1:5" ht="22.5" customHeight="1">
      <c r="A48" s="29" t="s">
        <v>85</v>
      </c>
      <c r="B48" s="27">
        <v>55945</v>
      </c>
      <c r="C48" s="24"/>
      <c r="D48" s="15">
        <v>55945</v>
      </c>
      <c r="E48" s="15">
        <v>14629</v>
      </c>
    </row>
    <row r="49" spans="1:5" ht="12.75">
      <c r="A49" s="29" t="s">
        <v>86</v>
      </c>
      <c r="B49" s="27">
        <v>15967</v>
      </c>
      <c r="C49" s="24">
        <v>11151</v>
      </c>
      <c r="D49" s="15">
        <v>27118</v>
      </c>
      <c r="E49" s="15">
        <v>5225</v>
      </c>
    </row>
    <row r="50" spans="1:5" ht="12.75">
      <c r="A50" s="32" t="s">
        <v>87</v>
      </c>
      <c r="B50" s="11">
        <v>-5867</v>
      </c>
      <c r="C50" s="12"/>
      <c r="D50" s="11">
        <v>-5867</v>
      </c>
      <c r="E50" s="11">
        <v>-5101</v>
      </c>
    </row>
    <row r="51" spans="1:5" ht="12.75">
      <c r="A51" s="30" t="s">
        <v>88</v>
      </c>
      <c r="B51" s="15">
        <v>-4544</v>
      </c>
      <c r="C51" s="25"/>
      <c r="D51" s="27">
        <v>-4544</v>
      </c>
      <c r="E51" s="27">
        <v>-4459</v>
      </c>
    </row>
    <row r="52" spans="1:5" ht="12.75">
      <c r="A52" s="30" t="s">
        <v>89</v>
      </c>
      <c r="B52" s="15">
        <v>-1323</v>
      </c>
      <c r="C52" s="25"/>
      <c r="D52" s="27">
        <v>-1323</v>
      </c>
      <c r="E52" s="27">
        <v>-642</v>
      </c>
    </row>
    <row r="53" spans="1:5" s="38" customFormat="1" ht="11.25">
      <c r="A53" s="33"/>
      <c r="B53" s="34"/>
      <c r="C53" s="35"/>
      <c r="D53" s="36"/>
      <c r="E53" s="37"/>
    </row>
    <row r="54" spans="1:5" ht="12.75">
      <c r="A54" s="755"/>
      <c r="B54" s="755"/>
      <c r="C54" s="755"/>
      <c r="D54" s="755"/>
      <c r="E54" s="40"/>
    </row>
    <row r="56" spans="1:5" ht="12.75">
      <c r="A56" s="41" t="s">
        <v>27</v>
      </c>
      <c r="B56" s="39"/>
      <c r="C56" s="39"/>
      <c r="D56" s="39"/>
      <c r="E56" s="42"/>
    </row>
    <row r="57" spans="1:5" ht="12.75">
      <c r="A57" s="38"/>
      <c r="B57" s="38"/>
      <c r="C57" s="35"/>
      <c r="D57" s="43"/>
      <c r="E57" s="44"/>
    </row>
    <row r="58" spans="2:5" ht="12.75">
      <c r="B58" s="45"/>
      <c r="C58" s="46"/>
      <c r="D58" s="47"/>
      <c r="E58" s="40"/>
    </row>
    <row r="59" spans="1:5" ht="12.75">
      <c r="A59" s="38" t="s">
        <v>90</v>
      </c>
      <c r="B59" s="45"/>
      <c r="C59" s="46"/>
      <c r="D59" s="47"/>
      <c r="E59" s="40"/>
    </row>
    <row r="60" ht="12.75">
      <c r="A60" s="38" t="s">
        <v>19</v>
      </c>
    </row>
  </sheetData>
  <mergeCells count="4">
    <mergeCell ref="A3:C3"/>
    <mergeCell ref="A6:E6"/>
    <mergeCell ref="A7:E7"/>
    <mergeCell ref="A54:D54"/>
  </mergeCells>
  <printOptions/>
  <pageMargins left="0.75" right="0.27" top="0.25" bottom="0.2" header="0.5" footer="0.5"/>
  <pageSetup firstPageNumber="4" useFirstPageNumber="1" fitToHeight="1" fitToWidth="1" horizontalDpi="600" verticalDpi="600" orientation="portrait" paperSize="9" scale="95" r:id="rId1"/>
  <headerFooter alignWithMargins="0">
    <oddFooter>&amp;R&amp;9&amp;P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E159"/>
  <sheetViews>
    <sheetView workbookViewId="0" topLeftCell="A1">
      <selection activeCell="K52" sqref="K52"/>
    </sheetView>
  </sheetViews>
  <sheetFormatPr defaultColWidth="9.140625" defaultRowHeight="12.75"/>
  <cols>
    <col min="1" max="1" width="37.00390625" style="0" customWidth="1"/>
  </cols>
  <sheetData>
    <row r="1" spans="1:5" ht="12.75">
      <c r="A1" s="49"/>
      <c r="B1" s="51"/>
      <c r="C1" s="51"/>
      <c r="D1" s="51"/>
      <c r="E1" s="2" t="s">
        <v>519</v>
      </c>
    </row>
    <row r="2" spans="1:5" ht="12.75">
      <c r="A2" s="755" t="s">
        <v>218</v>
      </c>
      <c r="B2" s="755"/>
      <c r="C2" s="755"/>
      <c r="D2" s="755"/>
      <c r="E2" s="755"/>
    </row>
    <row r="3" spans="1:5" ht="12.75">
      <c r="A3" s="39"/>
      <c r="B3" s="39"/>
      <c r="C3" s="39"/>
      <c r="D3" s="39"/>
      <c r="E3" s="39"/>
    </row>
    <row r="4" spans="1:5" ht="15.75">
      <c r="A4" s="748" t="s">
        <v>520</v>
      </c>
      <c r="B4" s="748"/>
      <c r="C4" s="748"/>
      <c r="D4" s="748"/>
      <c r="E4" s="748"/>
    </row>
    <row r="5" spans="1:5" ht="12.75">
      <c r="A5" s="749" t="s">
        <v>29</v>
      </c>
      <c r="B5" s="749"/>
      <c r="C5" s="749"/>
      <c r="D5" s="749"/>
      <c r="E5" s="749"/>
    </row>
    <row r="6" spans="1:5" ht="12.75">
      <c r="A6" s="393"/>
      <c r="B6" s="393"/>
      <c r="C6" s="393"/>
      <c r="D6" s="393"/>
      <c r="E6" s="2" t="s">
        <v>94</v>
      </c>
    </row>
    <row r="7" spans="1:5" ht="60">
      <c r="A7" s="316" t="s">
        <v>47</v>
      </c>
      <c r="B7" s="395" t="s">
        <v>223</v>
      </c>
      <c r="C7" s="395" t="s">
        <v>96</v>
      </c>
      <c r="D7" s="395" t="s">
        <v>521</v>
      </c>
      <c r="E7" s="9" t="s">
        <v>40</v>
      </c>
    </row>
    <row r="8" spans="1:5" ht="12.75">
      <c r="A8" s="316">
        <v>1</v>
      </c>
      <c r="B8" s="271">
        <v>2</v>
      </c>
      <c r="C8" s="271">
        <v>3</v>
      </c>
      <c r="D8" s="271">
        <v>4</v>
      </c>
      <c r="E8" s="396">
        <v>5</v>
      </c>
    </row>
    <row r="9" spans="1:5" ht="15">
      <c r="A9" s="397" t="s">
        <v>227</v>
      </c>
      <c r="B9" s="398">
        <v>3360</v>
      </c>
      <c r="C9" s="398">
        <v>1691</v>
      </c>
      <c r="D9" s="399">
        <v>50.32738095238095</v>
      </c>
      <c r="E9" s="398">
        <v>398</v>
      </c>
    </row>
    <row r="10" spans="1:5" ht="15">
      <c r="A10" s="331" t="s">
        <v>522</v>
      </c>
      <c r="B10" s="400">
        <v>3742</v>
      </c>
      <c r="C10" s="400">
        <v>1673</v>
      </c>
      <c r="D10" s="399">
        <v>44.70871191876002</v>
      </c>
      <c r="E10" s="400">
        <v>387</v>
      </c>
    </row>
    <row r="11" spans="1:5" ht="14.25">
      <c r="A11" s="401" t="s">
        <v>234</v>
      </c>
      <c r="B11" s="402">
        <v>3336</v>
      </c>
      <c r="C11" s="402">
        <v>1518</v>
      </c>
      <c r="D11" s="403">
        <v>45.50359712230216</v>
      </c>
      <c r="E11" s="404">
        <v>348</v>
      </c>
    </row>
    <row r="12" spans="1:5" ht="14.25">
      <c r="A12" s="401" t="s">
        <v>235</v>
      </c>
      <c r="B12" s="402">
        <v>406</v>
      </c>
      <c r="C12" s="402">
        <v>155</v>
      </c>
      <c r="D12" s="403">
        <v>38.17733990147783</v>
      </c>
      <c r="E12" s="404">
        <v>39</v>
      </c>
    </row>
    <row r="13" spans="1:5" ht="12.75">
      <c r="A13" s="94" t="s">
        <v>239</v>
      </c>
      <c r="B13" s="405"/>
      <c r="C13" s="405"/>
      <c r="D13" s="403"/>
      <c r="E13" s="405"/>
    </row>
    <row r="14" spans="1:5" ht="12.75">
      <c r="A14" s="406" t="s">
        <v>396</v>
      </c>
      <c r="B14" s="405">
        <v>0</v>
      </c>
      <c r="C14" s="405">
        <v>0</v>
      </c>
      <c r="D14" s="403"/>
      <c r="E14" s="405">
        <v>0</v>
      </c>
    </row>
    <row r="15" spans="1:5" ht="12.75">
      <c r="A15" s="100" t="s">
        <v>240</v>
      </c>
      <c r="B15" s="405">
        <v>0</v>
      </c>
      <c r="C15" s="405">
        <v>0</v>
      </c>
      <c r="D15" s="403"/>
      <c r="E15" s="407">
        <v>0</v>
      </c>
    </row>
    <row r="16" spans="1:5" ht="12.75">
      <c r="A16" s="109" t="s">
        <v>234</v>
      </c>
      <c r="B16" s="407">
        <v>0</v>
      </c>
      <c r="C16" s="407">
        <v>0</v>
      </c>
      <c r="D16" s="403"/>
      <c r="E16" s="407">
        <v>0</v>
      </c>
    </row>
    <row r="17" spans="1:5" ht="12.75">
      <c r="A17" s="109" t="s">
        <v>235</v>
      </c>
      <c r="B17" s="407">
        <v>0</v>
      </c>
      <c r="C17" s="407">
        <v>0</v>
      </c>
      <c r="D17" s="403"/>
      <c r="E17" s="407">
        <v>0</v>
      </c>
    </row>
    <row r="18" spans="1:5" ht="12.75">
      <c r="A18" s="245" t="s">
        <v>242</v>
      </c>
      <c r="B18" s="405"/>
      <c r="C18" s="405"/>
      <c r="D18" s="403"/>
      <c r="E18" s="405"/>
    </row>
    <row r="19" spans="1:5" ht="12.75">
      <c r="A19" s="406" t="s">
        <v>396</v>
      </c>
      <c r="B19" s="405">
        <v>14</v>
      </c>
      <c r="C19" s="405">
        <v>0</v>
      </c>
      <c r="D19" s="408">
        <v>0</v>
      </c>
      <c r="E19" s="407">
        <v>0</v>
      </c>
    </row>
    <row r="20" spans="1:5" ht="12.75">
      <c r="A20" s="100" t="s">
        <v>522</v>
      </c>
      <c r="B20" s="405">
        <v>14</v>
      </c>
      <c r="C20" s="405">
        <v>9</v>
      </c>
      <c r="D20" s="408">
        <v>64.28571428571429</v>
      </c>
      <c r="E20" s="407">
        <v>3</v>
      </c>
    </row>
    <row r="21" spans="1:5" ht="12.75">
      <c r="A21" s="109" t="s">
        <v>234</v>
      </c>
      <c r="B21" s="407">
        <v>14</v>
      </c>
      <c r="C21" s="407">
        <v>9</v>
      </c>
      <c r="D21" s="409">
        <v>64.28571428571429</v>
      </c>
      <c r="E21" s="407">
        <v>3</v>
      </c>
    </row>
    <row r="22" spans="1:5" ht="12.75">
      <c r="A22" s="109" t="s">
        <v>235</v>
      </c>
      <c r="B22" s="407">
        <v>0</v>
      </c>
      <c r="C22" s="407">
        <v>0</v>
      </c>
      <c r="D22" s="409">
        <v>0</v>
      </c>
      <c r="E22" s="407">
        <v>0</v>
      </c>
    </row>
    <row r="23" spans="1:5" ht="12.75">
      <c r="A23" s="245" t="s">
        <v>244</v>
      </c>
      <c r="B23" s="405"/>
      <c r="C23" s="405"/>
      <c r="D23" s="403"/>
      <c r="E23" s="407"/>
    </row>
    <row r="24" spans="1:5" ht="12.75">
      <c r="A24" s="406" t="s">
        <v>396</v>
      </c>
      <c r="B24" s="405">
        <v>5</v>
      </c>
      <c r="C24" s="405">
        <v>0</v>
      </c>
      <c r="D24" s="408">
        <v>0</v>
      </c>
      <c r="E24" s="407">
        <v>0</v>
      </c>
    </row>
    <row r="25" spans="1:5" ht="12.75">
      <c r="A25" s="100" t="s">
        <v>522</v>
      </c>
      <c r="B25" s="405">
        <v>22</v>
      </c>
      <c r="C25" s="405">
        <v>11</v>
      </c>
      <c r="D25" s="408">
        <v>50</v>
      </c>
      <c r="E25" s="407">
        <v>3</v>
      </c>
    </row>
    <row r="26" spans="1:5" ht="12.75">
      <c r="A26" s="109" t="s">
        <v>234</v>
      </c>
      <c r="B26" s="407">
        <v>22</v>
      </c>
      <c r="C26" s="407">
        <v>11</v>
      </c>
      <c r="D26" s="409">
        <v>50</v>
      </c>
      <c r="E26" s="407">
        <v>3</v>
      </c>
    </row>
    <row r="27" spans="1:5" ht="12.75">
      <c r="A27" s="109" t="s">
        <v>235</v>
      </c>
      <c r="B27" s="407">
        <v>0</v>
      </c>
      <c r="C27" s="407">
        <v>0</v>
      </c>
      <c r="D27" s="409">
        <v>0</v>
      </c>
      <c r="E27" s="407">
        <v>0</v>
      </c>
    </row>
    <row r="28" spans="1:5" ht="12.75">
      <c r="A28" s="245" t="s">
        <v>246</v>
      </c>
      <c r="B28" s="405"/>
      <c r="C28" s="405"/>
      <c r="D28" s="403"/>
      <c r="E28" s="407"/>
    </row>
    <row r="29" spans="1:5" ht="12.75">
      <c r="A29" s="406" t="s">
        <v>396</v>
      </c>
      <c r="B29" s="405">
        <v>27</v>
      </c>
      <c r="C29" s="405">
        <v>16</v>
      </c>
      <c r="D29" s="408">
        <v>59.25925925925925</v>
      </c>
      <c r="E29" s="407">
        <v>1</v>
      </c>
    </row>
    <row r="30" spans="1:5" ht="12.75">
      <c r="A30" s="100" t="s">
        <v>522</v>
      </c>
      <c r="B30" s="405">
        <v>28</v>
      </c>
      <c r="C30" s="405">
        <v>14</v>
      </c>
      <c r="D30" s="408">
        <v>50</v>
      </c>
      <c r="E30" s="407">
        <v>3</v>
      </c>
    </row>
    <row r="31" spans="1:5" ht="12.75">
      <c r="A31" s="109" t="s">
        <v>234</v>
      </c>
      <c r="B31" s="407">
        <v>8</v>
      </c>
      <c r="C31" s="407">
        <v>2</v>
      </c>
      <c r="D31" s="409">
        <v>25</v>
      </c>
      <c r="E31" s="407">
        <v>1</v>
      </c>
    </row>
    <row r="32" spans="1:5" ht="12.75">
      <c r="A32" s="109" t="s">
        <v>235</v>
      </c>
      <c r="B32" s="407">
        <v>20</v>
      </c>
      <c r="C32" s="407">
        <v>12</v>
      </c>
      <c r="D32" s="409">
        <v>60</v>
      </c>
      <c r="E32" s="407">
        <v>2</v>
      </c>
    </row>
    <row r="33" spans="1:5" ht="12.75">
      <c r="A33" s="245" t="s">
        <v>248</v>
      </c>
      <c r="B33" s="405"/>
      <c r="C33" s="405"/>
      <c r="D33" s="409"/>
      <c r="E33" s="407"/>
    </row>
    <row r="34" spans="1:5" ht="12.75">
      <c r="A34" s="406" t="s">
        <v>396</v>
      </c>
      <c r="B34" s="405">
        <v>6</v>
      </c>
      <c r="C34" s="405">
        <v>3</v>
      </c>
      <c r="D34" s="408">
        <v>50</v>
      </c>
      <c r="E34" s="407">
        <v>0</v>
      </c>
    </row>
    <row r="35" spans="1:5" ht="12.75">
      <c r="A35" s="100" t="s">
        <v>522</v>
      </c>
      <c r="B35" s="405">
        <v>6</v>
      </c>
      <c r="C35" s="405">
        <v>3</v>
      </c>
      <c r="D35" s="408">
        <v>50</v>
      </c>
      <c r="E35" s="407">
        <v>0</v>
      </c>
    </row>
    <row r="36" spans="1:5" ht="12.75">
      <c r="A36" s="109" t="s">
        <v>234</v>
      </c>
      <c r="B36" s="407">
        <v>6</v>
      </c>
      <c r="C36" s="407">
        <v>3</v>
      </c>
      <c r="D36" s="409">
        <v>50</v>
      </c>
      <c r="E36" s="407">
        <v>0</v>
      </c>
    </row>
    <row r="37" spans="1:5" ht="12.75">
      <c r="A37" s="109" t="s">
        <v>235</v>
      </c>
      <c r="B37" s="407">
        <v>0</v>
      </c>
      <c r="C37" s="407">
        <v>0</v>
      </c>
      <c r="D37" s="409">
        <v>0</v>
      </c>
      <c r="E37" s="407">
        <v>0</v>
      </c>
    </row>
    <row r="38" spans="1:5" ht="12.75">
      <c r="A38" s="245" t="s">
        <v>250</v>
      </c>
      <c r="B38" s="405"/>
      <c r="C38" s="405"/>
      <c r="D38" s="403"/>
      <c r="E38" s="407"/>
    </row>
    <row r="39" spans="1:5" ht="12.75">
      <c r="A39" s="406" t="s">
        <v>396</v>
      </c>
      <c r="B39" s="405">
        <v>58</v>
      </c>
      <c r="C39" s="405">
        <v>53</v>
      </c>
      <c r="D39" s="408">
        <v>91.37931034482759</v>
      </c>
      <c r="E39" s="407">
        <v>16</v>
      </c>
    </row>
    <row r="40" spans="1:5" ht="12.75">
      <c r="A40" s="100" t="s">
        <v>233</v>
      </c>
      <c r="B40" s="405">
        <v>60</v>
      </c>
      <c r="C40" s="405">
        <v>49</v>
      </c>
      <c r="D40" s="408">
        <v>81.66666666666667</v>
      </c>
      <c r="E40" s="407">
        <v>11</v>
      </c>
    </row>
    <row r="41" spans="1:5" ht="12.75">
      <c r="A41" s="109" t="s">
        <v>234</v>
      </c>
      <c r="B41" s="407">
        <v>60</v>
      </c>
      <c r="C41" s="407">
        <v>49</v>
      </c>
      <c r="D41" s="409">
        <v>81.66666666666667</v>
      </c>
      <c r="E41" s="407">
        <v>11</v>
      </c>
    </row>
    <row r="42" spans="1:5" ht="12.75">
      <c r="A42" s="109" t="s">
        <v>235</v>
      </c>
      <c r="B42" s="407">
        <v>0</v>
      </c>
      <c r="C42" s="407">
        <v>0</v>
      </c>
      <c r="D42" s="409">
        <v>0</v>
      </c>
      <c r="E42" s="407">
        <v>0</v>
      </c>
    </row>
    <row r="43" spans="1:5" ht="12.75">
      <c r="A43" s="245" t="s">
        <v>252</v>
      </c>
      <c r="B43" s="405"/>
      <c r="C43" s="405"/>
      <c r="D43" s="409"/>
      <c r="E43" s="407"/>
    </row>
    <row r="44" spans="1:5" ht="12.75">
      <c r="A44" s="410" t="s">
        <v>523</v>
      </c>
      <c r="B44" s="411">
        <v>69</v>
      </c>
      <c r="C44" s="411">
        <v>5</v>
      </c>
      <c r="D44" s="412">
        <v>7.246376811594203</v>
      </c>
      <c r="E44" s="413">
        <v>0</v>
      </c>
    </row>
    <row r="45" spans="1:5" ht="12.75">
      <c r="A45" s="414" t="s">
        <v>522</v>
      </c>
      <c r="B45" s="411">
        <v>69</v>
      </c>
      <c r="C45" s="411">
        <v>40</v>
      </c>
      <c r="D45" s="412">
        <v>57.971014492753625</v>
      </c>
      <c r="E45" s="413">
        <v>2</v>
      </c>
    </row>
    <row r="46" spans="1:5" ht="12.75">
      <c r="A46" s="415" t="s">
        <v>234</v>
      </c>
      <c r="B46" s="413">
        <v>69</v>
      </c>
      <c r="C46" s="413">
        <v>40</v>
      </c>
      <c r="D46" s="416">
        <v>57.971014492753625</v>
      </c>
      <c r="E46" s="413">
        <v>2</v>
      </c>
    </row>
    <row r="47" spans="1:5" ht="12.75">
      <c r="A47" s="415" t="s">
        <v>235</v>
      </c>
      <c r="B47" s="413">
        <v>0</v>
      </c>
      <c r="C47" s="413">
        <v>0</v>
      </c>
      <c r="D47" s="416">
        <v>0</v>
      </c>
      <c r="E47" s="413">
        <v>0</v>
      </c>
    </row>
    <row r="48" spans="1:5" ht="12.75">
      <c r="A48" s="417" t="s">
        <v>254</v>
      </c>
      <c r="B48" s="411"/>
      <c r="C48" s="411"/>
      <c r="D48" s="418"/>
      <c r="E48" s="413"/>
    </row>
    <row r="49" spans="1:5" ht="12.75">
      <c r="A49" s="406" t="s">
        <v>396</v>
      </c>
      <c r="B49" s="405">
        <v>261</v>
      </c>
      <c r="C49" s="405">
        <v>89</v>
      </c>
      <c r="D49" s="408">
        <v>34.099616858237546</v>
      </c>
      <c r="E49" s="407">
        <v>12</v>
      </c>
    </row>
    <row r="50" spans="1:5" ht="12.75">
      <c r="A50" s="100" t="s">
        <v>522</v>
      </c>
      <c r="B50" s="405">
        <v>267</v>
      </c>
      <c r="C50" s="405">
        <v>90</v>
      </c>
      <c r="D50" s="408">
        <v>33.70786516853933</v>
      </c>
      <c r="E50" s="407">
        <v>28</v>
      </c>
    </row>
    <row r="51" spans="1:5" ht="12.75">
      <c r="A51" s="109" t="s">
        <v>234</v>
      </c>
      <c r="B51" s="407">
        <v>152</v>
      </c>
      <c r="C51" s="407">
        <v>52</v>
      </c>
      <c r="D51" s="409">
        <v>34.21052631578947</v>
      </c>
      <c r="E51" s="407">
        <v>8</v>
      </c>
    </row>
    <row r="52" spans="1:5" ht="12.75">
      <c r="A52" s="109" t="s">
        <v>235</v>
      </c>
      <c r="B52" s="407">
        <v>115</v>
      </c>
      <c r="C52" s="407">
        <v>38</v>
      </c>
      <c r="D52" s="409">
        <v>33.04347826086956</v>
      </c>
      <c r="E52" s="407">
        <v>20</v>
      </c>
    </row>
    <row r="53" spans="1:5" ht="12.75">
      <c r="A53" s="245" t="s">
        <v>256</v>
      </c>
      <c r="B53" s="405"/>
      <c r="C53" s="405"/>
      <c r="D53" s="403"/>
      <c r="E53" s="407"/>
    </row>
    <row r="54" spans="1:5" ht="12.75">
      <c r="A54" s="406" t="s">
        <v>396</v>
      </c>
      <c r="B54" s="405">
        <v>1142</v>
      </c>
      <c r="C54" s="405">
        <v>514</v>
      </c>
      <c r="D54" s="408">
        <v>45.008756567425564</v>
      </c>
      <c r="E54" s="407">
        <v>64</v>
      </c>
    </row>
    <row r="55" spans="1:5" ht="12.75">
      <c r="A55" s="100" t="s">
        <v>522</v>
      </c>
      <c r="B55" s="405">
        <v>1177</v>
      </c>
      <c r="C55" s="405">
        <v>504</v>
      </c>
      <c r="D55" s="408">
        <v>42.82073067119796</v>
      </c>
      <c r="E55" s="407">
        <v>100</v>
      </c>
    </row>
    <row r="56" spans="1:5" ht="12.75">
      <c r="A56" s="109" t="s">
        <v>234</v>
      </c>
      <c r="B56" s="407">
        <v>1067</v>
      </c>
      <c r="C56" s="407">
        <v>475</v>
      </c>
      <c r="D56" s="409">
        <v>44.51733833177132</v>
      </c>
      <c r="E56" s="407">
        <v>90</v>
      </c>
    </row>
    <row r="57" spans="1:5" ht="12.75">
      <c r="A57" s="109" t="s">
        <v>235</v>
      </c>
      <c r="B57" s="407">
        <v>110</v>
      </c>
      <c r="C57" s="407">
        <v>29</v>
      </c>
      <c r="D57" s="409"/>
      <c r="E57" s="407">
        <v>10</v>
      </c>
    </row>
    <row r="58" spans="1:5" ht="12.75">
      <c r="A58" s="245" t="s">
        <v>258</v>
      </c>
      <c r="B58" s="405"/>
      <c r="C58" s="405"/>
      <c r="D58" s="403"/>
      <c r="E58" s="407"/>
    </row>
    <row r="59" spans="1:5" ht="12.75">
      <c r="A59" s="406" t="s">
        <v>396</v>
      </c>
      <c r="B59" s="405">
        <v>276</v>
      </c>
      <c r="C59" s="405">
        <v>123</v>
      </c>
      <c r="D59" s="408">
        <v>44.565217391304344</v>
      </c>
      <c r="E59" s="407">
        <v>15</v>
      </c>
    </row>
    <row r="60" spans="1:5" ht="12.75">
      <c r="A60" s="100" t="s">
        <v>522</v>
      </c>
      <c r="B60" s="405">
        <v>285</v>
      </c>
      <c r="C60" s="405">
        <v>121</v>
      </c>
      <c r="D60" s="408">
        <v>42.45614035087719</v>
      </c>
      <c r="E60" s="407">
        <v>16</v>
      </c>
    </row>
    <row r="61" spans="1:5" ht="12.75">
      <c r="A61" s="109" t="s">
        <v>234</v>
      </c>
      <c r="B61" s="407">
        <v>236</v>
      </c>
      <c r="C61" s="407">
        <v>104</v>
      </c>
      <c r="D61" s="409">
        <v>44.06779661016949</v>
      </c>
      <c r="E61" s="407">
        <v>16</v>
      </c>
    </row>
    <row r="62" spans="1:5" ht="12.75">
      <c r="A62" s="109" t="s">
        <v>235</v>
      </c>
      <c r="B62" s="407">
        <v>49</v>
      </c>
      <c r="C62" s="407">
        <v>17</v>
      </c>
      <c r="D62" s="409">
        <v>34.69387755102041</v>
      </c>
      <c r="E62" s="407">
        <v>0</v>
      </c>
    </row>
    <row r="63" spans="1:5" ht="12.75">
      <c r="A63" s="245" t="s">
        <v>260</v>
      </c>
      <c r="B63" s="405"/>
      <c r="C63" s="405"/>
      <c r="D63" s="403"/>
      <c r="E63" s="407"/>
    </row>
    <row r="64" spans="1:5" ht="12.75">
      <c r="A64" s="406" t="s">
        <v>396</v>
      </c>
      <c r="B64" s="405">
        <v>0</v>
      </c>
      <c r="C64" s="405">
        <v>0</v>
      </c>
      <c r="D64" s="405">
        <v>0</v>
      </c>
      <c r="E64" s="407">
        <v>0</v>
      </c>
    </row>
    <row r="65" spans="1:5" ht="12.75">
      <c r="A65" s="100" t="s">
        <v>522</v>
      </c>
      <c r="B65" s="405">
        <v>0</v>
      </c>
      <c r="C65" s="405">
        <v>0</v>
      </c>
      <c r="D65" s="405">
        <v>0</v>
      </c>
      <c r="E65" s="407">
        <v>0</v>
      </c>
    </row>
    <row r="66" spans="1:5" ht="12.75">
      <c r="A66" s="109" t="s">
        <v>234</v>
      </c>
      <c r="B66" s="407">
        <v>0</v>
      </c>
      <c r="C66" s="407">
        <v>0</v>
      </c>
      <c r="D66" s="409"/>
      <c r="E66" s="407">
        <v>0</v>
      </c>
    </row>
    <row r="67" spans="1:5" ht="12.75">
      <c r="A67" s="109" t="s">
        <v>235</v>
      </c>
      <c r="B67" s="407">
        <v>0</v>
      </c>
      <c r="C67" s="407">
        <v>0</v>
      </c>
      <c r="D67" s="409"/>
      <c r="E67" s="407">
        <v>0</v>
      </c>
    </row>
    <row r="68" spans="1:5" ht="12.75">
      <c r="A68" s="245" t="s">
        <v>262</v>
      </c>
      <c r="B68" s="405"/>
      <c r="C68" s="405"/>
      <c r="D68" s="403"/>
      <c r="E68" s="407"/>
    </row>
    <row r="69" spans="1:5" ht="12.75">
      <c r="A69" s="410" t="s">
        <v>524</v>
      </c>
      <c r="B69" s="411">
        <v>358</v>
      </c>
      <c r="C69" s="411">
        <v>328</v>
      </c>
      <c r="D69" s="412">
        <v>91.62011173184358</v>
      </c>
      <c r="E69" s="413">
        <v>109</v>
      </c>
    </row>
    <row r="70" spans="1:5" ht="12.75">
      <c r="A70" s="414" t="s">
        <v>525</v>
      </c>
      <c r="B70" s="411">
        <v>429</v>
      </c>
      <c r="C70" s="411">
        <v>388</v>
      </c>
      <c r="D70" s="412">
        <v>90.44289044289044</v>
      </c>
      <c r="E70" s="413">
        <v>90</v>
      </c>
    </row>
    <row r="71" spans="1:5" ht="12.75">
      <c r="A71" s="415" t="s">
        <v>526</v>
      </c>
      <c r="B71" s="413">
        <v>410</v>
      </c>
      <c r="C71" s="413">
        <v>378</v>
      </c>
      <c r="D71" s="416">
        <v>92.19512195121952</v>
      </c>
      <c r="E71" s="413">
        <v>90</v>
      </c>
    </row>
    <row r="72" spans="1:5" ht="12.75">
      <c r="A72" s="415" t="s">
        <v>235</v>
      </c>
      <c r="B72" s="413">
        <v>19</v>
      </c>
      <c r="C72" s="413">
        <v>10</v>
      </c>
      <c r="D72" s="416">
        <v>52.63157894736842</v>
      </c>
      <c r="E72" s="413">
        <v>0</v>
      </c>
    </row>
    <row r="73" spans="1:5" ht="12.75">
      <c r="A73" s="245" t="s">
        <v>264</v>
      </c>
      <c r="B73" s="405"/>
      <c r="C73" s="405"/>
      <c r="D73" s="403"/>
      <c r="E73" s="407"/>
    </row>
    <row r="74" spans="1:5" ht="12.75">
      <c r="A74" s="406" t="s">
        <v>396</v>
      </c>
      <c r="B74" s="405">
        <v>150</v>
      </c>
      <c r="C74" s="405">
        <v>27</v>
      </c>
      <c r="D74" s="408">
        <v>18</v>
      </c>
      <c r="E74" s="407">
        <v>3</v>
      </c>
    </row>
    <row r="75" spans="1:5" ht="12.75">
      <c r="A75" s="100" t="s">
        <v>522</v>
      </c>
      <c r="B75" s="405">
        <v>185</v>
      </c>
      <c r="C75" s="405">
        <v>27</v>
      </c>
      <c r="D75" s="408">
        <v>14.594594594594595</v>
      </c>
      <c r="E75" s="407">
        <v>8</v>
      </c>
    </row>
    <row r="76" spans="1:5" ht="12.75">
      <c r="A76" s="109" t="s">
        <v>234</v>
      </c>
      <c r="B76" s="407">
        <v>184</v>
      </c>
      <c r="C76" s="407">
        <v>26</v>
      </c>
      <c r="D76" s="409">
        <v>14.130434782608695</v>
      </c>
      <c r="E76" s="407">
        <v>8</v>
      </c>
    </row>
    <row r="77" spans="1:5" ht="12.75">
      <c r="A77" s="109" t="s">
        <v>235</v>
      </c>
      <c r="B77" s="407">
        <v>1</v>
      </c>
      <c r="C77" s="407">
        <v>1</v>
      </c>
      <c r="D77" s="409"/>
      <c r="E77" s="407">
        <v>0</v>
      </c>
    </row>
    <row r="78" spans="1:5" ht="25.5">
      <c r="A78" s="94" t="s">
        <v>266</v>
      </c>
      <c r="B78" s="405"/>
      <c r="C78" s="405"/>
      <c r="D78" s="403"/>
      <c r="E78" s="407"/>
    </row>
    <row r="79" spans="1:5" ht="12.75">
      <c r="A79" s="406" t="s">
        <v>396</v>
      </c>
      <c r="B79" s="405">
        <v>28</v>
      </c>
      <c r="C79" s="405">
        <v>14</v>
      </c>
      <c r="D79" s="408">
        <v>50</v>
      </c>
      <c r="E79" s="407">
        <v>5</v>
      </c>
    </row>
    <row r="80" spans="1:5" ht="12.75">
      <c r="A80" s="100" t="s">
        <v>522</v>
      </c>
      <c r="B80" s="405">
        <v>119</v>
      </c>
      <c r="C80" s="405">
        <v>18</v>
      </c>
      <c r="D80" s="408">
        <v>15.126050420168067</v>
      </c>
      <c r="E80" s="407">
        <v>5</v>
      </c>
    </row>
    <row r="81" spans="1:5" ht="12.75">
      <c r="A81" s="109" t="s">
        <v>234</v>
      </c>
      <c r="B81" s="407">
        <v>108</v>
      </c>
      <c r="C81" s="407">
        <v>9</v>
      </c>
      <c r="D81" s="409">
        <v>8.333333333333332</v>
      </c>
      <c r="E81" s="407">
        <v>3</v>
      </c>
    </row>
    <row r="82" spans="1:5" ht="12.75">
      <c r="A82" s="109" t="s">
        <v>235</v>
      </c>
      <c r="B82" s="407">
        <v>11</v>
      </c>
      <c r="C82" s="407">
        <v>9</v>
      </c>
      <c r="D82" s="409">
        <v>81.81818181818183</v>
      </c>
      <c r="E82" s="407">
        <v>2</v>
      </c>
    </row>
    <row r="83" spans="1:5" ht="12.75">
      <c r="A83" s="245" t="s">
        <v>268</v>
      </c>
      <c r="B83" s="405"/>
      <c r="C83" s="405"/>
      <c r="D83" s="403"/>
      <c r="E83" s="407"/>
    </row>
    <row r="84" spans="1:5" ht="12.75">
      <c r="A84" s="406" t="s">
        <v>396</v>
      </c>
      <c r="B84" s="405">
        <v>744</v>
      </c>
      <c r="C84" s="405">
        <v>476</v>
      </c>
      <c r="D84" s="408">
        <v>63.97849462365591</v>
      </c>
      <c r="E84" s="407">
        <v>158</v>
      </c>
    </row>
    <row r="85" spans="1:5" ht="12.75">
      <c r="A85" s="100" t="s">
        <v>522</v>
      </c>
      <c r="B85" s="405">
        <v>860</v>
      </c>
      <c r="C85" s="405">
        <v>373</v>
      </c>
      <c r="D85" s="408">
        <v>43.372093023255815</v>
      </c>
      <c r="E85" s="407">
        <v>105</v>
      </c>
    </row>
    <row r="86" spans="1:5" ht="12.75">
      <c r="A86" s="109" t="s">
        <v>234</v>
      </c>
      <c r="B86" s="407">
        <v>779</v>
      </c>
      <c r="C86" s="407">
        <v>335</v>
      </c>
      <c r="D86" s="409">
        <v>43.003851091142494</v>
      </c>
      <c r="E86" s="407">
        <v>100</v>
      </c>
    </row>
    <row r="87" spans="1:5" ht="12.75">
      <c r="A87" s="109" t="s">
        <v>235</v>
      </c>
      <c r="B87" s="407">
        <v>81</v>
      </c>
      <c r="C87" s="407">
        <v>38</v>
      </c>
      <c r="D87" s="409">
        <v>46.913580246913575</v>
      </c>
      <c r="E87" s="407">
        <v>5</v>
      </c>
    </row>
    <row r="88" spans="1:5" ht="12.75">
      <c r="A88" s="245" t="s">
        <v>270</v>
      </c>
      <c r="B88" s="405"/>
      <c r="C88" s="405"/>
      <c r="D88" s="403"/>
      <c r="E88" s="407"/>
    </row>
    <row r="89" spans="1:5" ht="12.75">
      <c r="A89" s="406" t="s">
        <v>396</v>
      </c>
      <c r="B89" s="405">
        <v>0</v>
      </c>
      <c r="C89" s="405">
        <v>0</v>
      </c>
      <c r="D89" s="408"/>
      <c r="E89" s="407">
        <v>0</v>
      </c>
    </row>
    <row r="90" spans="1:5" ht="12.75">
      <c r="A90" s="100" t="s">
        <v>522</v>
      </c>
      <c r="B90" s="405">
        <v>0</v>
      </c>
      <c r="C90" s="405">
        <v>0</v>
      </c>
      <c r="D90" s="408"/>
      <c r="E90" s="407">
        <v>0</v>
      </c>
    </row>
    <row r="91" spans="1:5" ht="12.75">
      <c r="A91" s="109" t="s">
        <v>234</v>
      </c>
      <c r="B91" s="407">
        <v>0</v>
      </c>
      <c r="C91" s="407">
        <v>0</v>
      </c>
      <c r="D91" s="409"/>
      <c r="E91" s="407">
        <v>0</v>
      </c>
    </row>
    <row r="92" spans="1:5" ht="12.75">
      <c r="A92" s="109" t="s">
        <v>235</v>
      </c>
      <c r="B92" s="407">
        <v>0</v>
      </c>
      <c r="C92" s="407">
        <v>0</v>
      </c>
      <c r="D92" s="409"/>
      <c r="E92" s="407">
        <v>0</v>
      </c>
    </row>
    <row r="93" spans="1:5" ht="12.75">
      <c r="A93" s="245" t="s">
        <v>272</v>
      </c>
      <c r="B93" s="405"/>
      <c r="C93" s="405"/>
      <c r="D93" s="403"/>
      <c r="E93" s="407"/>
    </row>
    <row r="94" spans="1:5" ht="12.75">
      <c r="A94" s="406" t="s">
        <v>396</v>
      </c>
      <c r="B94" s="405">
        <v>0</v>
      </c>
      <c r="C94" s="405">
        <v>0</v>
      </c>
      <c r="D94" s="408"/>
      <c r="E94" s="407">
        <v>0</v>
      </c>
    </row>
    <row r="95" spans="1:5" ht="12.75">
      <c r="A95" s="100" t="s">
        <v>522</v>
      </c>
      <c r="B95" s="405">
        <v>0</v>
      </c>
      <c r="C95" s="405">
        <v>0</v>
      </c>
      <c r="D95" s="408"/>
      <c r="E95" s="407">
        <v>0</v>
      </c>
    </row>
    <row r="96" spans="1:5" ht="12.75">
      <c r="A96" s="109" t="s">
        <v>234</v>
      </c>
      <c r="B96" s="407">
        <v>0</v>
      </c>
      <c r="C96" s="407">
        <v>0</v>
      </c>
      <c r="D96" s="409"/>
      <c r="E96" s="407">
        <v>0</v>
      </c>
    </row>
    <row r="97" spans="1:5" ht="12.75">
      <c r="A97" s="109" t="s">
        <v>235</v>
      </c>
      <c r="B97" s="407">
        <v>0</v>
      </c>
      <c r="C97" s="407">
        <v>0</v>
      </c>
      <c r="D97" s="409"/>
      <c r="E97" s="407">
        <v>0</v>
      </c>
    </row>
    <row r="98" spans="1:5" ht="12.75">
      <c r="A98" s="245" t="s">
        <v>274</v>
      </c>
      <c r="B98" s="405"/>
      <c r="C98" s="405"/>
      <c r="D98" s="403"/>
      <c r="E98" s="407"/>
    </row>
    <row r="99" spans="1:5" ht="12.75">
      <c r="A99" s="406" t="s">
        <v>396</v>
      </c>
      <c r="B99" s="405">
        <v>0</v>
      </c>
      <c r="C99" s="405">
        <v>0</v>
      </c>
      <c r="D99" s="408"/>
      <c r="E99" s="407">
        <v>0</v>
      </c>
    </row>
    <row r="100" spans="1:5" ht="12.75">
      <c r="A100" s="100" t="s">
        <v>522</v>
      </c>
      <c r="B100" s="405">
        <v>0</v>
      </c>
      <c r="C100" s="405">
        <v>0</v>
      </c>
      <c r="D100" s="408"/>
      <c r="E100" s="407">
        <v>0</v>
      </c>
    </row>
    <row r="101" spans="1:5" ht="12.75">
      <c r="A101" s="109" t="s">
        <v>234</v>
      </c>
      <c r="B101" s="407">
        <v>0</v>
      </c>
      <c r="C101" s="407">
        <v>0</v>
      </c>
      <c r="D101" s="409"/>
      <c r="E101" s="407">
        <v>0</v>
      </c>
    </row>
    <row r="102" spans="1:5" ht="12.75">
      <c r="A102" s="109" t="s">
        <v>235</v>
      </c>
      <c r="B102" s="407">
        <v>0</v>
      </c>
      <c r="C102" s="407">
        <v>0</v>
      </c>
      <c r="D102" s="409"/>
      <c r="E102" s="407">
        <v>0</v>
      </c>
    </row>
    <row r="103" spans="1:5" ht="12.75">
      <c r="A103" s="245" t="s">
        <v>276</v>
      </c>
      <c r="B103" s="405"/>
      <c r="C103" s="405"/>
      <c r="D103" s="403"/>
      <c r="E103" s="407"/>
    </row>
    <row r="104" spans="1:5" ht="12.75">
      <c r="A104" s="406" t="s">
        <v>396</v>
      </c>
      <c r="B104" s="405">
        <v>0</v>
      </c>
      <c r="C104" s="405">
        <v>0</v>
      </c>
      <c r="D104" s="408"/>
      <c r="E104" s="407">
        <v>0</v>
      </c>
    </row>
    <row r="105" spans="1:5" ht="12.75">
      <c r="A105" s="100" t="s">
        <v>522</v>
      </c>
      <c r="B105" s="405">
        <v>0</v>
      </c>
      <c r="C105" s="405">
        <v>0</v>
      </c>
      <c r="D105" s="408"/>
      <c r="E105" s="407">
        <v>0</v>
      </c>
    </row>
    <row r="106" spans="1:5" ht="12.75">
      <c r="A106" s="109" t="s">
        <v>234</v>
      </c>
      <c r="B106" s="407">
        <v>0</v>
      </c>
      <c r="C106" s="407">
        <v>0</v>
      </c>
      <c r="D106" s="409"/>
      <c r="E106" s="407">
        <v>0</v>
      </c>
    </row>
    <row r="107" spans="1:5" ht="12.75">
      <c r="A107" s="109" t="s">
        <v>235</v>
      </c>
      <c r="B107" s="407">
        <v>0</v>
      </c>
      <c r="C107" s="407">
        <v>0</v>
      </c>
      <c r="D107" s="409"/>
      <c r="E107" s="407">
        <v>0</v>
      </c>
    </row>
    <row r="108" spans="1:5" ht="12.75">
      <c r="A108" s="245" t="s">
        <v>278</v>
      </c>
      <c r="B108" s="405"/>
      <c r="C108" s="405"/>
      <c r="D108" s="403"/>
      <c r="E108" s="407"/>
    </row>
    <row r="109" spans="1:5" ht="12.75">
      <c r="A109" s="406" t="s">
        <v>396</v>
      </c>
      <c r="B109" s="405">
        <v>0</v>
      </c>
      <c r="C109" s="405">
        <v>0</v>
      </c>
      <c r="D109" s="408"/>
      <c r="E109" s="407">
        <v>0</v>
      </c>
    </row>
    <row r="110" spans="1:5" ht="12.75">
      <c r="A110" s="100" t="s">
        <v>522</v>
      </c>
      <c r="B110" s="405">
        <v>0</v>
      </c>
      <c r="C110" s="405">
        <v>0</v>
      </c>
      <c r="D110" s="408"/>
      <c r="E110" s="407">
        <v>0</v>
      </c>
    </row>
    <row r="111" spans="1:5" ht="12.75">
      <c r="A111" s="109" t="s">
        <v>234</v>
      </c>
      <c r="B111" s="407">
        <v>0</v>
      </c>
      <c r="C111" s="407">
        <v>0</v>
      </c>
      <c r="D111" s="409"/>
      <c r="E111" s="407">
        <v>0</v>
      </c>
    </row>
    <row r="112" spans="1:5" ht="12.75">
      <c r="A112" s="109" t="s">
        <v>235</v>
      </c>
      <c r="B112" s="407">
        <v>0</v>
      </c>
      <c r="C112" s="407">
        <v>0</v>
      </c>
      <c r="D112" s="409"/>
      <c r="E112" s="407">
        <v>0</v>
      </c>
    </row>
    <row r="113" spans="1:5" ht="12.75">
      <c r="A113" s="245" t="s">
        <v>280</v>
      </c>
      <c r="B113" s="405"/>
      <c r="C113" s="405"/>
      <c r="D113" s="403"/>
      <c r="E113" s="407"/>
    </row>
    <row r="114" spans="1:5" ht="12.75">
      <c r="A114" s="406" t="s">
        <v>396</v>
      </c>
      <c r="B114" s="405">
        <v>0</v>
      </c>
      <c r="C114" s="405">
        <v>0</v>
      </c>
      <c r="D114" s="408"/>
      <c r="E114" s="407">
        <v>0</v>
      </c>
    </row>
    <row r="115" spans="1:5" ht="12.75">
      <c r="A115" s="100" t="s">
        <v>522</v>
      </c>
      <c r="B115" s="405">
        <v>0</v>
      </c>
      <c r="C115" s="405">
        <v>0</v>
      </c>
      <c r="D115" s="408"/>
      <c r="E115" s="407">
        <v>0</v>
      </c>
    </row>
    <row r="116" spans="1:5" ht="12.75">
      <c r="A116" s="109" t="s">
        <v>234</v>
      </c>
      <c r="B116" s="407">
        <v>0</v>
      </c>
      <c r="C116" s="407">
        <v>0</v>
      </c>
      <c r="D116" s="409"/>
      <c r="E116" s="407">
        <v>0</v>
      </c>
    </row>
    <row r="117" spans="1:5" ht="12.75">
      <c r="A117" s="109" t="s">
        <v>235</v>
      </c>
      <c r="B117" s="407">
        <v>0</v>
      </c>
      <c r="C117" s="407">
        <v>0</v>
      </c>
      <c r="D117" s="409"/>
      <c r="E117" s="407">
        <v>0</v>
      </c>
    </row>
    <row r="118" spans="1:5" ht="12.75">
      <c r="A118" s="245" t="s">
        <v>282</v>
      </c>
      <c r="B118" s="405"/>
      <c r="C118" s="405"/>
      <c r="D118" s="403"/>
      <c r="E118" s="407"/>
    </row>
    <row r="119" spans="1:5" ht="12.75">
      <c r="A119" s="406" t="s">
        <v>396</v>
      </c>
      <c r="B119" s="405">
        <v>0</v>
      </c>
      <c r="C119" s="405">
        <v>0</v>
      </c>
      <c r="D119" s="408"/>
      <c r="E119" s="407">
        <v>0</v>
      </c>
    </row>
    <row r="120" spans="1:5" ht="12.75">
      <c r="A120" s="100" t="s">
        <v>522</v>
      </c>
      <c r="B120" s="405">
        <v>0</v>
      </c>
      <c r="C120" s="405">
        <v>0</v>
      </c>
      <c r="D120" s="408"/>
      <c r="E120" s="407">
        <v>0</v>
      </c>
    </row>
    <row r="121" spans="1:5" ht="12.75">
      <c r="A121" s="109" t="s">
        <v>234</v>
      </c>
      <c r="B121" s="407">
        <v>0</v>
      </c>
      <c r="C121" s="407">
        <v>0</v>
      </c>
      <c r="D121" s="409"/>
      <c r="E121" s="407">
        <v>0</v>
      </c>
    </row>
    <row r="122" spans="1:5" ht="12.75">
      <c r="A122" s="109" t="s">
        <v>235</v>
      </c>
      <c r="B122" s="407">
        <v>0</v>
      </c>
      <c r="C122" s="407">
        <v>0</v>
      </c>
      <c r="D122" s="409"/>
      <c r="E122" s="407">
        <v>0</v>
      </c>
    </row>
    <row r="123" spans="1:5" ht="12.75">
      <c r="A123" s="245" t="s">
        <v>284</v>
      </c>
      <c r="B123" s="405"/>
      <c r="C123" s="405"/>
      <c r="D123" s="403"/>
      <c r="E123" s="407"/>
    </row>
    <row r="124" spans="1:5" ht="12.75">
      <c r="A124" s="406" t="s">
        <v>396</v>
      </c>
      <c r="B124" s="405">
        <v>0</v>
      </c>
      <c r="C124" s="405">
        <v>0</v>
      </c>
      <c r="D124" s="408"/>
      <c r="E124" s="407">
        <v>0</v>
      </c>
    </row>
    <row r="125" spans="1:5" ht="12.75">
      <c r="A125" s="100" t="s">
        <v>522</v>
      </c>
      <c r="B125" s="405">
        <v>0</v>
      </c>
      <c r="C125" s="405">
        <v>0</v>
      </c>
      <c r="D125" s="408"/>
      <c r="E125" s="407">
        <v>0</v>
      </c>
    </row>
    <row r="126" spans="1:5" ht="12.75">
      <c r="A126" s="109" t="s">
        <v>234</v>
      </c>
      <c r="B126" s="407">
        <v>0</v>
      </c>
      <c r="C126" s="407">
        <v>0</v>
      </c>
      <c r="D126" s="409"/>
      <c r="E126" s="407">
        <v>0</v>
      </c>
    </row>
    <row r="127" spans="1:5" ht="12.75">
      <c r="A127" s="109" t="s">
        <v>235</v>
      </c>
      <c r="B127" s="407">
        <v>0</v>
      </c>
      <c r="C127" s="407">
        <v>0</v>
      </c>
      <c r="D127" s="409"/>
      <c r="E127" s="407">
        <v>0</v>
      </c>
    </row>
    <row r="128" spans="1:5" ht="12.75">
      <c r="A128" s="245" t="s">
        <v>286</v>
      </c>
      <c r="B128" s="405"/>
      <c r="C128" s="405"/>
      <c r="D128" s="403"/>
      <c r="E128" s="407"/>
    </row>
    <row r="129" spans="1:5" ht="12.75">
      <c r="A129" s="406" t="s">
        <v>396</v>
      </c>
      <c r="B129" s="405">
        <v>0</v>
      </c>
      <c r="C129" s="405">
        <v>0</v>
      </c>
      <c r="D129" s="408"/>
      <c r="E129" s="407">
        <v>0</v>
      </c>
    </row>
    <row r="130" spans="1:5" ht="12.75">
      <c r="A130" s="100" t="s">
        <v>522</v>
      </c>
      <c r="B130" s="405">
        <v>0</v>
      </c>
      <c r="C130" s="405">
        <v>0</v>
      </c>
      <c r="D130" s="408"/>
      <c r="E130" s="407">
        <v>0</v>
      </c>
    </row>
    <row r="131" spans="1:5" ht="12.75">
      <c r="A131" s="109" t="s">
        <v>234</v>
      </c>
      <c r="B131" s="407">
        <v>0</v>
      </c>
      <c r="C131" s="407">
        <v>0</v>
      </c>
      <c r="D131" s="409"/>
      <c r="E131" s="407">
        <v>0</v>
      </c>
    </row>
    <row r="132" spans="1:5" ht="12.75">
      <c r="A132" s="109" t="s">
        <v>235</v>
      </c>
      <c r="B132" s="407">
        <v>0</v>
      </c>
      <c r="C132" s="407">
        <v>0</v>
      </c>
      <c r="D132" s="409"/>
      <c r="E132" s="407">
        <v>0</v>
      </c>
    </row>
    <row r="133" spans="1:5" ht="12.75">
      <c r="A133" s="245" t="s">
        <v>288</v>
      </c>
      <c r="B133" s="405"/>
      <c r="C133" s="405"/>
      <c r="D133" s="403"/>
      <c r="E133" s="407"/>
    </row>
    <row r="134" spans="1:5" ht="12.75">
      <c r="A134" s="406" t="s">
        <v>396</v>
      </c>
      <c r="B134" s="405">
        <v>0</v>
      </c>
      <c r="C134" s="405">
        <v>0</v>
      </c>
      <c r="D134" s="408"/>
      <c r="E134" s="407">
        <v>0</v>
      </c>
    </row>
    <row r="135" spans="1:5" ht="12.75">
      <c r="A135" s="100" t="s">
        <v>522</v>
      </c>
      <c r="B135" s="405">
        <v>0</v>
      </c>
      <c r="C135" s="405">
        <v>0</v>
      </c>
      <c r="D135" s="408"/>
      <c r="E135" s="407">
        <v>0</v>
      </c>
    </row>
    <row r="136" spans="1:5" ht="12.75">
      <c r="A136" s="109" t="s">
        <v>234</v>
      </c>
      <c r="B136" s="407">
        <v>0</v>
      </c>
      <c r="C136" s="407">
        <v>0</v>
      </c>
      <c r="D136" s="409"/>
      <c r="E136" s="407">
        <v>0</v>
      </c>
    </row>
    <row r="137" spans="1:5" ht="12.75">
      <c r="A137" s="109" t="s">
        <v>235</v>
      </c>
      <c r="B137" s="407">
        <v>0</v>
      </c>
      <c r="C137" s="407">
        <v>0</v>
      </c>
      <c r="D137" s="409"/>
      <c r="E137" s="407">
        <v>0</v>
      </c>
    </row>
    <row r="138" spans="1:5" ht="38.25">
      <c r="A138" s="94" t="s">
        <v>290</v>
      </c>
      <c r="B138" s="405"/>
      <c r="C138" s="405"/>
      <c r="D138" s="403"/>
      <c r="E138" s="407"/>
    </row>
    <row r="139" spans="1:5" ht="12.75">
      <c r="A139" s="406" t="s">
        <v>396</v>
      </c>
      <c r="B139" s="405">
        <v>157</v>
      </c>
      <c r="C139" s="405">
        <v>33</v>
      </c>
      <c r="D139" s="403">
        <v>21.019108280254777</v>
      </c>
      <c r="E139" s="407">
        <v>11</v>
      </c>
    </row>
    <row r="140" spans="1:5" ht="12.75">
      <c r="A140" s="100" t="s">
        <v>522</v>
      </c>
      <c r="B140" s="405">
        <v>157</v>
      </c>
      <c r="C140" s="405">
        <v>14</v>
      </c>
      <c r="D140" s="403">
        <v>8.9171974522293</v>
      </c>
      <c r="E140" s="407">
        <v>5</v>
      </c>
    </row>
    <row r="141" spans="1:5" ht="12.75">
      <c r="A141" s="109" t="s">
        <v>234</v>
      </c>
      <c r="B141" s="407">
        <v>157</v>
      </c>
      <c r="C141" s="407">
        <v>14</v>
      </c>
      <c r="D141" s="403">
        <v>8.9171974522293</v>
      </c>
      <c r="E141" s="407">
        <v>5</v>
      </c>
    </row>
    <row r="142" spans="1:5" ht="12.75">
      <c r="A142" s="109" t="s">
        <v>235</v>
      </c>
      <c r="B142" s="407">
        <v>0</v>
      </c>
      <c r="C142" s="407">
        <v>0</v>
      </c>
      <c r="D142" s="403"/>
      <c r="E142" s="407">
        <v>0</v>
      </c>
    </row>
    <row r="143" spans="1:5" ht="25.5">
      <c r="A143" s="94" t="s">
        <v>292</v>
      </c>
      <c r="B143" s="405"/>
      <c r="C143" s="405"/>
      <c r="D143" s="403"/>
      <c r="E143" s="407"/>
    </row>
    <row r="144" spans="1:5" ht="12.75">
      <c r="A144" s="406" t="s">
        <v>396</v>
      </c>
      <c r="B144" s="405">
        <v>65</v>
      </c>
      <c r="C144" s="405">
        <v>10</v>
      </c>
      <c r="D144" s="403">
        <v>15.384615384615385</v>
      </c>
      <c r="E144" s="407">
        <v>5</v>
      </c>
    </row>
    <row r="145" spans="1:5" ht="12.75">
      <c r="A145" s="100" t="s">
        <v>522</v>
      </c>
      <c r="B145" s="405">
        <v>65</v>
      </c>
      <c r="C145" s="405">
        <v>12</v>
      </c>
      <c r="D145" s="403">
        <v>18.461538461538463</v>
      </c>
      <c r="E145" s="407">
        <v>8</v>
      </c>
    </row>
    <row r="146" spans="1:5" ht="12.75">
      <c r="A146" s="109" t="s">
        <v>234</v>
      </c>
      <c r="B146" s="407">
        <v>65</v>
      </c>
      <c r="C146" s="407">
        <v>11</v>
      </c>
      <c r="D146" s="403">
        <v>16.923076923076923</v>
      </c>
      <c r="E146" s="407">
        <v>8</v>
      </c>
    </row>
    <row r="147" spans="1:5" ht="12.75">
      <c r="A147" s="109" t="s">
        <v>235</v>
      </c>
      <c r="B147" s="407">
        <v>0</v>
      </c>
      <c r="C147" s="407">
        <v>1</v>
      </c>
      <c r="D147" s="403"/>
      <c r="E147" s="407">
        <v>0</v>
      </c>
    </row>
    <row r="148" spans="1:5" ht="25.5">
      <c r="A148" s="94" t="s">
        <v>293</v>
      </c>
      <c r="B148" s="405"/>
      <c r="C148" s="405"/>
      <c r="D148" s="403"/>
      <c r="E148" s="407"/>
    </row>
    <row r="149" spans="1:5" ht="12.75">
      <c r="A149" s="406" t="s">
        <v>396</v>
      </c>
      <c r="B149" s="405">
        <v>0</v>
      </c>
      <c r="C149" s="405">
        <v>0</v>
      </c>
      <c r="D149" s="408"/>
      <c r="E149" s="407">
        <v>0</v>
      </c>
    </row>
    <row r="150" spans="1:5" ht="12.75">
      <c r="A150" s="100" t="s">
        <v>522</v>
      </c>
      <c r="B150" s="405">
        <v>0</v>
      </c>
      <c r="C150" s="405">
        <v>0</v>
      </c>
      <c r="D150" s="408"/>
      <c r="E150" s="407">
        <v>0</v>
      </c>
    </row>
    <row r="151" spans="1:5" ht="12.75">
      <c r="A151" s="109" t="s">
        <v>234</v>
      </c>
      <c r="B151" s="407">
        <v>0</v>
      </c>
      <c r="C151" s="407">
        <v>0</v>
      </c>
      <c r="D151" s="409"/>
      <c r="E151" s="407">
        <v>0</v>
      </c>
    </row>
    <row r="152" spans="1:5" ht="12.75">
      <c r="A152" s="109" t="s">
        <v>235</v>
      </c>
      <c r="B152" s="407">
        <v>0</v>
      </c>
      <c r="C152" s="407">
        <v>0</v>
      </c>
      <c r="D152" s="409"/>
      <c r="E152" s="407">
        <v>0</v>
      </c>
    </row>
    <row r="153" spans="1:5" ht="12.75">
      <c r="A153" s="750"/>
      <c r="B153" s="750"/>
      <c r="C153" s="1"/>
      <c r="D153" s="1"/>
      <c r="E153" s="1"/>
    </row>
    <row r="154" spans="1:5" ht="12.75">
      <c r="A154" s="38"/>
      <c r="B154" s="1"/>
      <c r="C154" s="1"/>
      <c r="D154" s="1"/>
      <c r="E154" s="1"/>
    </row>
    <row r="155" spans="1:5" ht="12.75">
      <c r="A155" s="41"/>
      <c r="B155" s="1"/>
      <c r="C155" s="1"/>
      <c r="D155" s="1"/>
      <c r="E155" s="1"/>
    </row>
    <row r="156" spans="1:5" ht="12.75">
      <c r="A156" s="41" t="s">
        <v>41</v>
      </c>
      <c r="B156" s="39"/>
      <c r="C156" s="39"/>
      <c r="D156" s="755" t="s">
        <v>215</v>
      </c>
      <c r="E156" s="755"/>
    </row>
    <row r="157" spans="1:5" ht="12.75">
      <c r="A157" s="49"/>
      <c r="B157" s="1"/>
      <c r="C157" s="1"/>
      <c r="D157" s="1"/>
      <c r="E157" s="1"/>
    </row>
    <row r="158" spans="1:5" ht="12.75">
      <c r="A158" s="38" t="s">
        <v>171</v>
      </c>
      <c r="B158" s="1"/>
      <c r="C158" s="1"/>
      <c r="D158" s="1"/>
      <c r="E158" s="1"/>
    </row>
    <row r="159" spans="1:5" ht="12.75">
      <c r="A159" s="38" t="s">
        <v>34</v>
      </c>
      <c r="B159" s="1"/>
      <c r="C159" s="1"/>
      <c r="D159" s="1"/>
      <c r="E159" s="1"/>
    </row>
  </sheetData>
  <mergeCells count="5">
    <mergeCell ref="D156:E156"/>
    <mergeCell ref="A2:E2"/>
    <mergeCell ref="A4:E4"/>
    <mergeCell ref="A5:E5"/>
    <mergeCell ref="A153:B153"/>
  </mergeCells>
  <printOptions/>
  <pageMargins left="0.75" right="0.75" top="1" bottom="1" header="0.5" footer="0.5"/>
  <pageSetup firstPageNumber="23" useFirstPageNumber="1" horizontalDpi="600" verticalDpi="600" orientation="portrait" paperSize="9" r:id="rId1"/>
  <headerFooter alignWithMargins="0">
    <oddFooter>&amp;R&amp;9&amp;P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N50"/>
  <sheetViews>
    <sheetView workbookViewId="0" topLeftCell="F23">
      <selection activeCell="F48" sqref="F48"/>
    </sheetView>
  </sheetViews>
  <sheetFormatPr defaultColWidth="9.140625" defaultRowHeight="17.25" customHeight="1"/>
  <cols>
    <col min="1" max="1" width="37.421875" style="265" hidden="1" customWidth="1"/>
    <col min="2" max="2" width="13.140625" style="265" hidden="1" customWidth="1"/>
    <col min="3" max="3" width="11.7109375" style="419" hidden="1" customWidth="1"/>
    <col min="4" max="4" width="12.421875" style="39" hidden="1" customWidth="1"/>
    <col min="5" max="5" width="11.00390625" style="42" hidden="1" customWidth="1"/>
    <col min="6" max="6" width="37.421875" style="265" customWidth="1"/>
    <col min="7" max="7" width="13.140625" style="265" customWidth="1"/>
    <col min="8" max="8" width="8.8515625" style="42" customWidth="1"/>
    <col min="9" max="9" width="12.421875" style="39" customWidth="1"/>
    <col min="10" max="10" width="9.8515625" style="42" customWidth="1"/>
    <col min="11" max="14" width="9.140625" style="0" hidden="1" customWidth="1"/>
  </cols>
  <sheetData>
    <row r="1" spans="2:10" ht="17.25" customHeight="1">
      <c r="B1" s="51"/>
      <c r="E1" s="419" t="s">
        <v>527</v>
      </c>
      <c r="G1" s="51"/>
      <c r="H1" s="420"/>
      <c r="J1" s="419" t="s">
        <v>527</v>
      </c>
    </row>
    <row r="2" spans="1:6" ht="17.25" customHeight="1">
      <c r="A2" s="265" t="s">
        <v>528</v>
      </c>
      <c r="F2" s="265" t="s">
        <v>528</v>
      </c>
    </row>
    <row r="4" spans="1:10" ht="32.25" customHeight="1">
      <c r="A4" s="738" t="s">
        <v>529</v>
      </c>
      <c r="B4" s="738"/>
      <c r="C4" s="738"/>
      <c r="D4" s="738"/>
      <c r="E4" s="738"/>
      <c r="F4" s="739" t="s">
        <v>529</v>
      </c>
      <c r="G4" s="739"/>
      <c r="H4" s="739"/>
      <c r="I4" s="739"/>
      <c r="J4" s="739"/>
    </row>
    <row r="5" spans="1:10" ht="17.25" customHeight="1">
      <c r="A5" s="755" t="s">
        <v>530</v>
      </c>
      <c r="B5" s="755"/>
      <c r="C5" s="755"/>
      <c r="D5" s="755"/>
      <c r="E5" s="755"/>
      <c r="F5" s="749" t="s">
        <v>29</v>
      </c>
      <c r="G5" s="749"/>
      <c r="H5" s="749"/>
      <c r="I5" s="749"/>
      <c r="J5" s="749"/>
    </row>
    <row r="6" spans="1:10" s="38" customFormat="1" ht="13.5" customHeight="1">
      <c r="A6" s="270"/>
      <c r="B6" s="270"/>
      <c r="C6" s="421"/>
      <c r="D6" s="3"/>
      <c r="E6" s="421" t="s">
        <v>94</v>
      </c>
      <c r="F6" s="270"/>
      <c r="G6" s="270"/>
      <c r="H6" s="422"/>
      <c r="I6" s="3"/>
      <c r="J6" s="421" t="s">
        <v>94</v>
      </c>
    </row>
    <row r="7" spans="1:13" ht="51">
      <c r="A7" s="316" t="s">
        <v>47</v>
      </c>
      <c r="B7" s="316" t="s">
        <v>223</v>
      </c>
      <c r="C7" s="317" t="s">
        <v>531</v>
      </c>
      <c r="D7" s="316" t="s">
        <v>532</v>
      </c>
      <c r="E7" s="9" t="s">
        <v>226</v>
      </c>
      <c r="F7" s="316" t="s">
        <v>47</v>
      </c>
      <c r="G7" s="316" t="s">
        <v>223</v>
      </c>
      <c r="H7" s="317" t="s">
        <v>531</v>
      </c>
      <c r="I7" s="316" t="s">
        <v>532</v>
      </c>
      <c r="J7" s="9" t="s">
        <v>40</v>
      </c>
      <c r="L7" t="s">
        <v>389</v>
      </c>
      <c r="M7" t="s">
        <v>533</v>
      </c>
    </row>
    <row r="8" spans="1:10" ht="12.75">
      <c r="A8" s="276">
        <v>1</v>
      </c>
      <c r="B8" s="276">
        <v>2</v>
      </c>
      <c r="C8" s="423">
        <v>3</v>
      </c>
      <c r="D8" s="276">
        <v>4</v>
      </c>
      <c r="E8" s="365">
        <v>5</v>
      </c>
      <c r="F8" s="276">
        <v>1</v>
      </c>
      <c r="G8" s="276">
        <v>2</v>
      </c>
      <c r="H8" s="365">
        <v>3</v>
      </c>
      <c r="I8" s="276">
        <v>4</v>
      </c>
      <c r="J8" s="365">
        <v>5</v>
      </c>
    </row>
    <row r="9" spans="1:14" ht="25.5">
      <c r="A9" s="94" t="s">
        <v>534</v>
      </c>
      <c r="B9" s="424">
        <f>SUM(B10:B12)</f>
        <v>2673211</v>
      </c>
      <c r="C9" s="424">
        <f>SUM(C10:C12)</f>
        <v>1292357</v>
      </c>
      <c r="D9" s="425">
        <f>C9/B9*100</f>
        <v>48.3447434564649</v>
      </c>
      <c r="E9" s="424">
        <f>E10+E11+E12</f>
        <v>348827</v>
      </c>
      <c r="F9" s="94" t="s">
        <v>534</v>
      </c>
      <c r="G9" s="426">
        <v>3360</v>
      </c>
      <c r="H9" s="426">
        <v>1691</v>
      </c>
      <c r="I9" s="427">
        <v>50.32738095238095</v>
      </c>
      <c r="J9" s="426">
        <v>398</v>
      </c>
      <c r="K9">
        <f>H9-'[9]marts'!H9</f>
        <v>674</v>
      </c>
      <c r="L9">
        <f aca="true" t="shared" si="0" ref="L9:L36">H9</f>
        <v>1691</v>
      </c>
      <c r="M9">
        <v>1017</v>
      </c>
      <c r="N9">
        <f aca="true" t="shared" si="1" ref="N9:N36">L9-M9</f>
        <v>674</v>
      </c>
    </row>
    <row r="10" spans="1:14" ht="25.5">
      <c r="A10" s="69" t="s">
        <v>535</v>
      </c>
      <c r="B10" s="423">
        <f>2334693</f>
        <v>2334693</v>
      </c>
      <c r="C10" s="423">
        <v>1110852</v>
      </c>
      <c r="D10" s="428">
        <f>C10/B10*100</f>
        <v>47.58021718487184</v>
      </c>
      <c r="E10" s="423">
        <f>C10-'[9]marts'!C10</f>
        <v>167394</v>
      </c>
      <c r="F10" s="69" t="s">
        <v>535</v>
      </c>
      <c r="G10" s="429">
        <v>2869</v>
      </c>
      <c r="H10" s="429">
        <v>1408</v>
      </c>
      <c r="I10" s="430">
        <v>49.07633321714883</v>
      </c>
      <c r="J10" s="429">
        <v>298</v>
      </c>
      <c r="K10">
        <f>H10-'[9]marts'!H10</f>
        <v>465</v>
      </c>
      <c r="L10">
        <f t="shared" si="0"/>
        <v>1408</v>
      </c>
      <c r="M10">
        <v>943</v>
      </c>
      <c r="N10">
        <f t="shared" si="1"/>
        <v>465</v>
      </c>
    </row>
    <row r="11" spans="1:14" ht="25.5">
      <c r="A11" s="69" t="s">
        <v>536</v>
      </c>
      <c r="B11" s="423">
        <v>338518</v>
      </c>
      <c r="C11" s="423">
        <v>127910</v>
      </c>
      <c r="D11" s="428">
        <f>C11/B11*100</f>
        <v>37.78528763610798</v>
      </c>
      <c r="E11" s="423">
        <f>C11-'[9]marts'!C11</f>
        <v>127838</v>
      </c>
      <c r="F11" s="69" t="s">
        <v>536</v>
      </c>
      <c r="G11" s="429">
        <v>491</v>
      </c>
      <c r="H11" s="429">
        <v>229</v>
      </c>
      <c r="I11" s="430">
        <v>46.63951120162933</v>
      </c>
      <c r="J11" s="429">
        <v>101</v>
      </c>
      <c r="K11">
        <f>H11-'[9]marts'!H11</f>
        <v>155</v>
      </c>
      <c r="L11">
        <f t="shared" si="0"/>
        <v>229</v>
      </c>
      <c r="M11">
        <v>74</v>
      </c>
      <c r="N11">
        <f t="shared" si="1"/>
        <v>155</v>
      </c>
    </row>
    <row r="12" spans="1:14" ht="25.5">
      <c r="A12" s="69" t="s">
        <v>537</v>
      </c>
      <c r="B12" s="423"/>
      <c r="C12" s="423">
        <v>53595</v>
      </c>
      <c r="D12" s="428"/>
      <c r="E12" s="423">
        <f>C12-'[9]marts'!C12</f>
        <v>53595</v>
      </c>
      <c r="F12" s="69" t="s">
        <v>537</v>
      </c>
      <c r="G12" s="429"/>
      <c r="H12" s="429">
        <v>54</v>
      </c>
      <c r="I12" s="430"/>
      <c r="J12" s="429">
        <v>0</v>
      </c>
      <c r="K12">
        <f>H12-'[9]marts'!H12</f>
        <v>54</v>
      </c>
      <c r="L12">
        <f t="shared" si="0"/>
        <v>54</v>
      </c>
      <c r="N12">
        <f t="shared" si="1"/>
        <v>54</v>
      </c>
    </row>
    <row r="13" spans="1:14" ht="17.25" customHeight="1">
      <c r="A13" s="94" t="s">
        <v>538</v>
      </c>
      <c r="B13" s="98">
        <f>SUM(B14,B31)</f>
        <v>3019764</v>
      </c>
      <c r="C13" s="382">
        <f>SUM(C14,C31)</f>
        <v>1174771</v>
      </c>
      <c r="D13" s="425">
        <f>C13/B13*100</f>
        <v>38.902742068585496</v>
      </c>
      <c r="E13" s="423">
        <f>C13-'[9]marts'!C13</f>
        <v>284883</v>
      </c>
      <c r="F13" s="94" t="s">
        <v>538</v>
      </c>
      <c r="G13" s="382">
        <v>3742</v>
      </c>
      <c r="H13" s="382">
        <v>1673</v>
      </c>
      <c r="I13" s="427">
        <v>44.70871191876002</v>
      </c>
      <c r="J13" s="382">
        <v>387</v>
      </c>
      <c r="K13">
        <f>H13-'[9]marts'!H13</f>
        <v>709</v>
      </c>
      <c r="L13">
        <f t="shared" si="0"/>
        <v>1673</v>
      </c>
      <c r="M13">
        <v>964</v>
      </c>
      <c r="N13">
        <f t="shared" si="1"/>
        <v>709</v>
      </c>
    </row>
    <row r="14" spans="1:14" ht="17.25" customHeight="1">
      <c r="A14" s="100" t="s">
        <v>471</v>
      </c>
      <c r="B14" s="98">
        <f>SUM(B15,B22,B25)</f>
        <v>2683914</v>
      </c>
      <c r="C14" s="431">
        <f>SUM(C15,C22,C25)</f>
        <v>1080810</v>
      </c>
      <c r="D14" s="425">
        <f>C14/B14*100</f>
        <v>40.26991922990081</v>
      </c>
      <c r="E14" s="423">
        <f>C14-'[9]marts'!C14</f>
        <v>284883</v>
      </c>
      <c r="F14" s="100" t="s">
        <v>471</v>
      </c>
      <c r="G14" s="382">
        <v>3336</v>
      </c>
      <c r="H14" s="382">
        <v>1518</v>
      </c>
      <c r="I14" s="427">
        <v>45.50359712230216</v>
      </c>
      <c r="J14" s="382">
        <v>348</v>
      </c>
      <c r="K14">
        <f>H14-'[9]marts'!H14</f>
        <v>648</v>
      </c>
      <c r="L14">
        <f t="shared" si="0"/>
        <v>1518</v>
      </c>
      <c r="M14">
        <v>870</v>
      </c>
      <c r="N14">
        <f t="shared" si="1"/>
        <v>648</v>
      </c>
    </row>
    <row r="15" spans="1:14" ht="17.25" customHeight="1">
      <c r="A15" s="100" t="s">
        <v>316</v>
      </c>
      <c r="B15" s="382">
        <f>SUM(B16,B17,B18,B21)</f>
        <v>2389354</v>
      </c>
      <c r="C15" s="431">
        <f>SUM(C16,C17,C18,C21)</f>
        <v>957142</v>
      </c>
      <c r="D15" s="425">
        <f>C15/B15*100</f>
        <v>40.05860998412123</v>
      </c>
      <c r="E15" s="423">
        <f>C15-'[9]marts'!C15</f>
        <v>284883</v>
      </c>
      <c r="F15" s="100" t="s">
        <v>316</v>
      </c>
      <c r="G15" s="382">
        <v>2947</v>
      </c>
      <c r="H15" s="382">
        <v>1339</v>
      </c>
      <c r="I15" s="427">
        <v>45.43603664743807</v>
      </c>
      <c r="J15" s="382">
        <v>316</v>
      </c>
      <c r="K15">
        <f>H15-'[9]marts'!H15</f>
        <v>592</v>
      </c>
      <c r="L15">
        <f t="shared" si="0"/>
        <v>1339</v>
      </c>
      <c r="M15">
        <v>747</v>
      </c>
      <c r="N15">
        <f t="shared" si="1"/>
        <v>592</v>
      </c>
    </row>
    <row r="16" spans="1:14" ht="17.25" customHeight="1">
      <c r="A16" s="251" t="s">
        <v>317</v>
      </c>
      <c r="B16" s="423">
        <v>357175</v>
      </c>
      <c r="C16" s="423">
        <f>'[9]darbam'!B17</f>
        <v>128488</v>
      </c>
      <c r="D16" s="428">
        <f>C16/B16*100</f>
        <v>35.97340239378456</v>
      </c>
      <c r="E16" s="423">
        <f>C16-'[9]marts'!C16</f>
        <v>0</v>
      </c>
      <c r="F16" s="251" t="s">
        <v>317</v>
      </c>
      <c r="G16" s="429">
        <v>462</v>
      </c>
      <c r="H16" s="429">
        <v>232</v>
      </c>
      <c r="I16" s="430">
        <v>50.21645021645021</v>
      </c>
      <c r="J16" s="429">
        <v>45</v>
      </c>
      <c r="K16">
        <f>H16-'[9]marts'!H16</f>
        <v>104</v>
      </c>
      <c r="L16">
        <f t="shared" si="0"/>
        <v>232</v>
      </c>
      <c r="M16">
        <v>128</v>
      </c>
      <c r="N16">
        <f t="shared" si="1"/>
        <v>104</v>
      </c>
    </row>
    <row r="17" spans="1:14" ht="25.5">
      <c r="A17" s="69" t="s">
        <v>539</v>
      </c>
      <c r="B17" s="346" t="s">
        <v>53</v>
      </c>
      <c r="C17" s="423">
        <f>'[9]darbam'!B18</f>
        <v>18016</v>
      </c>
      <c r="D17" s="428" t="s">
        <v>540</v>
      </c>
      <c r="E17" s="423">
        <f>C17-'[9]marts'!C17</f>
        <v>0</v>
      </c>
      <c r="F17" s="69" t="s">
        <v>539</v>
      </c>
      <c r="G17" s="402" t="s">
        <v>53</v>
      </c>
      <c r="H17" s="429">
        <v>31</v>
      </c>
      <c r="I17" s="430"/>
      <c r="J17" s="429">
        <v>5</v>
      </c>
      <c r="K17">
        <f>H17-'[9]marts'!H17</f>
        <v>13</v>
      </c>
      <c r="L17">
        <f t="shared" si="0"/>
        <v>31</v>
      </c>
      <c r="M17">
        <v>18</v>
      </c>
      <c r="N17">
        <f t="shared" si="1"/>
        <v>13</v>
      </c>
    </row>
    <row r="18" spans="1:14" ht="17.25" customHeight="1">
      <c r="A18" s="69" t="s">
        <v>319</v>
      </c>
      <c r="B18" s="291">
        <v>2032179</v>
      </c>
      <c r="C18" s="291">
        <f>'[9]darbam'!B19</f>
        <v>810638</v>
      </c>
      <c r="D18" s="428">
        <f>C18/B18*100</f>
        <v>39.89008842232894</v>
      </c>
      <c r="E18" s="423">
        <f>C18-'[9]marts'!C18</f>
        <v>284883</v>
      </c>
      <c r="F18" s="69" t="s">
        <v>319</v>
      </c>
      <c r="G18" s="429">
        <v>2485</v>
      </c>
      <c r="H18" s="429">
        <v>1076</v>
      </c>
      <c r="I18" s="430">
        <v>43.29979879275654</v>
      </c>
      <c r="J18" s="429">
        <v>266</v>
      </c>
      <c r="K18">
        <f>H18-'[9]marts'!H18</f>
        <v>475</v>
      </c>
      <c r="L18">
        <f t="shared" si="0"/>
        <v>1076</v>
      </c>
      <c r="M18">
        <v>601</v>
      </c>
      <c r="N18">
        <f t="shared" si="1"/>
        <v>475</v>
      </c>
    </row>
    <row r="19" spans="1:14" ht="17.25" customHeight="1">
      <c r="A19" s="348" t="s">
        <v>541</v>
      </c>
      <c r="B19" s="432" t="s">
        <v>53</v>
      </c>
      <c r="C19" s="433">
        <f>'[9]darbam'!B20</f>
        <v>583163</v>
      </c>
      <c r="D19" s="428"/>
      <c r="E19" s="423">
        <f>C19-'[9]marts'!C19</f>
        <v>152459</v>
      </c>
      <c r="F19" s="348" t="s">
        <v>541</v>
      </c>
      <c r="G19" s="434" t="s">
        <v>53</v>
      </c>
      <c r="H19" s="429">
        <v>881</v>
      </c>
      <c r="I19" s="430"/>
      <c r="J19" s="429">
        <v>206</v>
      </c>
      <c r="K19">
        <f>H19-'[9]marts'!H19</f>
        <v>375</v>
      </c>
      <c r="L19">
        <f t="shared" si="0"/>
        <v>881</v>
      </c>
      <c r="M19">
        <v>506</v>
      </c>
      <c r="N19">
        <f t="shared" si="1"/>
        <v>375</v>
      </c>
    </row>
    <row r="20" spans="1:14" ht="12.75">
      <c r="A20" s="348" t="s">
        <v>542</v>
      </c>
      <c r="B20" s="432" t="s">
        <v>53</v>
      </c>
      <c r="C20" s="433">
        <f>'[9]darbam'!B21</f>
        <v>95051</v>
      </c>
      <c r="D20" s="428"/>
      <c r="E20" s="423">
        <f>C20-'[9]marts'!C20</f>
        <v>0</v>
      </c>
      <c r="F20" s="348" t="s">
        <v>542</v>
      </c>
      <c r="G20" s="434" t="s">
        <v>53</v>
      </c>
      <c r="H20" s="429">
        <v>195</v>
      </c>
      <c r="I20" s="430"/>
      <c r="J20" s="429">
        <v>60</v>
      </c>
      <c r="K20">
        <f>H20-'[9]marts'!H20</f>
        <v>100</v>
      </c>
      <c r="L20">
        <f t="shared" si="0"/>
        <v>195</v>
      </c>
      <c r="M20">
        <v>95</v>
      </c>
      <c r="N20">
        <f t="shared" si="1"/>
        <v>100</v>
      </c>
    </row>
    <row r="21" spans="1:14" ht="12.75">
      <c r="A21" s="69" t="s">
        <v>543</v>
      </c>
      <c r="B21" s="346"/>
      <c r="C21" s="423">
        <f>'[9]darbam'!B22</f>
        <v>0</v>
      </c>
      <c r="D21" s="428"/>
      <c r="E21" s="423">
        <f>C21-'[9]marts'!C21</f>
        <v>0</v>
      </c>
      <c r="F21" s="69" t="s">
        <v>543</v>
      </c>
      <c r="G21" s="402"/>
      <c r="H21" s="423"/>
      <c r="I21" s="430"/>
      <c r="J21" s="429">
        <v>0</v>
      </c>
      <c r="K21">
        <f>H21-'[9]marts'!H21</f>
        <v>0</v>
      </c>
      <c r="L21">
        <f t="shared" si="0"/>
        <v>0</v>
      </c>
      <c r="N21">
        <f t="shared" si="1"/>
        <v>0</v>
      </c>
    </row>
    <row r="22" spans="1:14" ht="25.5">
      <c r="A22" s="76" t="s">
        <v>320</v>
      </c>
      <c r="B22" s="346"/>
      <c r="C22" s="382">
        <f>'[9]darbam'!B23</f>
        <v>0</v>
      </c>
      <c r="D22" s="428"/>
      <c r="E22" s="423">
        <f>C22-'[9]marts'!C22</f>
        <v>0</v>
      </c>
      <c r="F22" s="76" t="s">
        <v>320</v>
      </c>
      <c r="G22" s="402"/>
      <c r="H22" s="382"/>
      <c r="I22" s="430"/>
      <c r="J22" s="382"/>
      <c r="K22">
        <f>H22-'[9]marts'!H22</f>
        <v>0</v>
      </c>
      <c r="L22">
        <f t="shared" si="0"/>
        <v>0</v>
      </c>
      <c r="N22">
        <f t="shared" si="1"/>
        <v>0</v>
      </c>
    </row>
    <row r="23" spans="1:14" ht="25.5">
      <c r="A23" s="69" t="s">
        <v>544</v>
      </c>
      <c r="B23" s="346"/>
      <c r="C23" s="423">
        <f>'[9]darbam'!B24</f>
        <v>0</v>
      </c>
      <c r="D23" s="428"/>
      <c r="E23" s="423">
        <f>C23-'[9]marts'!C23</f>
        <v>0</v>
      </c>
      <c r="F23" s="69" t="s">
        <v>544</v>
      </c>
      <c r="G23" s="402"/>
      <c r="H23" s="423"/>
      <c r="I23" s="430"/>
      <c r="J23" s="423"/>
      <c r="K23">
        <f>H23-'[9]marts'!H23</f>
        <v>0</v>
      </c>
      <c r="L23">
        <f t="shared" si="0"/>
        <v>0</v>
      </c>
      <c r="N23">
        <f t="shared" si="1"/>
        <v>0</v>
      </c>
    </row>
    <row r="24" spans="1:14" ht="25.5">
      <c r="A24" s="69" t="s">
        <v>545</v>
      </c>
      <c r="B24" s="346"/>
      <c r="C24" s="423">
        <f>'[9]darbam'!B25</f>
        <v>0</v>
      </c>
      <c r="D24" s="428"/>
      <c r="E24" s="423">
        <f>C24-'[9]marts'!C24</f>
        <v>0</v>
      </c>
      <c r="F24" s="69" t="s">
        <v>545</v>
      </c>
      <c r="G24" s="402"/>
      <c r="H24" s="423"/>
      <c r="I24" s="430"/>
      <c r="J24" s="423"/>
      <c r="K24">
        <f>H24-'[9]marts'!H24</f>
        <v>0</v>
      </c>
      <c r="L24">
        <f t="shared" si="0"/>
        <v>0</v>
      </c>
      <c r="N24">
        <f t="shared" si="1"/>
        <v>0</v>
      </c>
    </row>
    <row r="25" spans="1:14" ht="12.75">
      <c r="A25" s="32" t="s">
        <v>324</v>
      </c>
      <c r="B25" s="382">
        <f>SUM(B26:B30)</f>
        <v>294560</v>
      </c>
      <c r="C25" s="382">
        <f>SUM(C26:C30)</f>
        <v>123668</v>
      </c>
      <c r="D25" s="425">
        <f>C25/B25*100</f>
        <v>41.98397609994568</v>
      </c>
      <c r="E25" s="423">
        <f>C25-'[9]marts'!C25</f>
        <v>0</v>
      </c>
      <c r="F25" s="32" t="s">
        <v>324</v>
      </c>
      <c r="G25" s="382">
        <v>389</v>
      </c>
      <c r="H25" s="382">
        <v>179</v>
      </c>
      <c r="I25" s="427">
        <v>46.01542416452442</v>
      </c>
      <c r="J25" s="435">
        <v>32</v>
      </c>
      <c r="K25">
        <f>H25-'[9]marts'!H25</f>
        <v>56</v>
      </c>
      <c r="L25">
        <f t="shared" si="0"/>
        <v>179</v>
      </c>
      <c r="M25">
        <v>123</v>
      </c>
      <c r="N25">
        <f t="shared" si="1"/>
        <v>56</v>
      </c>
    </row>
    <row r="26" spans="1:14" ht="12.75">
      <c r="A26" s="251" t="s">
        <v>325</v>
      </c>
      <c r="B26" s="402">
        <v>14200</v>
      </c>
      <c r="C26" s="423">
        <f>'[9]darbam'!B28</f>
        <v>4100</v>
      </c>
      <c r="D26" s="425">
        <f>C26/B26*100</f>
        <v>28.87323943661972</v>
      </c>
      <c r="E26" s="423">
        <f>C26-'[9]marts'!C26</f>
        <v>0</v>
      </c>
      <c r="F26" s="251" t="s">
        <v>325</v>
      </c>
      <c r="G26" s="429">
        <v>14</v>
      </c>
      <c r="H26" s="429">
        <v>8</v>
      </c>
      <c r="I26" s="430">
        <v>57.14285714285714</v>
      </c>
      <c r="J26" s="429">
        <v>0</v>
      </c>
      <c r="K26">
        <f>H26-'[9]marts'!H26</f>
        <v>4</v>
      </c>
      <c r="L26">
        <f t="shared" si="0"/>
        <v>8</v>
      </c>
      <c r="M26">
        <v>4</v>
      </c>
      <c r="N26">
        <f t="shared" si="1"/>
        <v>4</v>
      </c>
    </row>
    <row r="27" spans="1:14" ht="12.75">
      <c r="A27" s="251" t="s">
        <v>326</v>
      </c>
      <c r="B27" s="402"/>
      <c r="C27" s="423">
        <f>'[9]darbam'!B29</f>
        <v>300</v>
      </c>
      <c r="D27" s="425"/>
      <c r="E27" s="423">
        <f>C27-'[9]marts'!C27</f>
        <v>0</v>
      </c>
      <c r="F27" s="251" t="s">
        <v>326</v>
      </c>
      <c r="G27" s="402"/>
      <c r="H27" s="429"/>
      <c r="I27" s="430"/>
      <c r="J27" s="429">
        <v>0</v>
      </c>
      <c r="K27">
        <f>H27-'[9]marts'!H27</f>
        <v>0</v>
      </c>
      <c r="L27">
        <f t="shared" si="0"/>
        <v>0</v>
      </c>
      <c r="N27">
        <f t="shared" si="1"/>
        <v>0</v>
      </c>
    </row>
    <row r="28" spans="1:14" ht="12.75">
      <c r="A28" s="69" t="s">
        <v>327</v>
      </c>
      <c r="B28" s="402"/>
      <c r="C28" s="423">
        <f>'[9]darbam'!B30</f>
        <v>0</v>
      </c>
      <c r="D28" s="428"/>
      <c r="E28" s="423">
        <f>C28-'[9]marts'!C28</f>
        <v>0</v>
      </c>
      <c r="F28" s="69" t="s">
        <v>327</v>
      </c>
      <c r="G28" s="402"/>
      <c r="H28" s="429"/>
      <c r="I28" s="430"/>
      <c r="J28" s="429">
        <v>0</v>
      </c>
      <c r="K28">
        <f>H28-'[9]marts'!H28</f>
        <v>0</v>
      </c>
      <c r="L28">
        <f t="shared" si="0"/>
        <v>0</v>
      </c>
      <c r="N28">
        <f t="shared" si="1"/>
        <v>0</v>
      </c>
    </row>
    <row r="29" spans="1:14" ht="12.75">
      <c r="A29" s="69" t="s">
        <v>546</v>
      </c>
      <c r="B29" s="423">
        <v>69940</v>
      </c>
      <c r="C29" s="423">
        <f>'[9]darbam'!B31</f>
        <v>41002</v>
      </c>
      <c r="D29" s="428">
        <f>C29/B29*100</f>
        <v>58.62453531598513</v>
      </c>
      <c r="E29" s="423">
        <f>C29-'[9]marts'!C29</f>
        <v>0</v>
      </c>
      <c r="F29" s="69" t="s">
        <v>546</v>
      </c>
      <c r="G29" s="429">
        <v>141</v>
      </c>
      <c r="H29" s="429">
        <v>68</v>
      </c>
      <c r="I29" s="430">
        <v>48.226950354609926</v>
      </c>
      <c r="J29" s="429">
        <v>24</v>
      </c>
      <c r="K29">
        <f>H29-'[9]marts'!H29</f>
        <v>27</v>
      </c>
      <c r="L29">
        <f t="shared" si="0"/>
        <v>68</v>
      </c>
      <c r="M29">
        <v>41</v>
      </c>
      <c r="N29">
        <f t="shared" si="1"/>
        <v>27</v>
      </c>
    </row>
    <row r="30" spans="1:14" ht="12.75">
      <c r="A30" s="69" t="s">
        <v>330</v>
      </c>
      <c r="B30" s="423">
        <v>210420</v>
      </c>
      <c r="C30" s="423">
        <f>'[9]darbam'!B32</f>
        <v>78266</v>
      </c>
      <c r="D30" s="428">
        <f>C30/B30*100</f>
        <v>37.19513354243893</v>
      </c>
      <c r="E30" s="423">
        <f>C30-'[9]marts'!C30</f>
        <v>0</v>
      </c>
      <c r="F30" s="69" t="s">
        <v>330</v>
      </c>
      <c r="G30" s="429">
        <v>234</v>
      </c>
      <c r="H30" s="429">
        <v>103</v>
      </c>
      <c r="I30" s="430">
        <v>44.01709401709402</v>
      </c>
      <c r="J30" s="429">
        <v>8</v>
      </c>
      <c r="K30">
        <f>H30-'[9]marts'!H30</f>
        <v>25</v>
      </c>
      <c r="L30">
        <f t="shared" si="0"/>
        <v>103</v>
      </c>
      <c r="M30">
        <v>78</v>
      </c>
      <c r="N30">
        <f t="shared" si="1"/>
        <v>25</v>
      </c>
    </row>
    <row r="31" spans="1:14" ht="12.75">
      <c r="A31" s="130" t="s">
        <v>547</v>
      </c>
      <c r="B31" s="382">
        <f>SUM(B32:B33)</f>
        <v>335850</v>
      </c>
      <c r="C31" s="382">
        <f>SUM(C32:C33)</f>
        <v>93961</v>
      </c>
      <c r="D31" s="425">
        <f>C31/B31*100</f>
        <v>27.977073098109273</v>
      </c>
      <c r="E31" s="423">
        <f>C31-'[9]marts'!C31</f>
        <v>0</v>
      </c>
      <c r="F31" s="130" t="s">
        <v>547</v>
      </c>
      <c r="G31" s="382">
        <v>406</v>
      </c>
      <c r="H31" s="436">
        <v>155</v>
      </c>
      <c r="I31" s="427">
        <v>38.17733990147783</v>
      </c>
      <c r="J31" s="435">
        <v>39</v>
      </c>
      <c r="K31">
        <f>H31-'[9]marts'!H31</f>
        <v>61</v>
      </c>
      <c r="L31">
        <f t="shared" si="0"/>
        <v>155</v>
      </c>
      <c r="M31">
        <v>94</v>
      </c>
      <c r="N31">
        <f t="shared" si="1"/>
        <v>61</v>
      </c>
    </row>
    <row r="32" spans="1:14" ht="17.25" customHeight="1">
      <c r="A32" s="69" t="s">
        <v>548</v>
      </c>
      <c r="B32" s="423">
        <v>334240</v>
      </c>
      <c r="C32" s="423">
        <f>'[9]darbam'!B35</f>
        <v>93961</v>
      </c>
      <c r="D32" s="428">
        <f>C32/B32*100</f>
        <v>28.111835806606035</v>
      </c>
      <c r="E32" s="423">
        <f>C32-'[9]marts'!C32</f>
        <v>0</v>
      </c>
      <c r="F32" s="69" t="s">
        <v>548</v>
      </c>
      <c r="G32" s="429">
        <v>404</v>
      </c>
      <c r="H32" s="429">
        <v>155</v>
      </c>
      <c r="I32" s="430">
        <v>38.366336633663366</v>
      </c>
      <c r="J32" s="429">
        <v>39</v>
      </c>
      <c r="K32">
        <f>H32-'[9]marts'!H32</f>
        <v>61</v>
      </c>
      <c r="L32">
        <f t="shared" si="0"/>
        <v>155</v>
      </c>
      <c r="M32">
        <v>94</v>
      </c>
      <c r="N32">
        <f t="shared" si="1"/>
        <v>61</v>
      </c>
    </row>
    <row r="33" spans="1:14" ht="17.25" customHeight="1">
      <c r="A33" s="69" t="s">
        <v>549</v>
      </c>
      <c r="B33" s="429">
        <v>1610</v>
      </c>
      <c r="C33" s="423">
        <f>'[9]darbam'!B36</f>
        <v>0</v>
      </c>
      <c r="D33" s="428"/>
      <c r="E33" s="423">
        <f>C33-'[9]marts'!C33</f>
        <v>0</v>
      </c>
      <c r="F33" s="69" t="s">
        <v>549</v>
      </c>
      <c r="G33" s="429">
        <v>2</v>
      </c>
      <c r="H33" s="429">
        <v>0</v>
      </c>
      <c r="I33" s="430"/>
      <c r="J33" s="429">
        <v>0</v>
      </c>
      <c r="K33">
        <f>H33-'[9]marts'!H33</f>
        <v>0</v>
      </c>
      <c r="L33">
        <f t="shared" si="0"/>
        <v>0</v>
      </c>
      <c r="N33">
        <f t="shared" si="1"/>
        <v>0</v>
      </c>
    </row>
    <row r="34" spans="1:14" ht="12.75">
      <c r="A34" s="130" t="s">
        <v>550</v>
      </c>
      <c r="B34" s="402">
        <f>B9-B13</f>
        <v>-346553</v>
      </c>
      <c r="C34" s="402">
        <f>C9-C13</f>
        <v>117586</v>
      </c>
      <c r="D34" s="428">
        <f>C34/B34*100</f>
        <v>-33.93016364019356</v>
      </c>
      <c r="E34" s="423">
        <f>C34-'[9]marts'!C34</f>
        <v>63944</v>
      </c>
      <c r="F34" s="130" t="s">
        <v>550</v>
      </c>
      <c r="G34" s="402">
        <v>-382</v>
      </c>
      <c r="H34" s="423">
        <v>18</v>
      </c>
      <c r="I34" s="430">
        <v>-4.712041884816754</v>
      </c>
      <c r="J34" s="429">
        <v>11</v>
      </c>
      <c r="K34">
        <f>H34-'[9]marts'!H34</f>
        <v>-35</v>
      </c>
      <c r="L34">
        <f t="shared" si="0"/>
        <v>18</v>
      </c>
      <c r="M34">
        <v>53</v>
      </c>
      <c r="N34">
        <f t="shared" si="1"/>
        <v>-35</v>
      </c>
    </row>
    <row r="35" spans="1:14" ht="12.75">
      <c r="A35" s="130" t="s">
        <v>350</v>
      </c>
      <c r="B35" s="437">
        <f>-B34</f>
        <v>346553</v>
      </c>
      <c r="C35" s="437">
        <f>-C34</f>
        <v>-117586</v>
      </c>
      <c r="D35" s="438"/>
      <c r="E35" s="423">
        <f>C35-'[9]marts'!C35</f>
        <v>-63944</v>
      </c>
      <c r="F35" s="130" t="s">
        <v>350</v>
      </c>
      <c r="G35" s="402">
        <v>382</v>
      </c>
      <c r="H35" s="423">
        <v>-18</v>
      </c>
      <c r="I35" s="430">
        <v>4.712041884816754</v>
      </c>
      <c r="J35" s="423">
        <v>-11</v>
      </c>
      <c r="K35">
        <f>H35-'[9]marts'!H35</f>
        <v>35</v>
      </c>
      <c r="L35">
        <f t="shared" si="0"/>
        <v>-18</v>
      </c>
      <c r="M35">
        <v>-53</v>
      </c>
      <c r="N35">
        <f t="shared" si="1"/>
        <v>35</v>
      </c>
    </row>
    <row r="36" spans="1:14" ht="25.5">
      <c r="A36" s="134" t="s">
        <v>551</v>
      </c>
      <c r="B36" s="437"/>
      <c r="C36" s="423"/>
      <c r="D36" s="438"/>
      <c r="E36" s="423">
        <f>C36-'[9]marts'!C36</f>
        <v>0</v>
      </c>
      <c r="F36" s="134" t="s">
        <v>551</v>
      </c>
      <c r="G36" s="402">
        <v>0</v>
      </c>
      <c r="H36" s="423">
        <v>-18</v>
      </c>
      <c r="I36" s="439"/>
      <c r="J36" s="423">
        <v>-11</v>
      </c>
      <c r="K36">
        <f>H36-'[9]marts'!H36</f>
        <v>35</v>
      </c>
      <c r="L36">
        <f t="shared" si="0"/>
        <v>-18</v>
      </c>
      <c r="M36">
        <v>-53</v>
      </c>
      <c r="N36">
        <f t="shared" si="1"/>
        <v>35</v>
      </c>
    </row>
    <row r="37" spans="1:10" ht="17.25" customHeight="1">
      <c r="A37" s="751"/>
      <c r="B37" s="751"/>
      <c r="C37" s="751"/>
      <c r="D37" s="751"/>
      <c r="E37" s="751"/>
      <c r="F37" s="737"/>
      <c r="G37" s="737"/>
      <c r="H37" s="737"/>
      <c r="I37" s="737"/>
      <c r="J37" s="737"/>
    </row>
    <row r="38" spans="1:11" ht="17.25" customHeight="1">
      <c r="A38" s="41" t="s">
        <v>552</v>
      </c>
      <c r="B38" s="39"/>
      <c r="C38" s="313"/>
      <c r="D38" s="39" t="s">
        <v>215</v>
      </c>
      <c r="E38" s="1"/>
      <c r="F38" s="88" t="s">
        <v>21</v>
      </c>
      <c r="G38" s="52"/>
      <c r="H38" s="89"/>
      <c r="I38" s="49"/>
      <c r="K38" s="49"/>
    </row>
    <row r="39" spans="1:10" ht="17.25" customHeight="1">
      <c r="A39" s="86"/>
      <c r="B39" s="440"/>
      <c r="C39" s="441"/>
      <c r="D39" s="360"/>
      <c r="E39" s="442"/>
      <c r="F39" s="88"/>
      <c r="G39" s="52"/>
      <c r="H39" s="89"/>
      <c r="I39" s="89"/>
      <c r="J39" s="442"/>
    </row>
    <row r="40" spans="1:10" ht="17.25" customHeight="1">
      <c r="A40" s="86"/>
      <c r="B40" s="86"/>
      <c r="C40" s="441"/>
      <c r="D40" s="393"/>
      <c r="E40" s="442"/>
      <c r="F40" s="1"/>
      <c r="G40" s="50"/>
      <c r="H40" s="49"/>
      <c r="I40" s="49"/>
      <c r="J40" s="442"/>
    </row>
    <row r="41" spans="6:9" ht="17.25" customHeight="1">
      <c r="F41" s="1"/>
      <c r="G41" s="50"/>
      <c r="H41" s="38"/>
      <c r="I41" s="38"/>
    </row>
    <row r="42" spans="1:9" ht="17.25" customHeight="1">
      <c r="A42" s="86"/>
      <c r="B42" s="440"/>
      <c r="C42" s="441"/>
      <c r="D42" s="360"/>
      <c r="F42"/>
      <c r="G42" s="50"/>
      <c r="H42" s="49"/>
      <c r="I42" s="49"/>
    </row>
    <row r="43" spans="2:10" ht="17.25" customHeight="1">
      <c r="B43" s="444"/>
      <c r="D43" s="445"/>
      <c r="E43" s="420"/>
      <c r="F43" s="1" t="s">
        <v>171</v>
      </c>
      <c r="G43" s="50"/>
      <c r="H43" s="49"/>
      <c r="I43" s="49"/>
      <c r="J43" s="420"/>
    </row>
    <row r="44" spans="2:9" ht="17.25" customHeight="1">
      <c r="B44" s="42"/>
      <c r="D44" s="445"/>
      <c r="F44" s="1" t="s">
        <v>19</v>
      </c>
      <c r="G44"/>
      <c r="H44"/>
      <c r="I44" s="49"/>
    </row>
    <row r="45" spans="2:9" ht="17.25" customHeight="1">
      <c r="B45" s="42"/>
      <c r="D45" s="445"/>
      <c r="F45"/>
      <c r="G45" s="52"/>
      <c r="H45" s="89"/>
      <c r="I45" s="49"/>
    </row>
    <row r="46" spans="2:9" ht="17.25" customHeight="1">
      <c r="B46" s="42"/>
      <c r="D46" s="445"/>
      <c r="G46" s="50"/>
      <c r="H46" s="49"/>
      <c r="I46" s="49"/>
    </row>
    <row r="47" spans="1:9" ht="17.25" customHeight="1">
      <c r="A47" s="1"/>
      <c r="B47" s="42"/>
      <c r="D47" s="445"/>
      <c r="G47" s="50"/>
      <c r="H47" s="49"/>
      <c r="I47" s="49"/>
    </row>
    <row r="48" spans="1:6" ht="17.25" customHeight="1">
      <c r="A48" s="1"/>
      <c r="F48" s="1"/>
    </row>
    <row r="49" spans="1:6" ht="17.25" customHeight="1">
      <c r="A49" s="306"/>
      <c r="F49" s="306"/>
    </row>
    <row r="50" spans="2:9" ht="17.25" customHeight="1">
      <c r="B50" s="42"/>
      <c r="D50" s="445"/>
      <c r="G50" s="42"/>
      <c r="I50" s="445"/>
    </row>
  </sheetData>
  <mergeCells count="6">
    <mergeCell ref="A37:E37"/>
    <mergeCell ref="F37:J37"/>
    <mergeCell ref="A4:E4"/>
    <mergeCell ref="F4:J4"/>
    <mergeCell ref="A5:E5"/>
    <mergeCell ref="F5:J5"/>
  </mergeCells>
  <printOptions/>
  <pageMargins left="0.75" right="0.75" top="0.35" bottom="0.2" header="0.5" footer="0.5"/>
  <pageSetup firstPageNumber="26" useFirstPageNumber="1" horizontalDpi="600" verticalDpi="600" orientation="portrait" paperSize="9" r:id="rId1"/>
  <headerFooter alignWithMargins="0">
    <oddFooter>&amp;R&amp;9&amp;P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Q38"/>
  <sheetViews>
    <sheetView workbookViewId="0" topLeftCell="H13">
      <selection activeCell="H37" sqref="H37"/>
    </sheetView>
  </sheetViews>
  <sheetFormatPr defaultColWidth="9.140625" defaultRowHeight="12.75"/>
  <cols>
    <col min="1" max="1" width="32.7109375" style="0" hidden="1" customWidth="1"/>
    <col min="2" max="2" width="9.140625" style="0" hidden="1" customWidth="1"/>
    <col min="3" max="3" width="10.8515625" style="0" hidden="1" customWidth="1"/>
    <col min="4" max="4" width="10.00390625" style="0" hidden="1" customWidth="1"/>
    <col min="5" max="6" width="9.140625" style="0" hidden="1" customWidth="1"/>
    <col min="7" max="7" width="9.140625" style="446" hidden="1" customWidth="1"/>
    <col min="8" max="8" width="32.7109375" style="0" customWidth="1"/>
    <col min="10" max="10" width="10.57421875" style="0" customWidth="1"/>
    <col min="11" max="11" width="10.00390625" style="0" customWidth="1"/>
    <col min="12" max="12" width="10.7109375" style="0" customWidth="1"/>
    <col min="14" max="17" width="9.140625" style="0" hidden="1" customWidth="1"/>
  </cols>
  <sheetData>
    <row r="1" ht="12.75">
      <c r="M1" s="38" t="s">
        <v>553</v>
      </c>
    </row>
    <row r="2" spans="2:13" ht="12.75">
      <c r="B2" t="s">
        <v>174</v>
      </c>
      <c r="H2" s="740" t="s">
        <v>174</v>
      </c>
      <c r="I2" s="740"/>
      <c r="J2" s="740"/>
      <c r="K2" s="740"/>
      <c r="L2" s="740"/>
      <c r="M2" s="740"/>
    </row>
    <row r="4" spans="1:13" ht="12.75">
      <c r="A4" s="740" t="s">
        <v>554</v>
      </c>
      <c r="B4" s="740"/>
      <c r="C4" s="740"/>
      <c r="D4" s="740"/>
      <c r="E4" s="740"/>
      <c r="H4" s="741" t="s">
        <v>554</v>
      </c>
      <c r="I4" s="741"/>
      <c r="J4" s="741"/>
      <c r="K4" s="741"/>
      <c r="L4" s="741"/>
      <c r="M4" s="741"/>
    </row>
    <row r="5" spans="2:13" ht="12.75">
      <c r="B5" s="447" t="s">
        <v>221</v>
      </c>
      <c r="H5" s="755" t="s">
        <v>28</v>
      </c>
      <c r="I5" s="755"/>
      <c r="J5" s="755"/>
      <c r="K5" s="755"/>
      <c r="L5" s="755"/>
      <c r="M5" s="755"/>
    </row>
    <row r="7" spans="1:16" ht="56.25">
      <c r="A7" s="448" t="s">
        <v>47</v>
      </c>
      <c r="B7" s="449" t="s">
        <v>555</v>
      </c>
      <c r="C7" s="450" t="s">
        <v>223</v>
      </c>
      <c r="D7" s="451" t="s">
        <v>531</v>
      </c>
      <c r="E7" s="450" t="s">
        <v>532</v>
      </c>
      <c r="F7" s="450" t="s">
        <v>180</v>
      </c>
      <c r="H7" s="452" t="s">
        <v>47</v>
      </c>
      <c r="I7" s="453" t="s">
        <v>555</v>
      </c>
      <c r="J7" s="450" t="s">
        <v>223</v>
      </c>
      <c r="K7" s="451" t="s">
        <v>531</v>
      </c>
      <c r="L7" s="450" t="s">
        <v>556</v>
      </c>
      <c r="M7" s="9" t="s">
        <v>40</v>
      </c>
      <c r="O7" t="s">
        <v>389</v>
      </c>
      <c r="P7" t="s">
        <v>533</v>
      </c>
    </row>
    <row r="8" spans="1:13" ht="12.75">
      <c r="A8" s="448">
        <v>1</v>
      </c>
      <c r="B8" s="448">
        <v>2</v>
      </c>
      <c r="D8" s="448">
        <v>3</v>
      </c>
      <c r="E8" s="448">
        <v>4</v>
      </c>
      <c r="F8" s="448">
        <v>5</v>
      </c>
      <c r="H8" s="454">
        <v>1</v>
      </c>
      <c r="I8" s="454">
        <v>2</v>
      </c>
      <c r="J8" s="454">
        <v>3</v>
      </c>
      <c r="K8" s="454">
        <v>4</v>
      </c>
      <c r="L8" s="454">
        <v>5</v>
      </c>
      <c r="M8" s="93">
        <v>6</v>
      </c>
    </row>
    <row r="9" spans="1:17" ht="19.5" customHeight="1">
      <c r="A9" s="455" t="s">
        <v>240</v>
      </c>
      <c r="B9" s="447"/>
      <c r="C9" s="446">
        <f>SUM(C10:C23)</f>
        <v>3019764</v>
      </c>
      <c r="D9" s="446">
        <f>SUM(D10:D23)</f>
        <v>1286642</v>
      </c>
      <c r="E9" s="456">
        <f aca="true" t="shared" si="0" ref="E9:E17">D9/C9*100</f>
        <v>42.6073693176023</v>
      </c>
      <c r="F9" s="446">
        <f>SUM(F10:F23)</f>
        <v>322275</v>
      </c>
      <c r="H9" s="457" t="s">
        <v>240</v>
      </c>
      <c r="I9" s="458"/>
      <c r="J9" s="459">
        <v>3742</v>
      </c>
      <c r="K9" s="459">
        <v>1673</v>
      </c>
      <c r="L9" s="460">
        <v>44.70871191876002</v>
      </c>
      <c r="M9" s="461">
        <v>387</v>
      </c>
      <c r="O9" s="191">
        <f aca="true" t="shared" si="1" ref="O9:O23">K9</f>
        <v>1673</v>
      </c>
      <c r="P9" s="191">
        <f>'[10]marts'!K9</f>
        <v>964</v>
      </c>
      <c r="Q9" s="191">
        <f aca="true" t="shared" si="2" ref="Q9:Q23">O9-P9</f>
        <v>709</v>
      </c>
    </row>
    <row r="10" spans="1:17" ht="19.5" customHeight="1">
      <c r="A10" s="447" t="s">
        <v>365</v>
      </c>
      <c r="B10" s="462" t="s">
        <v>557</v>
      </c>
      <c r="C10" s="446">
        <v>401602</v>
      </c>
      <c r="D10" s="446">
        <v>120320</v>
      </c>
      <c r="E10" s="456">
        <f t="shared" si="0"/>
        <v>29.960010159311956</v>
      </c>
      <c r="F10" s="446">
        <f>D10-'[10]marts'!D10</f>
        <v>61061</v>
      </c>
      <c r="H10" s="458" t="s">
        <v>365</v>
      </c>
      <c r="I10" s="463" t="s">
        <v>557</v>
      </c>
      <c r="J10" s="464">
        <v>559</v>
      </c>
      <c r="K10" s="464">
        <v>155</v>
      </c>
      <c r="L10" s="465">
        <v>27.72808586762075</v>
      </c>
      <c r="M10" s="458">
        <v>35</v>
      </c>
      <c r="O10" s="191">
        <f t="shared" si="1"/>
        <v>155</v>
      </c>
      <c r="P10" s="191">
        <f>'[10]marts'!K10</f>
        <v>59</v>
      </c>
      <c r="Q10" s="191">
        <f t="shared" si="2"/>
        <v>96</v>
      </c>
    </row>
    <row r="11" spans="1:17" ht="19.5" customHeight="1">
      <c r="A11" s="447" t="s">
        <v>366</v>
      </c>
      <c r="B11" s="462" t="s">
        <v>558</v>
      </c>
      <c r="C11" s="446">
        <v>28390</v>
      </c>
      <c r="D11" s="446">
        <v>11042</v>
      </c>
      <c r="E11" s="456">
        <f t="shared" si="0"/>
        <v>38.8939767523776</v>
      </c>
      <c r="F11" s="446">
        <f>D11-'[10]marts'!D11</f>
        <v>5172</v>
      </c>
      <c r="H11" s="458" t="s">
        <v>366</v>
      </c>
      <c r="I11" s="463" t="s">
        <v>558</v>
      </c>
      <c r="J11" s="464">
        <v>30</v>
      </c>
      <c r="K11" s="464">
        <v>15</v>
      </c>
      <c r="L11" s="465">
        <v>50</v>
      </c>
      <c r="M11" s="458">
        <v>4</v>
      </c>
      <c r="O11" s="191">
        <f t="shared" si="1"/>
        <v>15</v>
      </c>
      <c r="P11" s="191">
        <f>'[10]marts'!K11</f>
        <v>6</v>
      </c>
      <c r="Q11" s="191">
        <f t="shared" si="2"/>
        <v>9</v>
      </c>
    </row>
    <row r="12" spans="1:17" ht="26.25" customHeight="1">
      <c r="A12" s="466" t="s">
        <v>367</v>
      </c>
      <c r="B12" s="448" t="s">
        <v>559</v>
      </c>
      <c r="C12" s="446">
        <v>229351</v>
      </c>
      <c r="D12" s="446">
        <v>67603</v>
      </c>
      <c r="E12" s="456">
        <f t="shared" si="0"/>
        <v>29.475781662168465</v>
      </c>
      <c r="F12" s="446">
        <f>D12-'[10]marts'!D12</f>
        <v>20123</v>
      </c>
      <c r="H12" s="467" t="s">
        <v>367</v>
      </c>
      <c r="I12" s="454" t="s">
        <v>559</v>
      </c>
      <c r="J12" s="464">
        <v>273</v>
      </c>
      <c r="K12" s="464">
        <v>99</v>
      </c>
      <c r="L12" s="465">
        <v>36.26373626373626</v>
      </c>
      <c r="M12" s="458">
        <v>32</v>
      </c>
      <c r="O12" s="191">
        <f t="shared" si="1"/>
        <v>99</v>
      </c>
      <c r="P12" s="191">
        <f>'[10]marts'!K12</f>
        <v>47</v>
      </c>
      <c r="Q12" s="191">
        <f t="shared" si="2"/>
        <v>52</v>
      </c>
    </row>
    <row r="13" spans="1:17" ht="19.5" customHeight="1">
      <c r="A13" s="447" t="s">
        <v>368</v>
      </c>
      <c r="B13" s="448" t="s">
        <v>560</v>
      </c>
      <c r="C13" s="446">
        <v>1360512</v>
      </c>
      <c r="D13" s="446">
        <v>537594</v>
      </c>
      <c r="E13" s="456">
        <f t="shared" si="0"/>
        <v>39.514094693762345</v>
      </c>
      <c r="F13" s="446">
        <f>D13-'[10]marts'!D13</f>
        <v>90968</v>
      </c>
      <c r="H13" s="458" t="s">
        <v>368</v>
      </c>
      <c r="I13" s="454" t="s">
        <v>560</v>
      </c>
      <c r="J13" s="464">
        <v>1654</v>
      </c>
      <c r="K13" s="464">
        <v>660</v>
      </c>
      <c r="L13" s="465">
        <v>39.90326481257557</v>
      </c>
      <c r="M13" s="458">
        <v>122</v>
      </c>
      <c r="O13" s="191">
        <f t="shared" si="1"/>
        <v>660</v>
      </c>
      <c r="P13" s="191">
        <f>'[10]marts'!K13</f>
        <v>447</v>
      </c>
      <c r="Q13" s="191">
        <f t="shared" si="2"/>
        <v>213</v>
      </c>
    </row>
    <row r="14" spans="1:17" ht="19.5" customHeight="1">
      <c r="A14" s="447" t="s">
        <v>369</v>
      </c>
      <c r="B14" s="448" t="s">
        <v>561</v>
      </c>
      <c r="C14" s="446">
        <v>257140</v>
      </c>
      <c r="D14" s="446">
        <v>200815</v>
      </c>
      <c r="E14" s="456">
        <f t="shared" si="0"/>
        <v>78.09558995099945</v>
      </c>
      <c r="F14" s="446">
        <f>D14-'[10]marts'!D14</f>
        <v>94034</v>
      </c>
      <c r="H14" s="458" t="s">
        <v>369</v>
      </c>
      <c r="I14" s="454" t="s">
        <v>561</v>
      </c>
      <c r="J14" s="464">
        <v>319</v>
      </c>
      <c r="K14" s="464">
        <v>254</v>
      </c>
      <c r="L14" s="465">
        <v>79.62382445141067</v>
      </c>
      <c r="M14" s="458">
        <v>53</v>
      </c>
      <c r="O14" s="191">
        <f t="shared" si="1"/>
        <v>254</v>
      </c>
      <c r="P14" s="191">
        <f>'[10]marts'!K14</f>
        <v>107</v>
      </c>
      <c r="Q14" s="191">
        <f t="shared" si="2"/>
        <v>147</v>
      </c>
    </row>
    <row r="15" spans="1:17" ht="25.5" customHeight="1">
      <c r="A15" s="466" t="s">
        <v>370</v>
      </c>
      <c r="B15" s="448" t="s">
        <v>562</v>
      </c>
      <c r="C15" s="446">
        <v>19015</v>
      </c>
      <c r="D15" s="446">
        <v>8679</v>
      </c>
      <c r="E15" s="456">
        <f t="shared" si="0"/>
        <v>45.64291348935051</v>
      </c>
      <c r="F15" s="446">
        <f>D15-'[10]marts'!D15</f>
        <v>1401</v>
      </c>
      <c r="H15" s="467" t="s">
        <v>370</v>
      </c>
      <c r="I15" s="454" t="s">
        <v>562</v>
      </c>
      <c r="J15" s="464">
        <v>22</v>
      </c>
      <c r="K15" s="464">
        <v>9</v>
      </c>
      <c r="L15" s="465">
        <v>40.909090909090914</v>
      </c>
      <c r="M15" s="458">
        <v>0</v>
      </c>
      <c r="O15" s="191">
        <f t="shared" si="1"/>
        <v>9</v>
      </c>
      <c r="P15" s="191">
        <f>'[10]marts'!K15</f>
        <v>7</v>
      </c>
      <c r="Q15" s="191">
        <f t="shared" si="2"/>
        <v>2</v>
      </c>
    </row>
    <row r="16" spans="1:17" ht="24.75" customHeight="1">
      <c r="A16" s="466" t="s">
        <v>371</v>
      </c>
      <c r="B16" s="448" t="s">
        <v>563</v>
      </c>
      <c r="C16" s="446">
        <v>87710</v>
      </c>
      <c r="D16" s="446">
        <v>9459</v>
      </c>
      <c r="E16" s="456">
        <f t="shared" si="0"/>
        <v>10.784403146733554</v>
      </c>
      <c r="F16" s="446">
        <f>D16-'[10]marts'!D16</f>
        <v>346</v>
      </c>
      <c r="H16" s="467" t="s">
        <v>371</v>
      </c>
      <c r="I16" s="454" t="s">
        <v>563</v>
      </c>
      <c r="J16" s="464">
        <v>108</v>
      </c>
      <c r="K16" s="464">
        <v>14</v>
      </c>
      <c r="L16" s="465">
        <v>12.962962962962962</v>
      </c>
      <c r="M16" s="458">
        <v>5</v>
      </c>
      <c r="O16" s="191">
        <f t="shared" si="1"/>
        <v>14</v>
      </c>
      <c r="P16" s="191">
        <f>'[10]marts'!K16</f>
        <v>9</v>
      </c>
      <c r="Q16" s="191">
        <f t="shared" si="2"/>
        <v>5</v>
      </c>
    </row>
    <row r="17" spans="1:17" ht="19.5" customHeight="1">
      <c r="A17" s="447" t="s">
        <v>564</v>
      </c>
      <c r="B17" s="448" t="s">
        <v>565</v>
      </c>
      <c r="C17" s="446">
        <v>568914</v>
      </c>
      <c r="D17" s="446">
        <v>240912</v>
      </c>
      <c r="E17" s="456">
        <f t="shared" si="0"/>
        <v>42.34594332359548</v>
      </c>
      <c r="F17" s="446">
        <f>D17-'[10]marts'!D17</f>
        <v>61829</v>
      </c>
      <c r="H17" s="458" t="s">
        <v>564</v>
      </c>
      <c r="I17" s="454" t="s">
        <v>565</v>
      </c>
      <c r="J17" s="464">
        <v>708</v>
      </c>
      <c r="K17" s="464">
        <v>341</v>
      </c>
      <c r="L17" s="465">
        <v>48.163841807909606</v>
      </c>
      <c r="M17" s="458">
        <v>101</v>
      </c>
      <c r="O17" s="191">
        <f t="shared" si="1"/>
        <v>341</v>
      </c>
      <c r="P17" s="191">
        <f>'[10]marts'!K17</f>
        <v>179</v>
      </c>
      <c r="Q17" s="191">
        <f t="shared" si="2"/>
        <v>162</v>
      </c>
    </row>
    <row r="18" spans="1:17" ht="19.5" customHeight="1">
      <c r="A18" s="447" t="s">
        <v>373</v>
      </c>
      <c r="B18" s="448" t="s">
        <v>566</v>
      </c>
      <c r="C18" s="446"/>
      <c r="D18" s="446"/>
      <c r="E18" s="456"/>
      <c r="F18" s="446">
        <f>D18-'[10]marts'!D18</f>
        <v>0</v>
      </c>
      <c r="H18" s="458" t="s">
        <v>373</v>
      </c>
      <c r="I18" s="454" t="s">
        <v>566</v>
      </c>
      <c r="J18" s="464"/>
      <c r="K18" s="464"/>
      <c r="L18" s="465"/>
      <c r="M18" s="458"/>
      <c r="O18" s="191">
        <f t="shared" si="1"/>
        <v>0</v>
      </c>
      <c r="P18" s="191">
        <f>'[10]marts'!K18</f>
        <v>0</v>
      </c>
      <c r="Q18" s="191">
        <f t="shared" si="2"/>
        <v>0</v>
      </c>
    </row>
    <row r="19" spans="1:17" ht="27.75" customHeight="1">
      <c r="A19" s="466" t="s">
        <v>567</v>
      </c>
      <c r="B19" s="448" t="s">
        <v>568</v>
      </c>
      <c r="C19" s="446">
        <v>59566</v>
      </c>
      <c r="D19" s="446">
        <v>32830</v>
      </c>
      <c r="E19" s="456">
        <f>D19/C19*100</f>
        <v>55.115334251082835</v>
      </c>
      <c r="F19" s="446">
        <f>D19-'[10]marts'!D19</f>
        <v>5544</v>
      </c>
      <c r="H19" s="467" t="s">
        <v>567</v>
      </c>
      <c r="I19" s="454" t="s">
        <v>568</v>
      </c>
      <c r="J19" s="464">
        <v>62</v>
      </c>
      <c r="K19" s="464">
        <v>40</v>
      </c>
      <c r="L19" s="465">
        <v>64.51612903225806</v>
      </c>
      <c r="M19" s="458">
        <v>7</v>
      </c>
      <c r="O19" s="191">
        <f t="shared" si="1"/>
        <v>40</v>
      </c>
      <c r="P19" s="191">
        <f>'[10]marts'!K19</f>
        <v>27</v>
      </c>
      <c r="Q19" s="191">
        <f t="shared" si="2"/>
        <v>13</v>
      </c>
    </row>
    <row r="20" spans="1:17" ht="22.5" customHeight="1">
      <c r="A20" s="466" t="s">
        <v>375</v>
      </c>
      <c r="B20" s="448" t="s">
        <v>569</v>
      </c>
      <c r="C20" s="446"/>
      <c r="D20" s="446"/>
      <c r="E20" s="456"/>
      <c r="F20" s="446">
        <f>D20-'[10]marts'!D20</f>
        <v>0</v>
      </c>
      <c r="H20" s="467" t="s">
        <v>375</v>
      </c>
      <c r="I20" s="454" t="s">
        <v>569</v>
      </c>
      <c r="J20" s="464"/>
      <c r="K20" s="464"/>
      <c r="L20" s="465"/>
      <c r="M20" s="458"/>
      <c r="O20" s="191">
        <f t="shared" si="1"/>
        <v>0</v>
      </c>
      <c r="P20" s="191">
        <f>'[10]marts'!K20</f>
        <v>0</v>
      </c>
      <c r="Q20" s="191">
        <f t="shared" si="2"/>
        <v>0</v>
      </c>
    </row>
    <row r="21" spans="1:17" ht="19.5" customHeight="1">
      <c r="A21" s="447" t="s">
        <v>376</v>
      </c>
      <c r="B21" s="448" t="s">
        <v>570</v>
      </c>
      <c r="C21" s="446"/>
      <c r="D21" s="446"/>
      <c r="E21" s="456"/>
      <c r="F21" s="446">
        <f>D21-'[10]marts'!D21</f>
        <v>0</v>
      </c>
      <c r="H21" s="458" t="s">
        <v>376</v>
      </c>
      <c r="I21" s="454" t="s">
        <v>570</v>
      </c>
      <c r="J21" s="464"/>
      <c r="K21" s="464"/>
      <c r="L21" s="465"/>
      <c r="M21" s="458"/>
      <c r="O21" s="191">
        <f t="shared" si="1"/>
        <v>0</v>
      </c>
      <c r="P21" s="191">
        <f>'[10]marts'!K21</f>
        <v>0</v>
      </c>
      <c r="Q21" s="191">
        <f t="shared" si="2"/>
        <v>0</v>
      </c>
    </row>
    <row r="22" spans="1:17" ht="19.5" customHeight="1">
      <c r="A22" s="447" t="s">
        <v>377</v>
      </c>
      <c r="B22" s="448" t="s">
        <v>571</v>
      </c>
      <c r="C22" s="446">
        <f>7564</f>
        <v>7564</v>
      </c>
      <c r="D22" s="446">
        <f>1568-199816+255636-53595</f>
        <v>3793</v>
      </c>
      <c r="E22" s="456">
        <f>D22/C22*100</f>
        <v>50.14542570068746</v>
      </c>
      <c r="F22" s="446">
        <f>D22-'[10]marts'!D22</f>
        <v>-71798</v>
      </c>
      <c r="H22" s="458" t="s">
        <v>572</v>
      </c>
      <c r="I22" s="454" t="s">
        <v>571</v>
      </c>
      <c r="J22" s="464">
        <v>7</v>
      </c>
      <c r="K22" s="464">
        <v>32</v>
      </c>
      <c r="L22" s="465"/>
      <c r="M22" s="458">
        <v>28</v>
      </c>
      <c r="O22" s="191">
        <f t="shared" si="1"/>
        <v>32</v>
      </c>
      <c r="P22" s="191">
        <f>'[10]marts'!K22</f>
        <v>76</v>
      </c>
      <c r="Q22" s="191">
        <f t="shared" si="2"/>
        <v>-44</v>
      </c>
    </row>
    <row r="23" spans="1:17" ht="27" customHeight="1">
      <c r="A23" s="466" t="s">
        <v>573</v>
      </c>
      <c r="B23" s="448" t="s">
        <v>574</v>
      </c>
      <c r="C23" s="446"/>
      <c r="D23" s="446">
        <v>53595</v>
      </c>
      <c r="E23" s="456"/>
      <c r="F23" s="446">
        <f>D23-'[10]marts'!D23</f>
        <v>53595</v>
      </c>
      <c r="H23" s="467" t="s">
        <v>575</v>
      </c>
      <c r="I23" s="454" t="s">
        <v>574</v>
      </c>
      <c r="J23" s="464"/>
      <c r="K23" s="464">
        <v>54</v>
      </c>
      <c r="L23" s="465"/>
      <c r="M23" s="458">
        <v>0</v>
      </c>
      <c r="O23" s="191">
        <f t="shared" si="1"/>
        <v>54</v>
      </c>
      <c r="P23" s="191">
        <f>'[10]marts'!K23</f>
        <v>0</v>
      </c>
      <c r="Q23" s="191">
        <f t="shared" si="2"/>
        <v>54</v>
      </c>
    </row>
    <row r="24" spans="1:13" ht="12.75">
      <c r="A24" s="447"/>
      <c r="B24" s="447"/>
      <c r="C24" s="446"/>
      <c r="D24" s="446"/>
      <c r="F24" s="446"/>
      <c r="H24" s="447"/>
      <c r="I24" s="447"/>
      <c r="J24" s="446"/>
      <c r="K24" s="446"/>
      <c r="M24" s="447"/>
    </row>
    <row r="25" spans="8:12" ht="12.75">
      <c r="H25" s="468"/>
      <c r="L25" s="1"/>
    </row>
    <row r="26" spans="8:12" ht="12.75">
      <c r="H26" s="49"/>
      <c r="I26" s="440"/>
      <c r="J26" s="442"/>
      <c r="K26" s="360"/>
      <c r="L26" s="442"/>
    </row>
    <row r="27" spans="8:12" ht="12.75">
      <c r="H27" s="49"/>
      <c r="I27" s="440"/>
      <c r="J27" s="442"/>
      <c r="K27" s="360"/>
      <c r="L27" s="442"/>
    </row>
    <row r="28" spans="8:12" ht="12.75">
      <c r="H28" s="49"/>
      <c r="I28" s="440"/>
      <c r="J28" s="442"/>
      <c r="K28" s="360"/>
      <c r="L28" s="442"/>
    </row>
    <row r="29" spans="8:13" ht="12.75">
      <c r="H29" s="88" t="s">
        <v>21</v>
      </c>
      <c r="I29" s="52"/>
      <c r="J29" s="89"/>
      <c r="K29" s="49"/>
      <c r="L29" s="39"/>
      <c r="M29" s="49"/>
    </row>
    <row r="30" spans="8:12" ht="12.75">
      <c r="H30" s="88"/>
      <c r="I30" s="52"/>
      <c r="J30" s="89"/>
      <c r="K30" s="89"/>
      <c r="L30" s="42"/>
    </row>
    <row r="31" spans="8:12" ht="12.75">
      <c r="H31" s="1"/>
      <c r="I31" s="50"/>
      <c r="J31" s="49"/>
      <c r="K31" s="49"/>
      <c r="L31" s="42"/>
    </row>
    <row r="32" spans="8:12" ht="12.75">
      <c r="H32" s="1"/>
      <c r="I32" s="50"/>
      <c r="J32" s="38"/>
      <c r="K32" s="38"/>
      <c r="L32" s="420"/>
    </row>
    <row r="33" spans="9:12" ht="12.75">
      <c r="I33" s="50"/>
      <c r="J33" s="49"/>
      <c r="K33" s="49"/>
      <c r="L33" s="42"/>
    </row>
    <row r="34" spans="9:12" ht="12.75">
      <c r="I34" s="50"/>
      <c r="J34" s="49"/>
      <c r="K34" s="49"/>
      <c r="L34" s="42"/>
    </row>
    <row r="35" spans="11:12" ht="12.75">
      <c r="K35" s="49"/>
      <c r="L35" s="42"/>
    </row>
    <row r="36" spans="9:11" ht="12.75">
      <c r="I36" s="52"/>
      <c r="J36" s="89"/>
      <c r="K36" s="49"/>
    </row>
    <row r="37" spans="8:11" ht="12.75">
      <c r="H37" s="1" t="s">
        <v>171</v>
      </c>
      <c r="I37" s="50"/>
      <c r="J37" s="49"/>
      <c r="K37" s="49"/>
    </row>
    <row r="38" spans="8:11" ht="12.75">
      <c r="H38" s="1" t="s">
        <v>19</v>
      </c>
      <c r="I38" s="50"/>
      <c r="J38" s="49"/>
      <c r="K38" s="49"/>
    </row>
  </sheetData>
  <mergeCells count="4">
    <mergeCell ref="H2:M2"/>
    <mergeCell ref="A4:E4"/>
    <mergeCell ref="H4:M4"/>
    <mergeCell ref="H5:M5"/>
  </mergeCells>
  <printOptions/>
  <pageMargins left="0.75" right="0.75" top="1" bottom="1" header="0.5" footer="0.5"/>
  <pageSetup firstPageNumber="27" useFirstPageNumber="1" horizontalDpi="600" verticalDpi="600" orientation="portrait" paperSize="9" r:id="rId1"/>
  <headerFooter alignWithMargins="0">
    <oddFooter>&amp;R&amp;9&amp;P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CZ267"/>
  <sheetViews>
    <sheetView workbookViewId="0" topLeftCell="H1">
      <selection activeCell="K52" sqref="K52"/>
    </sheetView>
  </sheetViews>
  <sheetFormatPr defaultColWidth="9.140625" defaultRowHeight="12.75"/>
  <cols>
    <col min="1" max="1" width="36.00390625" style="49" hidden="1" customWidth="1"/>
    <col min="2" max="2" width="11.421875" style="49" hidden="1" customWidth="1"/>
    <col min="3" max="3" width="9.57421875" style="49" hidden="1" customWidth="1"/>
    <col min="4" max="4" width="8.57421875" style="49" hidden="1" customWidth="1"/>
    <col min="5" max="5" width="2.7109375" style="49" hidden="1" customWidth="1"/>
    <col min="6" max="6" width="2.8515625" style="49" hidden="1" customWidth="1"/>
    <col min="7" max="7" width="8.00390625" style="38" hidden="1" customWidth="1"/>
    <col min="8" max="8" width="33.57421875" style="49" customWidth="1"/>
    <col min="9" max="9" width="10.8515625" style="49" customWidth="1"/>
    <col min="10" max="10" width="10.57421875" style="49" customWidth="1"/>
    <col min="11" max="11" width="8.140625" style="49" customWidth="1"/>
    <col min="12" max="12" width="8.7109375" style="49" customWidth="1"/>
    <col min="13" max="13" width="9.57421875" style="49" customWidth="1"/>
    <col min="14" max="14" width="8.57421875" style="49" customWidth="1"/>
    <col min="15" max="104" width="11.421875" style="0" customWidth="1"/>
    <col min="105" max="16384" width="11.421875" style="49" customWidth="1"/>
  </cols>
  <sheetData>
    <row r="1" spans="1:14" ht="17.25" customHeight="1">
      <c r="A1" s="51" t="s">
        <v>218</v>
      </c>
      <c r="B1" s="51"/>
      <c r="C1" s="180"/>
      <c r="D1" s="51"/>
      <c r="E1" s="51"/>
      <c r="F1" s="180"/>
      <c r="G1" s="38" t="s">
        <v>576</v>
      </c>
      <c r="H1" s="51" t="s">
        <v>218</v>
      </c>
      <c r="I1" s="51"/>
      <c r="J1" s="180"/>
      <c r="K1" s="51"/>
      <c r="L1" s="51"/>
      <c r="M1" s="180"/>
      <c r="N1" s="1" t="s">
        <v>577</v>
      </c>
    </row>
    <row r="2" spans="1:14" ht="12.75">
      <c r="A2" s="51"/>
      <c r="B2" s="51"/>
      <c r="C2" s="180"/>
      <c r="D2" s="51"/>
      <c r="E2" s="51"/>
      <c r="F2" s="180"/>
      <c r="H2" s="51"/>
      <c r="I2" s="51"/>
      <c r="J2" s="180"/>
      <c r="K2" s="51"/>
      <c r="L2" s="51"/>
      <c r="M2" s="180"/>
      <c r="N2" s="1"/>
    </row>
    <row r="3" spans="1:14" ht="18.75" customHeight="1">
      <c r="A3" s="469" t="s">
        <v>578</v>
      </c>
      <c r="B3" s="180"/>
      <c r="C3" s="180"/>
      <c r="D3" s="180"/>
      <c r="E3" s="180"/>
      <c r="F3" s="180"/>
      <c r="H3" s="469" t="s">
        <v>578</v>
      </c>
      <c r="I3" s="180"/>
      <c r="J3" s="180"/>
      <c r="K3" s="180"/>
      <c r="L3" s="180"/>
      <c r="M3" s="180"/>
      <c r="N3" s="1"/>
    </row>
    <row r="4" spans="1:14" ht="15" customHeight="1">
      <c r="A4" s="469" t="s">
        <v>465</v>
      </c>
      <c r="B4" s="180"/>
      <c r="C4" s="180"/>
      <c r="D4" s="180"/>
      <c r="E4" s="180"/>
      <c r="F4" s="180"/>
      <c r="H4" s="470" t="s">
        <v>30</v>
      </c>
      <c r="I4" s="180"/>
      <c r="J4" s="180"/>
      <c r="K4" s="180"/>
      <c r="L4" s="180"/>
      <c r="M4" s="180"/>
      <c r="N4" s="1"/>
    </row>
    <row r="5" spans="1:14" ht="11.25" customHeight="1">
      <c r="A5" s="1"/>
      <c r="B5" s="1"/>
      <c r="C5" s="1"/>
      <c r="D5" s="5"/>
      <c r="E5" s="39"/>
      <c r="F5" s="1"/>
      <c r="G5" s="2" t="s">
        <v>579</v>
      </c>
      <c r="H5" s="1"/>
      <c r="I5" s="1"/>
      <c r="J5" s="1"/>
      <c r="K5" s="5"/>
      <c r="L5" s="39"/>
      <c r="M5" s="1"/>
      <c r="N5" s="2" t="s">
        <v>360</v>
      </c>
    </row>
    <row r="6" spans="1:14" ht="79.5" customHeight="1">
      <c r="A6" s="9" t="s">
        <v>47</v>
      </c>
      <c r="B6" s="9" t="s">
        <v>95</v>
      </c>
      <c r="C6" s="9" t="s">
        <v>223</v>
      </c>
      <c r="D6" s="9" t="s">
        <v>96</v>
      </c>
      <c r="E6" s="9" t="s">
        <v>224</v>
      </c>
      <c r="F6" s="9" t="s">
        <v>580</v>
      </c>
      <c r="G6" s="9" t="s">
        <v>581</v>
      </c>
      <c r="H6" s="9" t="s">
        <v>47</v>
      </c>
      <c r="I6" s="9" t="s">
        <v>95</v>
      </c>
      <c r="J6" s="9" t="s">
        <v>223</v>
      </c>
      <c r="K6" s="9" t="s">
        <v>96</v>
      </c>
      <c r="L6" s="9" t="s">
        <v>224</v>
      </c>
      <c r="M6" s="9" t="s">
        <v>225</v>
      </c>
      <c r="N6" s="9" t="s">
        <v>40</v>
      </c>
    </row>
    <row r="7" spans="1:14" ht="12.7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3">
        <v>7</v>
      </c>
      <c r="H7" s="9">
        <v>1</v>
      </c>
      <c r="I7" s="9">
        <v>2</v>
      </c>
      <c r="J7" s="9">
        <v>3</v>
      </c>
      <c r="K7" s="9">
        <v>4</v>
      </c>
      <c r="L7" s="9">
        <v>5</v>
      </c>
      <c r="M7" s="9">
        <v>6</v>
      </c>
      <c r="N7" s="93">
        <v>7</v>
      </c>
    </row>
    <row r="8" spans="1:104" ht="38.25">
      <c r="A8" s="471" t="s">
        <v>582</v>
      </c>
      <c r="B8" s="472">
        <f>B9+B12</f>
        <v>68523734</v>
      </c>
      <c r="C8" s="472">
        <f>C9+C12</f>
        <v>18018859</v>
      </c>
      <c r="D8" s="472">
        <f>D9+D12</f>
        <v>5087830</v>
      </c>
      <c r="E8" s="473">
        <f aca="true" t="shared" si="0" ref="E8:E39">IF(ISERROR(D8/B8)," ",(D8/B8))</f>
        <v>0.0742491645303509</v>
      </c>
      <c r="F8" s="473">
        <f aca="true" t="shared" si="1" ref="F8:F39">IF(ISERROR(D8/C8)," ",(D8/C8))</f>
        <v>0.2823613859234927</v>
      </c>
      <c r="G8" s="474">
        <f>D8-'[11]Marts'!D8</f>
        <v>1121512</v>
      </c>
      <c r="H8" s="471" t="s">
        <v>582</v>
      </c>
      <c r="I8" s="472">
        <v>68524</v>
      </c>
      <c r="J8" s="475">
        <v>19917</v>
      </c>
      <c r="K8" s="475">
        <v>8048</v>
      </c>
      <c r="L8" s="476">
        <v>11.744790146518008</v>
      </c>
      <c r="M8" s="476">
        <v>40.40769192147412</v>
      </c>
      <c r="N8" s="475">
        <v>2960</v>
      </c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49"/>
    </row>
    <row r="9" spans="1:104" s="478" customFormat="1" ht="15" customHeight="1">
      <c r="A9" s="477" t="s">
        <v>232</v>
      </c>
      <c r="B9" s="472">
        <f>SUM(B10:B11)</f>
        <v>56158811</v>
      </c>
      <c r="C9" s="472">
        <f>SUM(C10:C11)</f>
        <v>15939455</v>
      </c>
      <c r="D9" s="472">
        <f>SUM(D10:D11)</f>
        <v>3965051</v>
      </c>
      <c r="E9" s="473">
        <f t="shared" si="0"/>
        <v>0.07060425478025167</v>
      </c>
      <c r="F9" s="473">
        <f t="shared" si="1"/>
        <v>0.2487569995335474</v>
      </c>
      <c r="G9" s="474">
        <f>D9-'[11]Marts'!D9</f>
        <v>554254</v>
      </c>
      <c r="H9" s="477" t="s">
        <v>232</v>
      </c>
      <c r="I9" s="472">
        <v>56159</v>
      </c>
      <c r="J9" s="472">
        <v>17269</v>
      </c>
      <c r="K9" s="472">
        <v>6657</v>
      </c>
      <c r="L9" s="476">
        <v>11.853843551345287</v>
      </c>
      <c r="M9" s="476">
        <v>38.548844750709364</v>
      </c>
      <c r="N9" s="472">
        <v>2692</v>
      </c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</row>
    <row r="10" spans="1:104" s="482" customFormat="1" ht="13.5" customHeight="1">
      <c r="A10" s="479" t="s">
        <v>583</v>
      </c>
      <c r="B10" s="11">
        <f>SUM(B17,B20,B25,B28,B34,B41,B48,B54,B61,B67,B74,B81,B100,B106,B88,B93)</f>
        <v>33358432</v>
      </c>
      <c r="C10" s="11">
        <f>SUM(C17,C20,C25,C28,C34,C41,C48,C54,C61,C88,C67,C74,C81,C100,C106)</f>
        <v>9367769</v>
      </c>
      <c r="D10" s="11">
        <f>SUM(D17,D20,D25,D28,D34,D41,D48,D54,D61,D88,D67,D74,D81,D100,D106)</f>
        <v>2117813</v>
      </c>
      <c r="E10" s="480">
        <f t="shared" si="0"/>
        <v>0.06348658713934756</v>
      </c>
      <c r="F10" s="480">
        <f t="shared" si="1"/>
        <v>0.22607442604530492</v>
      </c>
      <c r="G10" s="474">
        <f>D10-'[11]Marts'!D10</f>
        <v>63471</v>
      </c>
      <c r="H10" s="479" t="s">
        <v>583</v>
      </c>
      <c r="I10" s="11">
        <v>33359</v>
      </c>
      <c r="J10" s="405">
        <v>9716</v>
      </c>
      <c r="K10" s="405">
        <v>2673</v>
      </c>
      <c r="L10" s="58">
        <v>8.012830120806978</v>
      </c>
      <c r="M10" s="58">
        <v>27.511321531494442</v>
      </c>
      <c r="N10" s="405">
        <v>555</v>
      </c>
      <c r="O10" s="481"/>
      <c r="P10" s="481"/>
      <c r="Q10" s="481"/>
      <c r="R10" s="481"/>
      <c r="S10" s="481"/>
      <c r="T10" s="481"/>
      <c r="U10" s="481"/>
      <c r="V10" s="481"/>
      <c r="W10" s="481"/>
      <c r="X10" s="481"/>
      <c r="Y10" s="481"/>
      <c r="Z10" s="481"/>
      <c r="AA10" s="481"/>
      <c r="AB10" s="481"/>
      <c r="AC10" s="481"/>
      <c r="AD10" s="481"/>
      <c r="AE10" s="481"/>
      <c r="AF10" s="481"/>
      <c r="AG10" s="481"/>
      <c r="AH10" s="481"/>
      <c r="AI10" s="481"/>
      <c r="AJ10" s="481"/>
      <c r="AK10" s="481"/>
      <c r="AL10" s="481"/>
      <c r="AM10" s="481"/>
      <c r="AN10" s="481"/>
      <c r="AO10" s="481"/>
      <c r="AP10" s="481"/>
      <c r="AQ10" s="481"/>
      <c r="AR10" s="481"/>
      <c r="AS10" s="481"/>
      <c r="AT10" s="481"/>
      <c r="AU10" s="481"/>
      <c r="AV10" s="481"/>
      <c r="AW10" s="481"/>
      <c r="AX10" s="481"/>
      <c r="AY10" s="481"/>
      <c r="AZ10" s="481"/>
      <c r="BA10" s="481"/>
      <c r="BB10" s="481"/>
      <c r="BC10" s="481"/>
      <c r="BD10" s="481"/>
      <c r="BE10" s="481"/>
      <c r="BF10" s="481"/>
      <c r="BG10" s="481"/>
      <c r="BH10" s="481"/>
      <c r="BI10" s="481"/>
      <c r="BJ10" s="481"/>
      <c r="BK10" s="481"/>
      <c r="BL10" s="481"/>
      <c r="BM10" s="481"/>
      <c r="BN10" s="481"/>
      <c r="BO10" s="481"/>
      <c r="BP10" s="481"/>
      <c r="BQ10" s="481"/>
      <c r="BR10" s="481"/>
      <c r="BS10" s="481"/>
      <c r="BT10" s="481"/>
      <c r="BU10" s="481"/>
      <c r="BV10" s="481"/>
      <c r="BW10" s="481"/>
      <c r="BX10" s="481"/>
      <c r="BY10" s="481"/>
      <c r="BZ10" s="481"/>
      <c r="CA10" s="481"/>
      <c r="CB10" s="481"/>
      <c r="CC10" s="481"/>
      <c r="CD10" s="481"/>
      <c r="CE10" s="481"/>
      <c r="CF10" s="481"/>
      <c r="CG10" s="481"/>
      <c r="CH10" s="481"/>
      <c r="CI10" s="481"/>
      <c r="CJ10" s="481"/>
      <c r="CK10" s="481"/>
      <c r="CL10" s="481"/>
      <c r="CM10" s="481"/>
      <c r="CN10" s="481"/>
      <c r="CO10" s="481"/>
      <c r="CP10" s="481"/>
      <c r="CQ10" s="481"/>
      <c r="CR10" s="481"/>
      <c r="CS10" s="481"/>
      <c r="CT10" s="481"/>
      <c r="CU10" s="481"/>
      <c r="CV10" s="481"/>
      <c r="CW10" s="481"/>
      <c r="CX10" s="481"/>
      <c r="CY10" s="481"/>
      <c r="CZ10" s="481"/>
    </row>
    <row r="11" spans="1:104" s="482" customFormat="1" ht="14.25" customHeight="1">
      <c r="A11" s="479" t="s">
        <v>584</v>
      </c>
      <c r="B11" s="11">
        <f>SUM(B29,B35,B42,B49,B55,B62,B68,B75,B82,B94,B101)</f>
        <v>22800379</v>
      </c>
      <c r="C11" s="11">
        <f>SUM(C29,C35,C42,C49,C55,C62,C68,C75,C82,)</f>
        <v>6571686</v>
      </c>
      <c r="D11" s="11">
        <f>SUM(D29,D35,D42,D49,D55,D62,D68,D75,D82,)</f>
        <v>1847238</v>
      </c>
      <c r="E11" s="480">
        <f t="shared" si="0"/>
        <v>0.08101786378200117</v>
      </c>
      <c r="F11" s="480">
        <f t="shared" si="1"/>
        <v>0.2810904233708062</v>
      </c>
      <c r="G11" s="474">
        <f>D11-'[11]Marts'!D11</f>
        <v>490783</v>
      </c>
      <c r="H11" s="479" t="s">
        <v>584</v>
      </c>
      <c r="I11" s="11">
        <v>22800</v>
      </c>
      <c r="J11" s="405">
        <v>7553</v>
      </c>
      <c r="K11" s="405">
        <v>3984</v>
      </c>
      <c r="L11" s="58">
        <v>17.473684210526315</v>
      </c>
      <c r="M11" s="58">
        <v>52.74725274725275</v>
      </c>
      <c r="N11" s="405">
        <v>2137</v>
      </c>
      <c r="O11" s="481"/>
      <c r="P11" s="481"/>
      <c r="Q11" s="481"/>
      <c r="R11" s="481"/>
      <c r="S11" s="481"/>
      <c r="T11" s="481"/>
      <c r="U11" s="481"/>
      <c r="V11" s="481"/>
      <c r="W11" s="481"/>
      <c r="X11" s="481"/>
      <c r="Y11" s="481"/>
      <c r="Z11" s="481"/>
      <c r="AA11" s="481"/>
      <c r="AB11" s="481"/>
      <c r="AC11" s="481"/>
      <c r="AD11" s="481"/>
      <c r="AE11" s="481"/>
      <c r="AF11" s="481"/>
      <c r="AG11" s="481"/>
      <c r="AH11" s="481"/>
      <c r="AI11" s="481"/>
      <c r="AJ11" s="481"/>
      <c r="AK11" s="481"/>
      <c r="AL11" s="481"/>
      <c r="AM11" s="481"/>
      <c r="AN11" s="481"/>
      <c r="AO11" s="481"/>
      <c r="AP11" s="481"/>
      <c r="AQ11" s="481"/>
      <c r="AR11" s="481"/>
      <c r="AS11" s="481"/>
      <c r="AT11" s="481"/>
      <c r="AU11" s="481"/>
      <c r="AV11" s="481"/>
      <c r="AW11" s="481"/>
      <c r="AX11" s="481"/>
      <c r="AY11" s="481"/>
      <c r="AZ11" s="481"/>
      <c r="BA11" s="481"/>
      <c r="BB11" s="481"/>
      <c r="BC11" s="481"/>
      <c r="BD11" s="481"/>
      <c r="BE11" s="481"/>
      <c r="BF11" s="481"/>
      <c r="BG11" s="481"/>
      <c r="BH11" s="481"/>
      <c r="BI11" s="481"/>
      <c r="BJ11" s="481"/>
      <c r="BK11" s="481"/>
      <c r="BL11" s="481"/>
      <c r="BM11" s="481"/>
      <c r="BN11" s="481"/>
      <c r="BO11" s="481"/>
      <c r="BP11" s="481"/>
      <c r="BQ11" s="481"/>
      <c r="BR11" s="481"/>
      <c r="BS11" s="481"/>
      <c r="BT11" s="481"/>
      <c r="BU11" s="481"/>
      <c r="BV11" s="481"/>
      <c r="BW11" s="481"/>
      <c r="BX11" s="481"/>
      <c r="BY11" s="481"/>
      <c r="BZ11" s="481"/>
      <c r="CA11" s="481"/>
      <c r="CB11" s="481"/>
      <c r="CC11" s="481"/>
      <c r="CD11" s="481"/>
      <c r="CE11" s="481"/>
      <c r="CF11" s="481"/>
      <c r="CG11" s="481"/>
      <c r="CH11" s="481"/>
      <c r="CI11" s="481"/>
      <c r="CJ11" s="481"/>
      <c r="CK11" s="481"/>
      <c r="CL11" s="481"/>
      <c r="CM11" s="481"/>
      <c r="CN11" s="481"/>
      <c r="CO11" s="481"/>
      <c r="CP11" s="481"/>
      <c r="CQ11" s="481"/>
      <c r="CR11" s="481"/>
      <c r="CS11" s="481"/>
      <c r="CT11" s="481"/>
      <c r="CU11" s="481"/>
      <c r="CV11" s="481"/>
      <c r="CW11" s="481"/>
      <c r="CX11" s="481"/>
      <c r="CY11" s="481"/>
      <c r="CZ11" s="481"/>
    </row>
    <row r="12" spans="1:104" s="60" customFormat="1" ht="14.25" customHeight="1">
      <c r="A12" s="477" t="s">
        <v>585</v>
      </c>
      <c r="B12" s="472">
        <f>SUM(B13:B14)</f>
        <v>12364923</v>
      </c>
      <c r="C12" s="472">
        <f>SUM(C13:C14)</f>
        <v>2079404</v>
      </c>
      <c r="D12" s="472">
        <f>SUM(D13:D14)</f>
        <v>1122779</v>
      </c>
      <c r="E12" s="473">
        <f t="shared" si="0"/>
        <v>0.09080355777387372</v>
      </c>
      <c r="F12" s="480">
        <f t="shared" si="1"/>
        <v>0.5399523132589915</v>
      </c>
      <c r="G12" s="474">
        <f>D12-'[11]Marts'!D12</f>
        <v>567258</v>
      </c>
      <c r="H12" s="477" t="s">
        <v>585</v>
      </c>
      <c r="I12" s="472">
        <v>12365</v>
      </c>
      <c r="J12" s="475">
        <v>2648</v>
      </c>
      <c r="K12" s="475">
        <v>1391</v>
      </c>
      <c r="L12" s="476">
        <v>11.249494541043267</v>
      </c>
      <c r="M12" s="476">
        <v>52.530211480362546</v>
      </c>
      <c r="N12" s="475">
        <v>268</v>
      </c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49"/>
    </row>
    <row r="13" spans="1:104" s="482" customFormat="1" ht="13.5" customHeight="1">
      <c r="A13" s="479" t="s">
        <v>583</v>
      </c>
      <c r="B13" s="11">
        <f>B22+B31+B37+B44+B51+B57+B70+B77+B84+B103+B90+B96+B108</f>
        <v>7130147</v>
      </c>
      <c r="C13" s="11">
        <f>C22+C31+C37+C44+C51+C57+C70+C77+C84+C90+C96+C103+C108</f>
        <v>1405769</v>
      </c>
      <c r="D13" s="11">
        <f>D22+D31+D37+D44+D51+D57+D70+D77+D84+D90+D96+D103+D108</f>
        <v>736086</v>
      </c>
      <c r="E13" s="480">
        <f t="shared" si="0"/>
        <v>0.10323573974000816</v>
      </c>
      <c r="F13" s="480">
        <f t="shared" si="1"/>
        <v>0.5236180339728647</v>
      </c>
      <c r="G13" s="474">
        <f>D13-'[11]Marts'!D13</f>
        <v>475868</v>
      </c>
      <c r="H13" s="479" t="s">
        <v>583</v>
      </c>
      <c r="I13" s="11">
        <v>7130</v>
      </c>
      <c r="J13" s="405">
        <v>1559</v>
      </c>
      <c r="K13" s="405">
        <v>836</v>
      </c>
      <c r="L13" s="58">
        <v>11.725105189340814</v>
      </c>
      <c r="M13" s="58">
        <v>53.6241180243746</v>
      </c>
      <c r="N13" s="405">
        <v>100</v>
      </c>
      <c r="O13" s="481"/>
      <c r="P13" s="481"/>
      <c r="Q13" s="481"/>
      <c r="R13" s="481"/>
      <c r="S13" s="481"/>
      <c r="T13" s="481"/>
      <c r="U13" s="481"/>
      <c r="V13" s="481"/>
      <c r="W13" s="481"/>
      <c r="X13" s="481"/>
      <c r="Y13" s="481"/>
      <c r="Z13" s="481"/>
      <c r="AA13" s="481"/>
      <c r="AB13" s="481"/>
      <c r="AC13" s="481"/>
      <c r="AD13" s="481"/>
      <c r="AE13" s="481"/>
      <c r="AF13" s="481"/>
      <c r="AG13" s="481"/>
      <c r="AH13" s="481"/>
      <c r="AI13" s="481"/>
      <c r="AJ13" s="481"/>
      <c r="AK13" s="481"/>
      <c r="AL13" s="481"/>
      <c r="AM13" s="481"/>
      <c r="AN13" s="481"/>
      <c r="AO13" s="481"/>
      <c r="AP13" s="481"/>
      <c r="AQ13" s="481"/>
      <c r="AR13" s="481"/>
      <c r="AS13" s="481"/>
      <c r="AT13" s="481"/>
      <c r="AU13" s="481"/>
      <c r="AV13" s="481"/>
      <c r="AW13" s="481"/>
      <c r="AX13" s="481"/>
      <c r="AY13" s="481"/>
      <c r="AZ13" s="481"/>
      <c r="BA13" s="481"/>
      <c r="BB13" s="481"/>
      <c r="BC13" s="481"/>
      <c r="BD13" s="481"/>
      <c r="BE13" s="481"/>
      <c r="BF13" s="481"/>
      <c r="BG13" s="481"/>
      <c r="BH13" s="481"/>
      <c r="BI13" s="481"/>
      <c r="BJ13" s="481"/>
      <c r="BK13" s="481"/>
      <c r="BL13" s="481"/>
      <c r="BM13" s="481"/>
      <c r="BN13" s="481"/>
      <c r="BO13" s="481"/>
      <c r="BP13" s="481"/>
      <c r="BQ13" s="481"/>
      <c r="BR13" s="481"/>
      <c r="BS13" s="481"/>
      <c r="BT13" s="481"/>
      <c r="BU13" s="481"/>
      <c r="BV13" s="481"/>
      <c r="BW13" s="481"/>
      <c r="BX13" s="481"/>
      <c r="BY13" s="481"/>
      <c r="BZ13" s="481"/>
      <c r="CA13" s="481"/>
      <c r="CB13" s="481"/>
      <c r="CC13" s="481"/>
      <c r="CD13" s="481"/>
      <c r="CE13" s="481"/>
      <c r="CF13" s="481"/>
      <c r="CG13" s="481"/>
      <c r="CH13" s="481"/>
      <c r="CI13" s="481"/>
      <c r="CJ13" s="481"/>
      <c r="CK13" s="481"/>
      <c r="CL13" s="481"/>
      <c r="CM13" s="481"/>
      <c r="CN13" s="481"/>
      <c r="CO13" s="481"/>
      <c r="CP13" s="481"/>
      <c r="CQ13" s="481"/>
      <c r="CR13" s="481"/>
      <c r="CS13" s="481"/>
      <c r="CT13" s="481"/>
      <c r="CU13" s="481"/>
      <c r="CV13" s="481"/>
      <c r="CW13" s="481"/>
      <c r="CX13" s="481"/>
      <c r="CY13" s="481"/>
      <c r="CZ13" s="481"/>
    </row>
    <row r="14" spans="1:104" s="482" customFormat="1" ht="14.25" customHeight="1">
      <c r="A14" s="479" t="s">
        <v>584</v>
      </c>
      <c r="B14" s="11">
        <f>B38+B45+B58+B64+B71+B78+B85+B97</f>
        <v>5234776</v>
      </c>
      <c r="C14" s="11">
        <f>C38+C45+C58+C64+C71+C78+C85+C97</f>
        <v>673635</v>
      </c>
      <c r="D14" s="11">
        <f>D38+D45+D58+D64+D71+D78+D85+D97</f>
        <v>386693</v>
      </c>
      <c r="E14" s="480">
        <f t="shared" si="0"/>
        <v>0.0738700185070001</v>
      </c>
      <c r="F14" s="480">
        <f t="shared" si="1"/>
        <v>0.5740393536559116</v>
      </c>
      <c r="G14" s="474">
        <f>D14-'[11]Marts'!D14</f>
        <v>91390</v>
      </c>
      <c r="H14" s="479" t="s">
        <v>584</v>
      </c>
      <c r="I14" s="11">
        <v>5235</v>
      </c>
      <c r="J14" s="483">
        <v>1089</v>
      </c>
      <c r="K14" s="483">
        <v>555</v>
      </c>
      <c r="L14" s="58">
        <v>10.601719197707736</v>
      </c>
      <c r="M14" s="58">
        <v>50.964187327823694</v>
      </c>
      <c r="N14" s="483">
        <v>168</v>
      </c>
      <c r="O14" s="481"/>
      <c r="P14" s="481"/>
      <c r="Q14" s="481"/>
      <c r="R14" s="481"/>
      <c r="S14" s="481"/>
      <c r="T14" s="481"/>
      <c r="U14" s="481"/>
      <c r="V14" s="481"/>
      <c r="W14" s="481"/>
      <c r="X14" s="481"/>
      <c r="Y14" s="481"/>
      <c r="Z14" s="481"/>
      <c r="AA14" s="481"/>
      <c r="AB14" s="481"/>
      <c r="AC14" s="481"/>
      <c r="AD14" s="481"/>
      <c r="AE14" s="481"/>
      <c r="AF14" s="481"/>
      <c r="AG14" s="481"/>
      <c r="AH14" s="481"/>
      <c r="AI14" s="481"/>
      <c r="AJ14" s="481"/>
      <c r="AK14" s="481"/>
      <c r="AL14" s="481"/>
      <c r="AM14" s="481"/>
      <c r="AN14" s="481"/>
      <c r="AO14" s="481"/>
      <c r="AP14" s="481"/>
      <c r="AQ14" s="481"/>
      <c r="AR14" s="481"/>
      <c r="AS14" s="481"/>
      <c r="AT14" s="481"/>
      <c r="AU14" s="481"/>
      <c r="AV14" s="481"/>
      <c r="AW14" s="481"/>
      <c r="AX14" s="481"/>
      <c r="AY14" s="481"/>
      <c r="AZ14" s="481"/>
      <c r="BA14" s="481"/>
      <c r="BB14" s="481"/>
      <c r="BC14" s="481"/>
      <c r="BD14" s="481"/>
      <c r="BE14" s="481"/>
      <c r="BF14" s="481"/>
      <c r="BG14" s="481"/>
      <c r="BH14" s="481"/>
      <c r="BI14" s="481"/>
      <c r="BJ14" s="481"/>
      <c r="BK14" s="481"/>
      <c r="BL14" s="481"/>
      <c r="BM14" s="481"/>
      <c r="BN14" s="481"/>
      <c r="BO14" s="481"/>
      <c r="BP14" s="481"/>
      <c r="BQ14" s="481"/>
      <c r="BR14" s="481"/>
      <c r="BS14" s="481"/>
      <c r="BT14" s="481"/>
      <c r="BU14" s="481"/>
      <c r="BV14" s="481"/>
      <c r="BW14" s="481"/>
      <c r="BX14" s="481"/>
      <c r="BY14" s="481"/>
      <c r="BZ14" s="481"/>
      <c r="CA14" s="481"/>
      <c r="CB14" s="481"/>
      <c r="CC14" s="481"/>
      <c r="CD14" s="481"/>
      <c r="CE14" s="481"/>
      <c r="CF14" s="481"/>
      <c r="CG14" s="481"/>
      <c r="CH14" s="481"/>
      <c r="CI14" s="481"/>
      <c r="CJ14" s="481"/>
      <c r="CK14" s="481"/>
      <c r="CL14" s="481"/>
      <c r="CM14" s="481"/>
      <c r="CN14" s="481"/>
      <c r="CO14" s="481"/>
      <c r="CP14" s="481"/>
      <c r="CQ14" s="481"/>
      <c r="CR14" s="481"/>
      <c r="CS14" s="481"/>
      <c r="CT14" s="481"/>
      <c r="CU14" s="481"/>
      <c r="CV14" s="481"/>
      <c r="CW14" s="481"/>
      <c r="CX14" s="481"/>
      <c r="CY14" s="481"/>
      <c r="CZ14" s="481"/>
    </row>
    <row r="15" spans="1:104" s="66" customFormat="1" ht="13.5" customHeight="1" hidden="1">
      <c r="A15" s="74" t="s">
        <v>242</v>
      </c>
      <c r="B15" s="405">
        <f aca="true" t="shared" si="2" ref="B15:D16">B16</f>
        <v>0</v>
      </c>
      <c r="C15" s="405">
        <f t="shared" si="2"/>
        <v>0</v>
      </c>
      <c r="D15" s="405">
        <f t="shared" si="2"/>
        <v>0</v>
      </c>
      <c r="E15" s="480" t="str">
        <f t="shared" si="0"/>
        <v> </v>
      </c>
      <c r="F15" s="480" t="str">
        <f t="shared" si="1"/>
        <v> </v>
      </c>
      <c r="G15" s="474">
        <f>D15-'[11]Marts'!D15</f>
        <v>0</v>
      </c>
      <c r="H15" s="74" t="s">
        <v>242</v>
      </c>
      <c r="I15" s="405">
        <v>0</v>
      </c>
      <c r="J15" s="405">
        <v>0</v>
      </c>
      <c r="K15" s="405">
        <v>0</v>
      </c>
      <c r="L15" s="58" t="e">
        <v>#VALUE!</v>
      </c>
      <c r="M15" s="58" t="e">
        <v>#VALUE!</v>
      </c>
      <c r="N15" s="405">
        <v>0</v>
      </c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</row>
    <row r="16" spans="1:104" s="482" customFormat="1" ht="12.75" hidden="1">
      <c r="A16" s="484" t="s">
        <v>586</v>
      </c>
      <c r="B16" s="485">
        <f t="shared" si="2"/>
        <v>0</v>
      </c>
      <c r="C16" s="485">
        <f t="shared" si="2"/>
        <v>0</v>
      </c>
      <c r="D16" s="485">
        <f t="shared" si="2"/>
        <v>0</v>
      </c>
      <c r="E16" s="480" t="str">
        <f t="shared" si="0"/>
        <v> </v>
      </c>
      <c r="F16" s="480" t="str">
        <f t="shared" si="1"/>
        <v> </v>
      </c>
      <c r="G16" s="474">
        <f>D16-'[11]Marts'!D16</f>
        <v>0</v>
      </c>
      <c r="H16" s="484" t="s">
        <v>586</v>
      </c>
      <c r="I16" s="485">
        <v>0</v>
      </c>
      <c r="J16" s="485">
        <v>0</v>
      </c>
      <c r="K16" s="485">
        <v>0</v>
      </c>
      <c r="L16" s="486" t="e">
        <v>#VALUE!</v>
      </c>
      <c r="M16" s="486" t="e">
        <v>#VALUE!</v>
      </c>
      <c r="N16" s="485">
        <v>0</v>
      </c>
      <c r="O16" s="481"/>
      <c r="P16" s="481"/>
      <c r="Q16" s="481"/>
      <c r="R16" s="481"/>
      <c r="S16" s="481"/>
      <c r="T16" s="481"/>
      <c r="U16" s="481"/>
      <c r="V16" s="481"/>
      <c r="W16" s="481"/>
      <c r="X16" s="481"/>
      <c r="Y16" s="481"/>
      <c r="Z16" s="481"/>
      <c r="AA16" s="481"/>
      <c r="AB16" s="481"/>
      <c r="AC16" s="481"/>
      <c r="AD16" s="481"/>
      <c r="AE16" s="481"/>
      <c r="AF16" s="481"/>
      <c r="AG16" s="481"/>
      <c r="AH16" s="481"/>
      <c r="AI16" s="481"/>
      <c r="AJ16" s="481"/>
      <c r="AK16" s="481"/>
      <c r="AL16" s="481"/>
      <c r="AM16" s="481"/>
      <c r="AN16" s="481"/>
      <c r="AO16" s="481"/>
      <c r="AP16" s="481"/>
      <c r="AQ16" s="481"/>
      <c r="AR16" s="481"/>
      <c r="AS16" s="481"/>
      <c r="AT16" s="481"/>
      <c r="AU16" s="481"/>
      <c r="AV16" s="481"/>
      <c r="AW16" s="481"/>
      <c r="AX16" s="481"/>
      <c r="AY16" s="481"/>
      <c r="AZ16" s="481"/>
      <c r="BA16" s="481"/>
      <c r="BB16" s="481"/>
      <c r="BC16" s="481"/>
      <c r="BD16" s="481"/>
      <c r="BE16" s="481"/>
      <c r="BF16" s="481"/>
      <c r="BG16" s="481"/>
      <c r="BH16" s="481"/>
      <c r="BI16" s="481"/>
      <c r="BJ16" s="481"/>
      <c r="BK16" s="481"/>
      <c r="BL16" s="481"/>
      <c r="BM16" s="481"/>
      <c r="BN16" s="481"/>
      <c r="BO16" s="481"/>
      <c r="BP16" s="481"/>
      <c r="BQ16" s="481"/>
      <c r="BR16" s="481"/>
      <c r="BS16" s="481"/>
      <c r="BT16" s="481"/>
      <c r="BU16" s="481"/>
      <c r="BV16" s="481"/>
      <c r="BW16" s="481"/>
      <c r="BX16" s="481"/>
      <c r="BY16" s="481"/>
      <c r="BZ16" s="481"/>
      <c r="CA16" s="481"/>
      <c r="CB16" s="481"/>
      <c r="CC16" s="481"/>
      <c r="CD16" s="481"/>
      <c r="CE16" s="481"/>
      <c r="CF16" s="481"/>
      <c r="CG16" s="481"/>
      <c r="CH16" s="481"/>
      <c r="CI16" s="481"/>
      <c r="CJ16" s="481"/>
      <c r="CK16" s="481"/>
      <c r="CL16" s="481"/>
      <c r="CM16" s="481"/>
      <c r="CN16" s="481"/>
      <c r="CO16" s="481"/>
      <c r="CP16" s="481"/>
      <c r="CQ16" s="481"/>
      <c r="CR16" s="481"/>
      <c r="CS16" s="481"/>
      <c r="CT16" s="481"/>
      <c r="CU16" s="481"/>
      <c r="CV16" s="481"/>
      <c r="CW16" s="481"/>
      <c r="CX16" s="481"/>
      <c r="CY16" s="481"/>
      <c r="CZ16" s="481"/>
    </row>
    <row r="17" spans="1:104" s="60" customFormat="1" ht="12.75" hidden="1">
      <c r="A17" s="487" t="s">
        <v>583</v>
      </c>
      <c r="B17" s="488"/>
      <c r="C17" s="488"/>
      <c r="D17" s="488"/>
      <c r="E17" s="480" t="str">
        <f t="shared" si="0"/>
        <v> </v>
      </c>
      <c r="F17" s="480" t="str">
        <f t="shared" si="1"/>
        <v> </v>
      </c>
      <c r="G17" s="474">
        <f>D17-'[11]Marts'!D17</f>
        <v>0</v>
      </c>
      <c r="H17" s="487" t="s">
        <v>583</v>
      </c>
      <c r="I17" s="488">
        <v>0</v>
      </c>
      <c r="J17" s="488">
        <v>0</v>
      </c>
      <c r="K17" s="488">
        <v>0</v>
      </c>
      <c r="L17" s="82" t="e">
        <v>#VALUE!</v>
      </c>
      <c r="M17" s="82" t="e">
        <v>#VALUE!</v>
      </c>
      <c r="N17" s="488">
        <v>0</v>
      </c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</row>
    <row r="18" spans="1:104" s="66" customFormat="1" ht="13.5" customHeight="1">
      <c r="A18" s="74" t="s">
        <v>244</v>
      </c>
      <c r="B18" s="405">
        <f>B19+B21</f>
        <v>288119</v>
      </c>
      <c r="C18" s="405">
        <f>C19+C21</f>
        <v>270646</v>
      </c>
      <c r="D18" s="405">
        <f>D19+D21</f>
        <v>8657</v>
      </c>
      <c r="E18" s="489">
        <f t="shared" si="0"/>
        <v>0.030046612684342233</v>
      </c>
      <c r="F18" s="489">
        <f t="shared" si="1"/>
        <v>0.03198643246159189</v>
      </c>
      <c r="G18" s="474">
        <f>D18-'[11]Marts'!D18</f>
        <v>2125</v>
      </c>
      <c r="H18" s="74" t="s">
        <v>244</v>
      </c>
      <c r="I18" s="405">
        <v>288</v>
      </c>
      <c r="J18" s="405">
        <v>273</v>
      </c>
      <c r="K18" s="405">
        <v>11</v>
      </c>
      <c r="L18" s="58">
        <v>3.8194444444444446</v>
      </c>
      <c r="M18" s="58">
        <v>4.029304029304029</v>
      </c>
      <c r="N18" s="405">
        <v>2</v>
      </c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</row>
    <row r="19" spans="1:104" s="482" customFormat="1" ht="12.75">
      <c r="A19" s="484" t="s">
        <v>586</v>
      </c>
      <c r="B19" s="485">
        <f>B20</f>
        <v>261926</v>
      </c>
      <c r="C19" s="485">
        <f>C20</f>
        <v>261926</v>
      </c>
      <c r="D19" s="485">
        <f>D20</f>
        <v>0</v>
      </c>
      <c r="E19" s="480">
        <f t="shared" si="0"/>
        <v>0</v>
      </c>
      <c r="F19" s="480">
        <f t="shared" si="1"/>
        <v>0</v>
      </c>
      <c r="G19" s="474">
        <f>D19-'[11]Marts'!D19</f>
        <v>0</v>
      </c>
      <c r="H19" s="484" t="s">
        <v>586</v>
      </c>
      <c r="I19" s="485">
        <v>262</v>
      </c>
      <c r="J19" s="485">
        <v>262</v>
      </c>
      <c r="K19" s="485">
        <v>0</v>
      </c>
      <c r="L19" s="486">
        <v>0</v>
      </c>
      <c r="M19" s="486">
        <v>0</v>
      </c>
      <c r="N19" s="485">
        <v>0</v>
      </c>
      <c r="O19" s="481"/>
      <c r="P19" s="481"/>
      <c r="Q19" s="481"/>
      <c r="R19" s="481"/>
      <c r="S19" s="481"/>
      <c r="T19" s="481"/>
      <c r="U19" s="481"/>
      <c r="V19" s="481"/>
      <c r="W19" s="481"/>
      <c r="X19" s="481"/>
      <c r="Y19" s="481"/>
      <c r="Z19" s="481"/>
      <c r="AA19" s="481"/>
      <c r="AB19" s="481"/>
      <c r="AC19" s="481"/>
      <c r="AD19" s="481"/>
      <c r="AE19" s="481"/>
      <c r="AF19" s="481"/>
      <c r="AG19" s="481"/>
      <c r="AH19" s="481"/>
      <c r="AI19" s="481"/>
      <c r="AJ19" s="481"/>
      <c r="AK19" s="481"/>
      <c r="AL19" s="481"/>
      <c r="AM19" s="481"/>
      <c r="AN19" s="481"/>
      <c r="AO19" s="481"/>
      <c r="AP19" s="481"/>
      <c r="AQ19" s="481"/>
      <c r="AR19" s="481"/>
      <c r="AS19" s="481"/>
      <c r="AT19" s="481"/>
      <c r="AU19" s="481"/>
      <c r="AV19" s="481"/>
      <c r="AW19" s="481"/>
      <c r="AX19" s="481"/>
      <c r="AY19" s="481"/>
      <c r="AZ19" s="481"/>
      <c r="BA19" s="481"/>
      <c r="BB19" s="481"/>
      <c r="BC19" s="481"/>
      <c r="BD19" s="481"/>
      <c r="BE19" s="481"/>
      <c r="BF19" s="481"/>
      <c r="BG19" s="481"/>
      <c r="BH19" s="481"/>
      <c r="BI19" s="481"/>
      <c r="BJ19" s="481"/>
      <c r="BK19" s="481"/>
      <c r="BL19" s="481"/>
      <c r="BM19" s="481"/>
      <c r="BN19" s="481"/>
      <c r="BO19" s="481"/>
      <c r="BP19" s="481"/>
      <c r="BQ19" s="481"/>
      <c r="BR19" s="481"/>
      <c r="BS19" s="481"/>
      <c r="BT19" s="481"/>
      <c r="BU19" s="481"/>
      <c r="BV19" s="481"/>
      <c r="BW19" s="481"/>
      <c r="BX19" s="481"/>
      <c r="BY19" s="481"/>
      <c r="BZ19" s="481"/>
      <c r="CA19" s="481"/>
      <c r="CB19" s="481"/>
      <c r="CC19" s="481"/>
      <c r="CD19" s="481"/>
      <c r="CE19" s="481"/>
      <c r="CF19" s="481"/>
      <c r="CG19" s="481"/>
      <c r="CH19" s="481"/>
      <c r="CI19" s="481"/>
      <c r="CJ19" s="481"/>
      <c r="CK19" s="481"/>
      <c r="CL19" s="481"/>
      <c r="CM19" s="481"/>
      <c r="CN19" s="481"/>
      <c r="CO19" s="481"/>
      <c r="CP19" s="481"/>
      <c r="CQ19" s="481"/>
      <c r="CR19" s="481"/>
      <c r="CS19" s="481"/>
      <c r="CT19" s="481"/>
      <c r="CU19" s="481"/>
      <c r="CV19" s="481"/>
      <c r="CW19" s="481"/>
      <c r="CX19" s="481"/>
      <c r="CY19" s="481"/>
      <c r="CZ19" s="481"/>
    </row>
    <row r="20" spans="1:104" s="60" customFormat="1" ht="12.75">
      <c r="A20" s="487" t="s">
        <v>583</v>
      </c>
      <c r="B20" s="488">
        <v>261926</v>
      </c>
      <c r="C20" s="488">
        <v>261926</v>
      </c>
      <c r="D20" s="488"/>
      <c r="E20" s="480">
        <f t="shared" si="0"/>
        <v>0</v>
      </c>
      <c r="F20" s="480">
        <f t="shared" si="1"/>
        <v>0</v>
      </c>
      <c r="G20" s="474">
        <f>D20-'[11]Marts'!D20</f>
        <v>0</v>
      </c>
      <c r="H20" s="487" t="s">
        <v>583</v>
      </c>
      <c r="I20" s="488">
        <v>262</v>
      </c>
      <c r="J20" s="488">
        <v>262</v>
      </c>
      <c r="K20" s="488">
        <v>0</v>
      </c>
      <c r="L20" s="82">
        <v>0</v>
      </c>
      <c r="M20" s="82">
        <v>0</v>
      </c>
      <c r="N20" s="488">
        <v>0</v>
      </c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</row>
    <row r="21" spans="1:104" s="482" customFormat="1" ht="12.75">
      <c r="A21" s="484" t="s">
        <v>587</v>
      </c>
      <c r="B21" s="485">
        <f>B22</f>
        <v>26193</v>
      </c>
      <c r="C21" s="485">
        <f>C22</f>
        <v>8720</v>
      </c>
      <c r="D21" s="485">
        <f>D22</f>
        <v>8657</v>
      </c>
      <c r="E21" s="480">
        <f t="shared" si="0"/>
        <v>0.3305081510327187</v>
      </c>
      <c r="F21" s="480">
        <f t="shared" si="1"/>
        <v>0.9927752293577982</v>
      </c>
      <c r="G21" s="474">
        <f>D21-'[11]Marts'!D21</f>
        <v>2125</v>
      </c>
      <c r="H21" s="484" t="s">
        <v>587</v>
      </c>
      <c r="I21" s="485">
        <v>26</v>
      </c>
      <c r="J21" s="485">
        <v>11</v>
      </c>
      <c r="K21" s="485">
        <v>11</v>
      </c>
      <c r="L21" s="486">
        <v>42.30769230769231</v>
      </c>
      <c r="M21" s="486">
        <v>100</v>
      </c>
      <c r="N21" s="485">
        <v>2</v>
      </c>
      <c r="O21" s="481"/>
      <c r="P21" s="481"/>
      <c r="Q21" s="481"/>
      <c r="R21" s="481"/>
      <c r="S21" s="481"/>
      <c r="T21" s="481"/>
      <c r="U21" s="481"/>
      <c r="V21" s="481"/>
      <c r="W21" s="481"/>
      <c r="X21" s="481"/>
      <c r="Y21" s="481"/>
      <c r="Z21" s="481"/>
      <c r="AA21" s="481"/>
      <c r="AB21" s="481"/>
      <c r="AC21" s="481"/>
      <c r="AD21" s="481"/>
      <c r="AE21" s="481"/>
      <c r="AF21" s="481"/>
      <c r="AG21" s="481"/>
      <c r="AH21" s="481"/>
      <c r="AI21" s="481"/>
      <c r="AJ21" s="481"/>
      <c r="AK21" s="481"/>
      <c r="AL21" s="481"/>
      <c r="AM21" s="481"/>
      <c r="AN21" s="481"/>
      <c r="AO21" s="481"/>
      <c r="AP21" s="481"/>
      <c r="AQ21" s="481"/>
      <c r="AR21" s="481"/>
      <c r="AS21" s="481"/>
      <c r="AT21" s="481"/>
      <c r="AU21" s="481"/>
      <c r="AV21" s="481"/>
      <c r="AW21" s="481"/>
      <c r="AX21" s="481"/>
      <c r="AY21" s="481"/>
      <c r="AZ21" s="481"/>
      <c r="BA21" s="481"/>
      <c r="BB21" s="481"/>
      <c r="BC21" s="481"/>
      <c r="BD21" s="481"/>
      <c r="BE21" s="481"/>
      <c r="BF21" s="481"/>
      <c r="BG21" s="481"/>
      <c r="BH21" s="481"/>
      <c r="BI21" s="481"/>
      <c r="BJ21" s="481"/>
      <c r="BK21" s="481"/>
      <c r="BL21" s="481"/>
      <c r="BM21" s="481"/>
      <c r="BN21" s="481"/>
      <c r="BO21" s="481"/>
      <c r="BP21" s="481"/>
      <c r="BQ21" s="481"/>
      <c r="BR21" s="481"/>
      <c r="BS21" s="481"/>
      <c r="BT21" s="481"/>
      <c r="BU21" s="481"/>
      <c r="BV21" s="481"/>
      <c r="BW21" s="481"/>
      <c r="BX21" s="481"/>
      <c r="BY21" s="481"/>
      <c r="BZ21" s="481"/>
      <c r="CA21" s="481"/>
      <c r="CB21" s="481"/>
      <c r="CC21" s="481"/>
      <c r="CD21" s="481"/>
      <c r="CE21" s="481"/>
      <c r="CF21" s="481"/>
      <c r="CG21" s="481"/>
      <c r="CH21" s="481"/>
      <c r="CI21" s="481"/>
      <c r="CJ21" s="481"/>
      <c r="CK21" s="481"/>
      <c r="CL21" s="481"/>
      <c r="CM21" s="481"/>
      <c r="CN21" s="481"/>
      <c r="CO21" s="481"/>
      <c r="CP21" s="481"/>
      <c r="CQ21" s="481"/>
      <c r="CR21" s="481"/>
      <c r="CS21" s="481"/>
      <c r="CT21" s="481"/>
      <c r="CU21" s="481"/>
      <c r="CV21" s="481"/>
      <c r="CW21" s="481"/>
      <c r="CX21" s="481"/>
      <c r="CY21" s="481"/>
      <c r="CZ21" s="481"/>
    </row>
    <row r="22" spans="1:104" s="60" customFormat="1" ht="12.75">
      <c r="A22" s="487" t="s">
        <v>583</v>
      </c>
      <c r="B22" s="488">
        <v>26193</v>
      </c>
      <c r="C22" s="488">
        <v>8720</v>
      </c>
      <c r="D22" s="488">
        <v>8657</v>
      </c>
      <c r="E22" s="480">
        <f t="shared" si="0"/>
        <v>0.3305081510327187</v>
      </c>
      <c r="F22" s="480">
        <f t="shared" si="1"/>
        <v>0.9927752293577982</v>
      </c>
      <c r="G22" s="474">
        <f>D22-'[11]Marts'!D22</f>
        <v>2125</v>
      </c>
      <c r="H22" s="487" t="s">
        <v>583</v>
      </c>
      <c r="I22" s="488">
        <v>26</v>
      </c>
      <c r="J22" s="488">
        <v>11</v>
      </c>
      <c r="K22" s="488">
        <v>11</v>
      </c>
      <c r="L22" s="82">
        <v>42.30769230769231</v>
      </c>
      <c r="M22" s="82">
        <v>100</v>
      </c>
      <c r="N22" s="488">
        <v>2</v>
      </c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</row>
    <row r="23" spans="1:104" s="66" customFormat="1" ht="13.5" customHeight="1" hidden="1">
      <c r="A23" s="74" t="s">
        <v>248</v>
      </c>
      <c r="B23" s="405">
        <f aca="true" t="shared" si="3" ref="B23:D24">B24</f>
        <v>0</v>
      </c>
      <c r="C23" s="405">
        <f t="shared" si="3"/>
        <v>0</v>
      </c>
      <c r="D23" s="405">
        <f t="shared" si="3"/>
        <v>0</v>
      </c>
      <c r="E23" s="489" t="str">
        <f t="shared" si="0"/>
        <v> </v>
      </c>
      <c r="F23" s="480" t="str">
        <f t="shared" si="1"/>
        <v> </v>
      </c>
      <c r="G23" s="474">
        <f>D23-'[11]Marts'!D23</f>
        <v>0</v>
      </c>
      <c r="H23" s="74" t="s">
        <v>248</v>
      </c>
      <c r="I23" s="405">
        <v>0</v>
      </c>
      <c r="J23" s="405">
        <v>0</v>
      </c>
      <c r="K23" s="405">
        <v>0</v>
      </c>
      <c r="L23" s="58" t="e">
        <v>#VALUE!</v>
      </c>
      <c r="M23" s="58" t="e">
        <v>#VALUE!</v>
      </c>
      <c r="N23" s="405">
        <v>0</v>
      </c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</row>
    <row r="24" spans="1:104" s="482" customFormat="1" ht="12.75" hidden="1">
      <c r="A24" s="484" t="s">
        <v>586</v>
      </c>
      <c r="B24" s="485">
        <f t="shared" si="3"/>
        <v>0</v>
      </c>
      <c r="C24" s="485">
        <f t="shared" si="3"/>
        <v>0</v>
      </c>
      <c r="D24" s="485">
        <f t="shared" si="3"/>
        <v>0</v>
      </c>
      <c r="E24" s="480" t="str">
        <f t="shared" si="0"/>
        <v> </v>
      </c>
      <c r="F24" s="480" t="str">
        <f t="shared" si="1"/>
        <v> </v>
      </c>
      <c r="G24" s="474">
        <f>D24-'[11]Marts'!D24</f>
        <v>0</v>
      </c>
      <c r="H24" s="484" t="s">
        <v>586</v>
      </c>
      <c r="I24" s="485">
        <v>0</v>
      </c>
      <c r="J24" s="485">
        <v>0</v>
      </c>
      <c r="K24" s="485">
        <v>0</v>
      </c>
      <c r="L24" s="486" t="e">
        <v>#VALUE!</v>
      </c>
      <c r="M24" s="486" t="e">
        <v>#VALUE!</v>
      </c>
      <c r="N24" s="485">
        <v>0</v>
      </c>
      <c r="O24" s="481"/>
      <c r="P24" s="481"/>
      <c r="Q24" s="481"/>
      <c r="R24" s="481"/>
      <c r="S24" s="481"/>
      <c r="T24" s="481"/>
      <c r="U24" s="481"/>
      <c r="V24" s="481"/>
      <c r="W24" s="481"/>
      <c r="X24" s="481"/>
      <c r="Y24" s="481"/>
      <c r="Z24" s="481"/>
      <c r="AA24" s="481"/>
      <c r="AB24" s="481"/>
      <c r="AC24" s="481"/>
      <c r="AD24" s="481"/>
      <c r="AE24" s="481"/>
      <c r="AF24" s="481"/>
      <c r="AG24" s="481"/>
      <c r="AH24" s="481"/>
      <c r="AI24" s="481"/>
      <c r="AJ24" s="481"/>
      <c r="AK24" s="481"/>
      <c r="AL24" s="481"/>
      <c r="AM24" s="481"/>
      <c r="AN24" s="481"/>
      <c r="AO24" s="481"/>
      <c r="AP24" s="481"/>
      <c r="AQ24" s="481"/>
      <c r="AR24" s="481"/>
      <c r="AS24" s="481"/>
      <c r="AT24" s="481"/>
      <c r="AU24" s="481"/>
      <c r="AV24" s="481"/>
      <c r="AW24" s="481"/>
      <c r="AX24" s="481"/>
      <c r="AY24" s="481"/>
      <c r="AZ24" s="481"/>
      <c r="BA24" s="481"/>
      <c r="BB24" s="481"/>
      <c r="BC24" s="481"/>
      <c r="BD24" s="481"/>
      <c r="BE24" s="481"/>
      <c r="BF24" s="481"/>
      <c r="BG24" s="481"/>
      <c r="BH24" s="481"/>
      <c r="BI24" s="481"/>
      <c r="BJ24" s="481"/>
      <c r="BK24" s="481"/>
      <c r="BL24" s="481"/>
      <c r="BM24" s="481"/>
      <c r="BN24" s="481"/>
      <c r="BO24" s="481"/>
      <c r="BP24" s="481"/>
      <c r="BQ24" s="481"/>
      <c r="BR24" s="481"/>
      <c r="BS24" s="481"/>
      <c r="BT24" s="481"/>
      <c r="BU24" s="481"/>
      <c r="BV24" s="481"/>
      <c r="BW24" s="481"/>
      <c r="BX24" s="481"/>
      <c r="BY24" s="481"/>
      <c r="BZ24" s="481"/>
      <c r="CA24" s="481"/>
      <c r="CB24" s="481"/>
      <c r="CC24" s="481"/>
      <c r="CD24" s="481"/>
      <c r="CE24" s="481"/>
      <c r="CF24" s="481"/>
      <c r="CG24" s="481"/>
      <c r="CH24" s="481"/>
      <c r="CI24" s="481"/>
      <c r="CJ24" s="481"/>
      <c r="CK24" s="481"/>
      <c r="CL24" s="481"/>
      <c r="CM24" s="481"/>
      <c r="CN24" s="481"/>
      <c r="CO24" s="481"/>
      <c r="CP24" s="481"/>
      <c r="CQ24" s="481"/>
      <c r="CR24" s="481"/>
      <c r="CS24" s="481"/>
      <c r="CT24" s="481"/>
      <c r="CU24" s="481"/>
      <c r="CV24" s="481"/>
      <c r="CW24" s="481"/>
      <c r="CX24" s="481"/>
      <c r="CY24" s="481"/>
      <c r="CZ24" s="481"/>
    </row>
    <row r="25" spans="1:104" s="60" customFormat="1" ht="12.75" hidden="1">
      <c r="A25" s="487" t="s">
        <v>583</v>
      </c>
      <c r="B25" s="488"/>
      <c r="C25" s="488"/>
      <c r="D25" s="488"/>
      <c r="E25" s="480" t="str">
        <f t="shared" si="0"/>
        <v> </v>
      </c>
      <c r="F25" s="480" t="str">
        <f t="shared" si="1"/>
        <v> </v>
      </c>
      <c r="G25" s="474">
        <f>D25-'[11]Marts'!D25</f>
        <v>0</v>
      </c>
      <c r="H25" s="487" t="s">
        <v>583</v>
      </c>
      <c r="I25" s="488">
        <v>0</v>
      </c>
      <c r="J25" s="488">
        <v>0</v>
      </c>
      <c r="K25" s="488">
        <v>0</v>
      </c>
      <c r="L25" s="82" t="e">
        <v>#VALUE!</v>
      </c>
      <c r="M25" s="82" t="e">
        <v>#VALUE!</v>
      </c>
      <c r="N25" s="488">
        <v>0</v>
      </c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</row>
    <row r="26" spans="1:104" s="66" customFormat="1" ht="12">
      <c r="A26" s="74" t="s">
        <v>250</v>
      </c>
      <c r="B26" s="405">
        <f>B27+B30</f>
        <v>6043999</v>
      </c>
      <c r="C26" s="405">
        <f>C27+C30</f>
        <v>2148379</v>
      </c>
      <c r="D26" s="405">
        <f>D27+D30</f>
        <v>214179</v>
      </c>
      <c r="E26" s="489">
        <f t="shared" si="0"/>
        <v>0.035436637233063735</v>
      </c>
      <c r="F26" s="489">
        <f t="shared" si="1"/>
        <v>0.09969330364893718</v>
      </c>
      <c r="G26" s="474">
        <f>D26-'[11]Marts'!D26</f>
        <v>61669</v>
      </c>
      <c r="H26" s="74" t="s">
        <v>250</v>
      </c>
      <c r="I26" s="405">
        <v>6044</v>
      </c>
      <c r="J26" s="405">
        <v>2206</v>
      </c>
      <c r="K26" s="405">
        <v>257</v>
      </c>
      <c r="L26" s="58">
        <v>4.252150893448048</v>
      </c>
      <c r="M26" s="58">
        <v>11.650045330915685</v>
      </c>
      <c r="N26" s="405">
        <v>43</v>
      </c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</row>
    <row r="27" spans="1:104" s="482" customFormat="1" ht="12.75">
      <c r="A27" s="484" t="s">
        <v>586</v>
      </c>
      <c r="B27" s="485">
        <f>SUM(B28:B29)</f>
        <v>6027039</v>
      </c>
      <c r="C27" s="485">
        <f>SUM(C28:C29)</f>
        <v>2144139</v>
      </c>
      <c r="D27" s="485">
        <f>SUM(D28:D29)</f>
        <v>209944</v>
      </c>
      <c r="E27" s="480">
        <f t="shared" si="0"/>
        <v>0.03483368864877098</v>
      </c>
      <c r="F27" s="480">
        <f t="shared" si="1"/>
        <v>0.09791529373795263</v>
      </c>
      <c r="G27" s="474">
        <f>D27-'[11]Marts'!D27</f>
        <v>61669</v>
      </c>
      <c r="H27" s="484" t="s">
        <v>586</v>
      </c>
      <c r="I27" s="485">
        <v>6027</v>
      </c>
      <c r="J27" s="485">
        <v>2202</v>
      </c>
      <c r="K27" s="485">
        <v>253</v>
      </c>
      <c r="L27" s="486">
        <v>4.1977766716442675</v>
      </c>
      <c r="M27" s="486">
        <v>11.489554950045413</v>
      </c>
      <c r="N27" s="485">
        <v>43</v>
      </c>
      <c r="O27" s="481"/>
      <c r="P27" s="481"/>
      <c r="Q27" s="481"/>
      <c r="R27" s="481"/>
      <c r="S27" s="481"/>
      <c r="T27" s="481"/>
      <c r="U27" s="481"/>
      <c r="V27" s="481"/>
      <c r="W27" s="481"/>
      <c r="X27" s="481"/>
      <c r="Y27" s="481"/>
      <c r="Z27" s="481"/>
      <c r="AA27" s="481"/>
      <c r="AB27" s="481"/>
      <c r="AC27" s="481"/>
      <c r="AD27" s="481"/>
      <c r="AE27" s="481"/>
      <c r="AF27" s="481"/>
      <c r="AG27" s="481"/>
      <c r="AH27" s="481"/>
      <c r="AI27" s="481"/>
      <c r="AJ27" s="481"/>
      <c r="AK27" s="481"/>
      <c r="AL27" s="481"/>
      <c r="AM27" s="481"/>
      <c r="AN27" s="481"/>
      <c r="AO27" s="481"/>
      <c r="AP27" s="481"/>
      <c r="AQ27" s="481"/>
      <c r="AR27" s="481"/>
      <c r="AS27" s="481"/>
      <c r="AT27" s="481"/>
      <c r="AU27" s="481"/>
      <c r="AV27" s="481"/>
      <c r="AW27" s="481"/>
      <c r="AX27" s="481"/>
      <c r="AY27" s="481"/>
      <c r="AZ27" s="481"/>
      <c r="BA27" s="481"/>
      <c r="BB27" s="481"/>
      <c r="BC27" s="481"/>
      <c r="BD27" s="481"/>
      <c r="BE27" s="481"/>
      <c r="BF27" s="481"/>
      <c r="BG27" s="481"/>
      <c r="BH27" s="481"/>
      <c r="BI27" s="481"/>
      <c r="BJ27" s="481"/>
      <c r="BK27" s="481"/>
      <c r="BL27" s="481"/>
      <c r="BM27" s="481"/>
      <c r="BN27" s="481"/>
      <c r="BO27" s="481"/>
      <c r="BP27" s="481"/>
      <c r="BQ27" s="481"/>
      <c r="BR27" s="481"/>
      <c r="BS27" s="481"/>
      <c r="BT27" s="481"/>
      <c r="BU27" s="481"/>
      <c r="BV27" s="481"/>
      <c r="BW27" s="481"/>
      <c r="BX27" s="481"/>
      <c r="BY27" s="481"/>
      <c r="BZ27" s="481"/>
      <c r="CA27" s="481"/>
      <c r="CB27" s="481"/>
      <c r="CC27" s="481"/>
      <c r="CD27" s="481"/>
      <c r="CE27" s="481"/>
      <c r="CF27" s="481"/>
      <c r="CG27" s="481"/>
      <c r="CH27" s="481"/>
      <c r="CI27" s="481"/>
      <c r="CJ27" s="481"/>
      <c r="CK27" s="481"/>
      <c r="CL27" s="481"/>
      <c r="CM27" s="481"/>
      <c r="CN27" s="481"/>
      <c r="CO27" s="481"/>
      <c r="CP27" s="481"/>
      <c r="CQ27" s="481"/>
      <c r="CR27" s="481"/>
      <c r="CS27" s="481"/>
      <c r="CT27" s="481"/>
      <c r="CU27" s="481"/>
      <c r="CV27" s="481"/>
      <c r="CW27" s="481"/>
      <c r="CX27" s="481"/>
      <c r="CY27" s="481"/>
      <c r="CZ27" s="481"/>
    </row>
    <row r="28" spans="1:104" s="60" customFormat="1" ht="12.75">
      <c r="A28" s="487" t="s">
        <v>583</v>
      </c>
      <c r="B28" s="488">
        <v>5729733</v>
      </c>
      <c r="C28" s="488">
        <v>2032265</v>
      </c>
      <c r="D28" s="488">
        <v>166619</v>
      </c>
      <c r="E28" s="480">
        <f t="shared" si="0"/>
        <v>0.029079714534691232</v>
      </c>
      <c r="F28" s="480">
        <f t="shared" si="1"/>
        <v>0.08198684718774372</v>
      </c>
      <c r="G28" s="474">
        <f>D28-'[11]Marts'!D28</f>
        <v>18344</v>
      </c>
      <c r="H28" s="487" t="s">
        <v>583</v>
      </c>
      <c r="I28" s="488">
        <v>5730</v>
      </c>
      <c r="J28" s="488">
        <v>2052</v>
      </c>
      <c r="K28" s="488">
        <v>210</v>
      </c>
      <c r="L28" s="82">
        <v>3.664921465968586</v>
      </c>
      <c r="M28" s="82">
        <v>10.23391812865497</v>
      </c>
      <c r="N28" s="488">
        <v>43</v>
      </c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</row>
    <row r="29" spans="1:104" s="60" customFormat="1" ht="12.75">
      <c r="A29" s="487" t="s">
        <v>584</v>
      </c>
      <c r="B29" s="488">
        <v>297306</v>
      </c>
      <c r="C29" s="488">
        <v>111874</v>
      </c>
      <c r="D29" s="488">
        <v>43325</v>
      </c>
      <c r="E29" s="480">
        <f t="shared" si="0"/>
        <v>0.1457252796781767</v>
      </c>
      <c r="F29" s="480">
        <f t="shared" si="1"/>
        <v>0.38726603142821386</v>
      </c>
      <c r="G29" s="474">
        <f>D29-'[11]Marts'!D29</f>
        <v>43325</v>
      </c>
      <c r="H29" s="487" t="s">
        <v>584</v>
      </c>
      <c r="I29" s="488">
        <v>297</v>
      </c>
      <c r="J29" s="488">
        <v>150</v>
      </c>
      <c r="K29" s="488">
        <v>43</v>
      </c>
      <c r="L29" s="82">
        <v>14.47811447811448</v>
      </c>
      <c r="M29" s="82">
        <v>28.666666666666668</v>
      </c>
      <c r="N29" s="488">
        <v>0</v>
      </c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</row>
    <row r="30" spans="1:104" s="482" customFormat="1" ht="12.75">
      <c r="A30" s="484" t="s">
        <v>587</v>
      </c>
      <c r="B30" s="485">
        <f>B31</f>
        <v>16960</v>
      </c>
      <c r="C30" s="485">
        <f>C31</f>
        <v>4240</v>
      </c>
      <c r="D30" s="485">
        <f>D31</f>
        <v>4235</v>
      </c>
      <c r="E30" s="480">
        <f t="shared" si="0"/>
        <v>0.2497051886792453</v>
      </c>
      <c r="F30" s="480">
        <f t="shared" si="1"/>
        <v>0.9988207547169812</v>
      </c>
      <c r="G30" s="474">
        <f>D30-'[11]Marts'!D30</f>
        <v>0</v>
      </c>
      <c r="H30" s="484" t="s">
        <v>587</v>
      </c>
      <c r="I30" s="485">
        <v>17</v>
      </c>
      <c r="J30" s="485">
        <v>4</v>
      </c>
      <c r="K30" s="485">
        <v>4</v>
      </c>
      <c r="L30" s="486">
        <v>23.52941176470588</v>
      </c>
      <c r="M30" s="486">
        <v>100</v>
      </c>
      <c r="N30" s="485">
        <v>0</v>
      </c>
      <c r="O30" s="481"/>
      <c r="P30" s="481"/>
      <c r="Q30" s="481"/>
      <c r="R30" s="481"/>
      <c r="S30" s="481"/>
      <c r="T30" s="481"/>
      <c r="U30" s="481"/>
      <c r="V30" s="481"/>
      <c r="W30" s="481"/>
      <c r="X30" s="481"/>
      <c r="Y30" s="481"/>
      <c r="Z30" s="481"/>
      <c r="AA30" s="481"/>
      <c r="AB30" s="481"/>
      <c r="AC30" s="481"/>
      <c r="AD30" s="481"/>
      <c r="AE30" s="481"/>
      <c r="AF30" s="481"/>
      <c r="AG30" s="481"/>
      <c r="AH30" s="481"/>
      <c r="AI30" s="481"/>
      <c r="AJ30" s="481"/>
      <c r="AK30" s="481"/>
      <c r="AL30" s="481"/>
      <c r="AM30" s="481"/>
      <c r="AN30" s="481"/>
      <c r="AO30" s="481"/>
      <c r="AP30" s="481"/>
      <c r="AQ30" s="481"/>
      <c r="AR30" s="481"/>
      <c r="AS30" s="481"/>
      <c r="AT30" s="481"/>
      <c r="AU30" s="481"/>
      <c r="AV30" s="481"/>
      <c r="AW30" s="481"/>
      <c r="AX30" s="481"/>
      <c r="AY30" s="481"/>
      <c r="AZ30" s="481"/>
      <c r="BA30" s="481"/>
      <c r="BB30" s="481"/>
      <c r="BC30" s="481"/>
      <c r="BD30" s="481"/>
      <c r="BE30" s="481"/>
      <c r="BF30" s="481"/>
      <c r="BG30" s="481"/>
      <c r="BH30" s="481"/>
      <c r="BI30" s="481"/>
      <c r="BJ30" s="481"/>
      <c r="BK30" s="481"/>
      <c r="BL30" s="481"/>
      <c r="BM30" s="481"/>
      <c r="BN30" s="481"/>
      <c r="BO30" s="481"/>
      <c r="BP30" s="481"/>
      <c r="BQ30" s="481"/>
      <c r="BR30" s="481"/>
      <c r="BS30" s="481"/>
      <c r="BT30" s="481"/>
      <c r="BU30" s="481"/>
      <c r="BV30" s="481"/>
      <c r="BW30" s="481"/>
      <c r="BX30" s="481"/>
      <c r="BY30" s="481"/>
      <c r="BZ30" s="481"/>
      <c r="CA30" s="481"/>
      <c r="CB30" s="481"/>
      <c r="CC30" s="481"/>
      <c r="CD30" s="481"/>
      <c r="CE30" s="481"/>
      <c r="CF30" s="481"/>
      <c r="CG30" s="481"/>
      <c r="CH30" s="481"/>
      <c r="CI30" s="481"/>
      <c r="CJ30" s="481"/>
      <c r="CK30" s="481"/>
      <c r="CL30" s="481"/>
      <c r="CM30" s="481"/>
      <c r="CN30" s="481"/>
      <c r="CO30" s="481"/>
      <c r="CP30" s="481"/>
      <c r="CQ30" s="481"/>
      <c r="CR30" s="481"/>
      <c r="CS30" s="481"/>
      <c r="CT30" s="481"/>
      <c r="CU30" s="481"/>
      <c r="CV30" s="481"/>
      <c r="CW30" s="481"/>
      <c r="CX30" s="481"/>
      <c r="CY30" s="481"/>
      <c r="CZ30" s="481"/>
    </row>
    <row r="31" spans="1:104" s="60" customFormat="1" ht="12.75">
      <c r="A31" s="487" t="s">
        <v>583</v>
      </c>
      <c r="B31" s="488">
        <v>16960</v>
      </c>
      <c r="C31" s="488">
        <v>4240</v>
      </c>
      <c r="D31" s="488">
        <v>4235</v>
      </c>
      <c r="E31" s="480">
        <f t="shared" si="0"/>
        <v>0.2497051886792453</v>
      </c>
      <c r="F31" s="480">
        <f t="shared" si="1"/>
        <v>0.9988207547169812</v>
      </c>
      <c r="G31" s="474">
        <f>D31-'[11]Marts'!D31</f>
        <v>0</v>
      </c>
      <c r="H31" s="487" t="s">
        <v>583</v>
      </c>
      <c r="I31" s="488">
        <v>17</v>
      </c>
      <c r="J31" s="488">
        <v>4</v>
      </c>
      <c r="K31" s="488">
        <v>4</v>
      </c>
      <c r="L31" s="82">
        <v>23.52941176470588</v>
      </c>
      <c r="M31" s="82">
        <v>100</v>
      </c>
      <c r="N31" s="488">
        <v>0</v>
      </c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</row>
    <row r="32" spans="1:104" s="66" customFormat="1" ht="12">
      <c r="A32" s="74" t="s">
        <v>252</v>
      </c>
      <c r="B32" s="405">
        <f>B33+B36</f>
        <v>3710930</v>
      </c>
      <c r="C32" s="405">
        <f>C33+C36</f>
        <v>1495998</v>
      </c>
      <c r="D32" s="405">
        <f>D33+D36</f>
        <v>692890</v>
      </c>
      <c r="E32" s="489">
        <f t="shared" si="0"/>
        <v>0.18671599841549152</v>
      </c>
      <c r="F32" s="489">
        <f t="shared" si="1"/>
        <v>0.4631623839069304</v>
      </c>
      <c r="G32" s="474">
        <f>D32-'[11]Marts'!D32</f>
        <v>69163</v>
      </c>
      <c r="H32" s="74" t="s">
        <v>252</v>
      </c>
      <c r="I32" s="405">
        <v>3711</v>
      </c>
      <c r="J32" s="405">
        <v>1841</v>
      </c>
      <c r="K32" s="405">
        <v>1050</v>
      </c>
      <c r="L32" s="58">
        <v>28.294260307194826</v>
      </c>
      <c r="M32" s="58">
        <v>57.03422053231939</v>
      </c>
      <c r="N32" s="405">
        <v>357</v>
      </c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</row>
    <row r="33" spans="1:104" s="482" customFormat="1" ht="12.75">
      <c r="A33" s="484" t="s">
        <v>586</v>
      </c>
      <c r="B33" s="485">
        <f>SUM(B34:B35)</f>
        <v>2840580</v>
      </c>
      <c r="C33" s="485">
        <f>SUM(C34:C35)</f>
        <v>1354998</v>
      </c>
      <c r="D33" s="485">
        <f>SUM(D34:D35)</f>
        <v>563822</v>
      </c>
      <c r="E33" s="480">
        <f t="shared" si="0"/>
        <v>0.1984883368889452</v>
      </c>
      <c r="F33" s="480">
        <f t="shared" si="1"/>
        <v>0.4161054112256992</v>
      </c>
      <c r="G33" s="474">
        <f>D33-'[11]Marts'!D33</f>
        <v>23043</v>
      </c>
      <c r="H33" s="484" t="s">
        <v>586</v>
      </c>
      <c r="I33" s="485">
        <v>2841</v>
      </c>
      <c r="J33" s="485">
        <v>1467</v>
      </c>
      <c r="K33" s="485">
        <v>850</v>
      </c>
      <c r="L33" s="486">
        <v>29.9190425906371</v>
      </c>
      <c r="M33" s="486">
        <v>57.94137695978186</v>
      </c>
      <c r="N33" s="485">
        <v>286</v>
      </c>
      <c r="O33" s="481"/>
      <c r="P33" s="481"/>
      <c r="Q33" s="481"/>
      <c r="R33" s="481"/>
      <c r="S33" s="481"/>
      <c r="T33" s="481"/>
      <c r="U33" s="481"/>
      <c r="V33" s="481"/>
      <c r="W33" s="481"/>
      <c r="X33" s="481"/>
      <c r="Y33" s="481"/>
      <c r="Z33" s="481"/>
      <c r="AA33" s="481"/>
      <c r="AB33" s="481"/>
      <c r="AC33" s="481"/>
      <c r="AD33" s="481"/>
      <c r="AE33" s="481"/>
      <c r="AF33" s="481"/>
      <c r="AG33" s="481"/>
      <c r="AH33" s="481"/>
      <c r="AI33" s="481"/>
      <c r="AJ33" s="481"/>
      <c r="AK33" s="481"/>
      <c r="AL33" s="481"/>
      <c r="AM33" s="481"/>
      <c r="AN33" s="481"/>
      <c r="AO33" s="481"/>
      <c r="AP33" s="481"/>
      <c r="AQ33" s="481"/>
      <c r="AR33" s="481"/>
      <c r="AS33" s="481"/>
      <c r="AT33" s="481"/>
      <c r="AU33" s="481"/>
      <c r="AV33" s="481"/>
      <c r="AW33" s="481"/>
      <c r="AX33" s="481"/>
      <c r="AY33" s="481"/>
      <c r="AZ33" s="481"/>
      <c r="BA33" s="481"/>
      <c r="BB33" s="481"/>
      <c r="BC33" s="481"/>
      <c r="BD33" s="481"/>
      <c r="BE33" s="481"/>
      <c r="BF33" s="481"/>
      <c r="BG33" s="481"/>
      <c r="BH33" s="481"/>
      <c r="BI33" s="481"/>
      <c r="BJ33" s="481"/>
      <c r="BK33" s="481"/>
      <c r="BL33" s="481"/>
      <c r="BM33" s="481"/>
      <c r="BN33" s="481"/>
      <c r="BO33" s="481"/>
      <c r="BP33" s="481"/>
      <c r="BQ33" s="481"/>
      <c r="BR33" s="481"/>
      <c r="BS33" s="481"/>
      <c r="BT33" s="481"/>
      <c r="BU33" s="481"/>
      <c r="BV33" s="481"/>
      <c r="BW33" s="481"/>
      <c r="BX33" s="481"/>
      <c r="BY33" s="481"/>
      <c r="BZ33" s="481"/>
      <c r="CA33" s="481"/>
      <c r="CB33" s="481"/>
      <c r="CC33" s="481"/>
      <c r="CD33" s="481"/>
      <c r="CE33" s="481"/>
      <c r="CF33" s="481"/>
      <c r="CG33" s="481"/>
      <c r="CH33" s="481"/>
      <c r="CI33" s="481"/>
      <c r="CJ33" s="481"/>
      <c r="CK33" s="481"/>
      <c r="CL33" s="481"/>
      <c r="CM33" s="481"/>
      <c r="CN33" s="481"/>
      <c r="CO33" s="481"/>
      <c r="CP33" s="481"/>
      <c r="CQ33" s="481"/>
      <c r="CR33" s="481"/>
      <c r="CS33" s="481"/>
      <c r="CT33" s="481"/>
      <c r="CU33" s="481"/>
      <c r="CV33" s="481"/>
      <c r="CW33" s="481"/>
      <c r="CX33" s="481"/>
      <c r="CY33" s="481"/>
      <c r="CZ33" s="481"/>
    </row>
    <row r="34" spans="1:104" s="60" customFormat="1" ht="12.75">
      <c r="A34" s="487" t="s">
        <v>583</v>
      </c>
      <c r="B34" s="488">
        <v>1626717</v>
      </c>
      <c r="C34" s="488">
        <v>542335</v>
      </c>
      <c r="D34" s="488">
        <v>205985</v>
      </c>
      <c r="E34" s="480">
        <f t="shared" si="0"/>
        <v>0.12662620480390874</v>
      </c>
      <c r="F34" s="480">
        <f t="shared" si="1"/>
        <v>0.37981137120045727</v>
      </c>
      <c r="G34" s="474">
        <f>D34-'[11]Marts'!D34</f>
        <v>23043</v>
      </c>
      <c r="H34" s="487" t="s">
        <v>583</v>
      </c>
      <c r="I34" s="488">
        <v>1627</v>
      </c>
      <c r="J34" s="488">
        <v>549</v>
      </c>
      <c r="K34" s="488">
        <v>258</v>
      </c>
      <c r="L34" s="82">
        <v>15.85740626920713</v>
      </c>
      <c r="M34" s="82">
        <v>46.994535519125684</v>
      </c>
      <c r="N34" s="488">
        <v>52</v>
      </c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</row>
    <row r="35" spans="1:104" s="60" customFormat="1" ht="12.75">
      <c r="A35" s="487" t="s">
        <v>584</v>
      </c>
      <c r="B35" s="488">
        <v>1213863</v>
      </c>
      <c r="C35" s="488">
        <v>812663</v>
      </c>
      <c r="D35" s="488">
        <v>357837</v>
      </c>
      <c r="E35" s="480">
        <f t="shared" si="0"/>
        <v>0.2947919163859513</v>
      </c>
      <c r="F35" s="480">
        <f t="shared" si="1"/>
        <v>0.4403264329740618</v>
      </c>
      <c r="G35" s="474">
        <f>D35-'[11]Marts'!D35</f>
        <v>0</v>
      </c>
      <c r="H35" s="487" t="s">
        <v>584</v>
      </c>
      <c r="I35" s="488">
        <v>1214</v>
      </c>
      <c r="J35" s="488">
        <v>918</v>
      </c>
      <c r="K35" s="488">
        <v>592</v>
      </c>
      <c r="L35" s="82">
        <v>48.76441515650741</v>
      </c>
      <c r="M35" s="82">
        <v>64.4880174291939</v>
      </c>
      <c r="N35" s="488">
        <v>234</v>
      </c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</row>
    <row r="36" spans="1:104" s="482" customFormat="1" ht="12.75">
      <c r="A36" s="484" t="s">
        <v>587</v>
      </c>
      <c r="B36" s="485">
        <f>SUM(B37:B38)</f>
        <v>870350</v>
      </c>
      <c r="C36" s="485">
        <f>SUM(C37:C38)</f>
        <v>141000</v>
      </c>
      <c r="D36" s="485">
        <f>SUM(D37:D38)</f>
        <v>129068</v>
      </c>
      <c r="E36" s="480">
        <f t="shared" si="0"/>
        <v>0.1482943643361866</v>
      </c>
      <c r="F36" s="480">
        <f t="shared" si="1"/>
        <v>0.9153758865248227</v>
      </c>
      <c r="G36" s="474">
        <f>D36-'[11]Marts'!D36</f>
        <v>46120</v>
      </c>
      <c r="H36" s="484" t="s">
        <v>587</v>
      </c>
      <c r="I36" s="485">
        <v>870</v>
      </c>
      <c r="J36" s="485">
        <v>374</v>
      </c>
      <c r="K36" s="485">
        <v>200</v>
      </c>
      <c r="L36" s="486">
        <v>22.988505747126435</v>
      </c>
      <c r="M36" s="486">
        <v>53.475935828877006</v>
      </c>
      <c r="N36" s="485">
        <v>71</v>
      </c>
      <c r="O36" s="481"/>
      <c r="P36" s="481"/>
      <c r="Q36" s="481"/>
      <c r="R36" s="481"/>
      <c r="S36" s="481"/>
      <c r="T36" s="481"/>
      <c r="U36" s="481"/>
      <c r="V36" s="481"/>
      <c r="W36" s="481"/>
      <c r="X36" s="481"/>
      <c r="Y36" s="481"/>
      <c r="Z36" s="481"/>
      <c r="AA36" s="481"/>
      <c r="AB36" s="481"/>
      <c r="AC36" s="481"/>
      <c r="AD36" s="481"/>
      <c r="AE36" s="481"/>
      <c r="AF36" s="481"/>
      <c r="AG36" s="481"/>
      <c r="AH36" s="481"/>
      <c r="AI36" s="481"/>
      <c r="AJ36" s="481"/>
      <c r="AK36" s="481"/>
      <c r="AL36" s="481"/>
      <c r="AM36" s="481"/>
      <c r="AN36" s="481"/>
      <c r="AO36" s="481"/>
      <c r="AP36" s="481"/>
      <c r="AQ36" s="481"/>
      <c r="AR36" s="481"/>
      <c r="AS36" s="481"/>
      <c r="AT36" s="481"/>
      <c r="AU36" s="481"/>
      <c r="AV36" s="481"/>
      <c r="AW36" s="481"/>
      <c r="AX36" s="481"/>
      <c r="AY36" s="481"/>
      <c r="AZ36" s="481"/>
      <c r="BA36" s="481"/>
      <c r="BB36" s="481"/>
      <c r="BC36" s="481"/>
      <c r="BD36" s="481"/>
      <c r="BE36" s="481"/>
      <c r="BF36" s="481"/>
      <c r="BG36" s="481"/>
      <c r="BH36" s="481"/>
      <c r="BI36" s="481"/>
      <c r="BJ36" s="481"/>
      <c r="BK36" s="481"/>
      <c r="BL36" s="481"/>
      <c r="BM36" s="481"/>
      <c r="BN36" s="481"/>
      <c r="BO36" s="481"/>
      <c r="BP36" s="481"/>
      <c r="BQ36" s="481"/>
      <c r="BR36" s="481"/>
      <c r="BS36" s="481"/>
      <c r="BT36" s="481"/>
      <c r="BU36" s="481"/>
      <c r="BV36" s="481"/>
      <c r="BW36" s="481"/>
      <c r="BX36" s="481"/>
      <c r="BY36" s="481"/>
      <c r="BZ36" s="481"/>
      <c r="CA36" s="481"/>
      <c r="CB36" s="481"/>
      <c r="CC36" s="481"/>
      <c r="CD36" s="481"/>
      <c r="CE36" s="481"/>
      <c r="CF36" s="481"/>
      <c r="CG36" s="481"/>
      <c r="CH36" s="481"/>
      <c r="CI36" s="481"/>
      <c r="CJ36" s="481"/>
      <c r="CK36" s="481"/>
      <c r="CL36" s="481"/>
      <c r="CM36" s="481"/>
      <c r="CN36" s="481"/>
      <c r="CO36" s="481"/>
      <c r="CP36" s="481"/>
      <c r="CQ36" s="481"/>
      <c r="CR36" s="481"/>
      <c r="CS36" s="481"/>
      <c r="CT36" s="481"/>
      <c r="CU36" s="481"/>
      <c r="CV36" s="481"/>
      <c r="CW36" s="481"/>
      <c r="CX36" s="481"/>
      <c r="CY36" s="481"/>
      <c r="CZ36" s="481"/>
    </row>
    <row r="37" spans="1:104" s="60" customFormat="1" ht="12.75">
      <c r="A37" s="487" t="s">
        <v>583</v>
      </c>
      <c r="B37" s="488">
        <v>73450</v>
      </c>
      <c r="C37" s="488">
        <v>6000</v>
      </c>
      <c r="D37" s="488"/>
      <c r="E37" s="480">
        <f t="shared" si="0"/>
        <v>0</v>
      </c>
      <c r="F37" s="480">
        <f t="shared" si="1"/>
        <v>0</v>
      </c>
      <c r="G37" s="474">
        <f>D37-'[11]Marts'!D37</f>
        <v>0</v>
      </c>
      <c r="H37" s="487" t="s">
        <v>583</v>
      </c>
      <c r="I37" s="488">
        <v>73</v>
      </c>
      <c r="J37" s="488">
        <v>6</v>
      </c>
      <c r="K37" s="488">
        <v>2</v>
      </c>
      <c r="L37" s="82">
        <v>2.73972602739726</v>
      </c>
      <c r="M37" s="82">
        <v>33.33333333333333</v>
      </c>
      <c r="N37" s="488">
        <v>2</v>
      </c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</row>
    <row r="38" spans="1:104" s="60" customFormat="1" ht="12.75">
      <c r="A38" s="487" t="s">
        <v>584</v>
      </c>
      <c r="B38" s="488">
        <v>796900</v>
      </c>
      <c r="C38" s="488">
        <v>135000</v>
      </c>
      <c r="D38" s="488">
        <v>129068</v>
      </c>
      <c r="E38" s="480">
        <f t="shared" si="0"/>
        <v>0.1619626050947421</v>
      </c>
      <c r="F38" s="480">
        <f t="shared" si="1"/>
        <v>0.9560592592592593</v>
      </c>
      <c r="G38" s="474">
        <f>D38-'[11]Marts'!D38</f>
        <v>46120</v>
      </c>
      <c r="H38" s="487" t="s">
        <v>584</v>
      </c>
      <c r="I38" s="488">
        <v>797</v>
      </c>
      <c r="J38" s="488">
        <v>368</v>
      </c>
      <c r="K38" s="488">
        <v>198</v>
      </c>
      <c r="L38" s="82">
        <v>24.843161856963615</v>
      </c>
      <c r="M38" s="82">
        <v>53.80434782608695</v>
      </c>
      <c r="N38" s="488">
        <v>69</v>
      </c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</row>
    <row r="39" spans="1:104" s="66" customFormat="1" ht="12">
      <c r="A39" s="74" t="s">
        <v>254</v>
      </c>
      <c r="B39" s="405">
        <f>B40+B43</f>
        <v>4195425</v>
      </c>
      <c r="C39" s="405">
        <f>C40+C43</f>
        <v>864841</v>
      </c>
      <c r="D39" s="405">
        <f>D40+D43</f>
        <v>231707</v>
      </c>
      <c r="E39" s="489">
        <f t="shared" si="0"/>
        <v>0.05522849294171627</v>
      </c>
      <c r="F39" s="489">
        <f t="shared" si="1"/>
        <v>0.2679186116291896</v>
      </c>
      <c r="G39" s="474">
        <f>D39-'[11]Marts'!D39</f>
        <v>184111</v>
      </c>
      <c r="H39" s="74" t="s">
        <v>254</v>
      </c>
      <c r="I39" s="405">
        <v>4196</v>
      </c>
      <c r="J39" s="405">
        <v>1405</v>
      </c>
      <c r="K39" s="405">
        <v>232</v>
      </c>
      <c r="L39" s="58">
        <v>5.529075309818875</v>
      </c>
      <c r="M39" s="58">
        <v>16.512455516014235</v>
      </c>
      <c r="N39" s="405">
        <v>0</v>
      </c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</row>
    <row r="40" spans="1:104" s="482" customFormat="1" ht="12.75">
      <c r="A40" s="484" t="s">
        <v>586</v>
      </c>
      <c r="B40" s="485">
        <f>SUM(B41:B42)</f>
        <v>3361152</v>
      </c>
      <c r="C40" s="485">
        <f>SUM(C41:C42)</f>
        <v>859841</v>
      </c>
      <c r="D40" s="485">
        <f>SUM(D41:D42)</f>
        <v>231707</v>
      </c>
      <c r="E40" s="480">
        <f aca="true" t="shared" si="4" ref="E40:E71">IF(ISERROR(D40/B40)," ",(D40/B40))</f>
        <v>0.06893678119882707</v>
      </c>
      <c r="F40" s="480">
        <f aca="true" t="shared" si="5" ref="F40:F71">IF(ISERROR(D40/C40)," ",(D40/C40))</f>
        <v>0.2694765660162751</v>
      </c>
      <c r="G40" s="474">
        <f>D40-'[11]Marts'!D40</f>
        <v>184111</v>
      </c>
      <c r="H40" s="484" t="s">
        <v>586</v>
      </c>
      <c r="I40" s="485">
        <v>3361</v>
      </c>
      <c r="J40" s="485">
        <v>1395</v>
      </c>
      <c r="K40" s="485">
        <v>232</v>
      </c>
      <c r="L40" s="486">
        <v>6.902707527521571</v>
      </c>
      <c r="M40" s="486">
        <v>16.630824372759857</v>
      </c>
      <c r="N40" s="485">
        <v>0</v>
      </c>
      <c r="O40" s="481"/>
      <c r="P40" s="481"/>
      <c r="Q40" s="481"/>
      <c r="R40" s="481"/>
      <c r="S40" s="481"/>
      <c r="T40" s="481"/>
      <c r="U40" s="481"/>
      <c r="V40" s="481"/>
      <c r="W40" s="481"/>
      <c r="X40" s="481"/>
      <c r="Y40" s="481"/>
      <c r="Z40" s="481"/>
      <c r="AA40" s="481"/>
      <c r="AB40" s="481"/>
      <c r="AC40" s="481"/>
      <c r="AD40" s="481"/>
      <c r="AE40" s="481"/>
      <c r="AF40" s="481"/>
      <c r="AG40" s="481"/>
      <c r="AH40" s="481"/>
      <c r="AI40" s="481"/>
      <c r="AJ40" s="481"/>
      <c r="AK40" s="481"/>
      <c r="AL40" s="481"/>
      <c r="AM40" s="481"/>
      <c r="AN40" s="481"/>
      <c r="AO40" s="481"/>
      <c r="AP40" s="481"/>
      <c r="AQ40" s="481"/>
      <c r="AR40" s="481"/>
      <c r="AS40" s="481"/>
      <c r="AT40" s="481"/>
      <c r="AU40" s="481"/>
      <c r="AV40" s="481"/>
      <c r="AW40" s="481"/>
      <c r="AX40" s="481"/>
      <c r="AY40" s="481"/>
      <c r="AZ40" s="481"/>
      <c r="BA40" s="481"/>
      <c r="BB40" s="481"/>
      <c r="BC40" s="481"/>
      <c r="BD40" s="481"/>
      <c r="BE40" s="481"/>
      <c r="BF40" s="481"/>
      <c r="BG40" s="481"/>
      <c r="BH40" s="481"/>
      <c r="BI40" s="481"/>
      <c r="BJ40" s="481"/>
      <c r="BK40" s="481"/>
      <c r="BL40" s="481"/>
      <c r="BM40" s="481"/>
      <c r="BN40" s="481"/>
      <c r="BO40" s="481"/>
      <c r="BP40" s="481"/>
      <c r="BQ40" s="481"/>
      <c r="BR40" s="481"/>
      <c r="BS40" s="481"/>
      <c r="BT40" s="481"/>
      <c r="BU40" s="481"/>
      <c r="BV40" s="481"/>
      <c r="BW40" s="481"/>
      <c r="BX40" s="481"/>
      <c r="BY40" s="481"/>
      <c r="BZ40" s="481"/>
      <c r="CA40" s="481"/>
      <c r="CB40" s="481"/>
      <c r="CC40" s="481"/>
      <c r="CD40" s="481"/>
      <c r="CE40" s="481"/>
      <c r="CF40" s="481"/>
      <c r="CG40" s="481"/>
      <c r="CH40" s="481"/>
      <c r="CI40" s="481"/>
      <c r="CJ40" s="481"/>
      <c r="CK40" s="481"/>
      <c r="CL40" s="481"/>
      <c r="CM40" s="481"/>
      <c r="CN40" s="481"/>
      <c r="CO40" s="481"/>
      <c r="CP40" s="481"/>
      <c r="CQ40" s="481"/>
      <c r="CR40" s="481"/>
      <c r="CS40" s="481"/>
      <c r="CT40" s="481"/>
      <c r="CU40" s="481"/>
      <c r="CV40" s="481"/>
      <c r="CW40" s="481"/>
      <c r="CX40" s="481"/>
      <c r="CY40" s="481"/>
      <c r="CZ40" s="481"/>
    </row>
    <row r="41" spans="1:104" s="60" customFormat="1" ht="12.75">
      <c r="A41" s="487" t="s">
        <v>583</v>
      </c>
      <c r="B41" s="488">
        <v>240052</v>
      </c>
      <c r="C41" s="488">
        <v>135181</v>
      </c>
      <c r="D41" s="488">
        <v>47596</v>
      </c>
      <c r="E41" s="480">
        <f t="shared" si="4"/>
        <v>0.1982737073634046</v>
      </c>
      <c r="F41" s="480">
        <f t="shared" si="5"/>
        <v>0.3520909003484217</v>
      </c>
      <c r="G41" s="474">
        <f>D41-'[11]Marts'!D41</f>
        <v>0</v>
      </c>
      <c r="H41" s="487" t="s">
        <v>583</v>
      </c>
      <c r="I41" s="488">
        <v>240</v>
      </c>
      <c r="J41" s="488">
        <v>135</v>
      </c>
      <c r="K41" s="488">
        <v>48</v>
      </c>
      <c r="L41" s="82">
        <v>20</v>
      </c>
      <c r="M41" s="82">
        <v>35.55555555555556</v>
      </c>
      <c r="N41" s="488">
        <v>0</v>
      </c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</row>
    <row r="42" spans="1:104" s="60" customFormat="1" ht="12.75">
      <c r="A42" s="487" t="s">
        <v>584</v>
      </c>
      <c r="B42" s="488">
        <v>3121100</v>
      </c>
      <c r="C42" s="488">
        <v>724660</v>
      </c>
      <c r="D42" s="488">
        <v>184111</v>
      </c>
      <c r="E42" s="480">
        <f t="shared" si="4"/>
        <v>0.058989138444779085</v>
      </c>
      <c r="F42" s="480">
        <f t="shared" si="5"/>
        <v>0.25406535478707254</v>
      </c>
      <c r="G42" s="474">
        <f>D42-'[11]Marts'!D42</f>
        <v>184111</v>
      </c>
      <c r="H42" s="487" t="s">
        <v>584</v>
      </c>
      <c r="I42" s="488">
        <v>3121</v>
      </c>
      <c r="J42" s="488">
        <v>1260</v>
      </c>
      <c r="K42" s="488">
        <v>184</v>
      </c>
      <c r="L42" s="82">
        <v>5.8955462992630565</v>
      </c>
      <c r="M42" s="82">
        <v>14.603174603174605</v>
      </c>
      <c r="N42" s="488">
        <v>0</v>
      </c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</row>
    <row r="43" spans="1:104" s="482" customFormat="1" ht="12.75">
      <c r="A43" s="484" t="s">
        <v>587</v>
      </c>
      <c r="B43" s="485">
        <f>SUM(B44:B45)</f>
        <v>834273</v>
      </c>
      <c r="C43" s="485">
        <f>SUM(C44:C45)</f>
        <v>5000</v>
      </c>
      <c r="D43" s="485">
        <f>SUM(D44:D45)</f>
        <v>0</v>
      </c>
      <c r="E43" s="480">
        <f t="shared" si="4"/>
        <v>0</v>
      </c>
      <c r="F43" s="480">
        <f t="shared" si="5"/>
        <v>0</v>
      </c>
      <c r="G43" s="474">
        <f>D43-'[11]Marts'!D43</f>
        <v>0</v>
      </c>
      <c r="H43" s="484" t="s">
        <v>587</v>
      </c>
      <c r="I43" s="485">
        <v>835</v>
      </c>
      <c r="J43" s="485">
        <v>10</v>
      </c>
      <c r="K43" s="485">
        <v>0</v>
      </c>
      <c r="L43" s="486">
        <v>0</v>
      </c>
      <c r="M43" s="486">
        <v>0</v>
      </c>
      <c r="N43" s="485">
        <v>0</v>
      </c>
      <c r="O43" s="481"/>
      <c r="P43" s="481"/>
      <c r="Q43" s="481"/>
      <c r="R43" s="481"/>
      <c r="S43" s="481"/>
      <c r="T43" s="481"/>
      <c r="U43" s="481"/>
      <c r="V43" s="481"/>
      <c r="W43" s="481"/>
      <c r="X43" s="481"/>
      <c r="Y43" s="481"/>
      <c r="Z43" s="481"/>
      <c r="AA43" s="481"/>
      <c r="AB43" s="481"/>
      <c r="AC43" s="481"/>
      <c r="AD43" s="481"/>
      <c r="AE43" s="481"/>
      <c r="AF43" s="481"/>
      <c r="AG43" s="481"/>
      <c r="AH43" s="481"/>
      <c r="AI43" s="481"/>
      <c r="AJ43" s="481"/>
      <c r="AK43" s="481"/>
      <c r="AL43" s="481"/>
      <c r="AM43" s="481"/>
      <c r="AN43" s="481"/>
      <c r="AO43" s="481"/>
      <c r="AP43" s="481"/>
      <c r="AQ43" s="481"/>
      <c r="AR43" s="481"/>
      <c r="AS43" s="481"/>
      <c r="AT43" s="481"/>
      <c r="AU43" s="481"/>
      <c r="AV43" s="481"/>
      <c r="AW43" s="481"/>
      <c r="AX43" s="481"/>
      <c r="AY43" s="481"/>
      <c r="AZ43" s="481"/>
      <c r="BA43" s="481"/>
      <c r="BB43" s="481"/>
      <c r="BC43" s="481"/>
      <c r="BD43" s="481"/>
      <c r="BE43" s="481"/>
      <c r="BF43" s="481"/>
      <c r="BG43" s="481"/>
      <c r="BH43" s="481"/>
      <c r="BI43" s="481"/>
      <c r="BJ43" s="481"/>
      <c r="BK43" s="481"/>
      <c r="BL43" s="481"/>
      <c r="BM43" s="481"/>
      <c r="BN43" s="481"/>
      <c r="BO43" s="481"/>
      <c r="BP43" s="481"/>
      <c r="BQ43" s="481"/>
      <c r="BR43" s="481"/>
      <c r="BS43" s="481"/>
      <c r="BT43" s="481"/>
      <c r="BU43" s="481"/>
      <c r="BV43" s="481"/>
      <c r="BW43" s="481"/>
      <c r="BX43" s="481"/>
      <c r="BY43" s="481"/>
      <c r="BZ43" s="481"/>
      <c r="CA43" s="481"/>
      <c r="CB43" s="481"/>
      <c r="CC43" s="481"/>
      <c r="CD43" s="481"/>
      <c r="CE43" s="481"/>
      <c r="CF43" s="481"/>
      <c r="CG43" s="481"/>
      <c r="CH43" s="481"/>
      <c r="CI43" s="481"/>
      <c r="CJ43" s="481"/>
      <c r="CK43" s="481"/>
      <c r="CL43" s="481"/>
      <c r="CM43" s="481"/>
      <c r="CN43" s="481"/>
      <c r="CO43" s="481"/>
      <c r="CP43" s="481"/>
      <c r="CQ43" s="481"/>
      <c r="CR43" s="481"/>
      <c r="CS43" s="481"/>
      <c r="CT43" s="481"/>
      <c r="CU43" s="481"/>
      <c r="CV43" s="481"/>
      <c r="CW43" s="481"/>
      <c r="CX43" s="481"/>
      <c r="CY43" s="481"/>
      <c r="CZ43" s="481"/>
    </row>
    <row r="44" spans="1:104" s="60" customFormat="1" ht="12.75">
      <c r="A44" s="487" t="s">
        <v>583</v>
      </c>
      <c r="B44" s="488">
        <v>6623</v>
      </c>
      <c r="C44" s="488"/>
      <c r="D44" s="488"/>
      <c r="E44" s="480">
        <f t="shared" si="4"/>
        <v>0</v>
      </c>
      <c r="F44" s="480" t="str">
        <f t="shared" si="5"/>
        <v> </v>
      </c>
      <c r="G44" s="474">
        <f>D44-'[11]Marts'!D44</f>
        <v>0</v>
      </c>
      <c r="H44" s="487" t="s">
        <v>583</v>
      </c>
      <c r="I44" s="488">
        <v>7</v>
      </c>
      <c r="J44" s="488">
        <v>0</v>
      </c>
      <c r="K44" s="488">
        <v>0</v>
      </c>
      <c r="L44" s="82">
        <v>0</v>
      </c>
      <c r="M44" s="82"/>
      <c r="N44" s="488">
        <v>0</v>
      </c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</row>
    <row r="45" spans="1:104" s="60" customFormat="1" ht="12.75">
      <c r="A45" s="487" t="s">
        <v>584</v>
      </c>
      <c r="B45" s="488">
        <v>827650</v>
      </c>
      <c r="C45" s="488">
        <v>5000</v>
      </c>
      <c r="D45" s="488"/>
      <c r="E45" s="480">
        <f t="shared" si="4"/>
        <v>0</v>
      </c>
      <c r="F45" s="480">
        <f t="shared" si="5"/>
        <v>0</v>
      </c>
      <c r="G45" s="474">
        <f>D45-'[11]Marts'!D45</f>
        <v>0</v>
      </c>
      <c r="H45" s="487" t="s">
        <v>584</v>
      </c>
      <c r="I45" s="488">
        <v>828</v>
      </c>
      <c r="J45" s="488">
        <v>10</v>
      </c>
      <c r="K45" s="488">
        <v>0</v>
      </c>
      <c r="L45" s="82">
        <v>0</v>
      </c>
      <c r="M45" s="82">
        <v>0</v>
      </c>
      <c r="N45" s="488">
        <v>0</v>
      </c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</row>
    <row r="46" spans="1:104" s="66" customFormat="1" ht="12">
      <c r="A46" s="59" t="s">
        <v>256</v>
      </c>
      <c r="B46" s="405">
        <f>B47+B50</f>
        <v>4381568</v>
      </c>
      <c r="C46" s="405">
        <f>C47+C50</f>
        <v>3790318</v>
      </c>
      <c r="D46" s="405">
        <f>D47+D50</f>
        <v>1852203</v>
      </c>
      <c r="E46" s="489">
        <f t="shared" si="4"/>
        <v>0.42272606518944816</v>
      </c>
      <c r="F46" s="489">
        <f t="shared" si="5"/>
        <v>0.48866691396341944</v>
      </c>
      <c r="G46" s="474">
        <f>D46-'[11]Marts'!D46</f>
        <v>431749</v>
      </c>
      <c r="H46" s="59" t="s">
        <v>256</v>
      </c>
      <c r="I46" s="405">
        <v>4381</v>
      </c>
      <c r="J46" s="405">
        <v>3851</v>
      </c>
      <c r="K46" s="405">
        <v>1960</v>
      </c>
      <c r="L46" s="58">
        <v>44.73864414517234</v>
      </c>
      <c r="M46" s="58">
        <v>50.89587120228513</v>
      </c>
      <c r="N46" s="405">
        <v>108</v>
      </c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</row>
    <row r="47" spans="1:104" s="482" customFormat="1" ht="12.75" customHeight="1">
      <c r="A47" s="484" t="s">
        <v>586</v>
      </c>
      <c r="B47" s="485">
        <f>SUM(B48:B49)</f>
        <v>2766209</v>
      </c>
      <c r="C47" s="485">
        <f>SUM(C48:C49)</f>
        <v>2539209</v>
      </c>
      <c r="D47" s="485">
        <f>SUM(D48:D49)</f>
        <v>1258159</v>
      </c>
      <c r="E47" s="480">
        <f t="shared" si="4"/>
        <v>0.45483150405482736</v>
      </c>
      <c r="F47" s="480">
        <f t="shared" si="5"/>
        <v>0.4954924939223199</v>
      </c>
      <c r="G47" s="474">
        <f>D47-'[11]Marts'!D47</f>
        <v>0</v>
      </c>
      <c r="H47" s="484" t="s">
        <v>586</v>
      </c>
      <c r="I47" s="485">
        <v>2766</v>
      </c>
      <c r="J47" s="485">
        <v>2539</v>
      </c>
      <c r="K47" s="485">
        <v>1296</v>
      </c>
      <c r="L47" s="486">
        <v>46.85466377440347</v>
      </c>
      <c r="M47" s="486">
        <v>51.04371799921229</v>
      </c>
      <c r="N47" s="485">
        <v>38</v>
      </c>
      <c r="O47" s="481"/>
      <c r="P47" s="481"/>
      <c r="Q47" s="481"/>
      <c r="R47" s="481"/>
      <c r="S47" s="481"/>
      <c r="T47" s="481"/>
      <c r="U47" s="481"/>
      <c r="V47" s="481"/>
      <c r="W47" s="481"/>
      <c r="X47" s="481"/>
      <c r="Y47" s="481"/>
      <c r="Z47" s="481"/>
      <c r="AA47" s="481"/>
      <c r="AB47" s="481"/>
      <c r="AC47" s="481"/>
      <c r="AD47" s="481"/>
      <c r="AE47" s="481"/>
      <c r="AF47" s="481"/>
      <c r="AG47" s="481"/>
      <c r="AH47" s="481"/>
      <c r="AI47" s="481"/>
      <c r="AJ47" s="481"/>
      <c r="AK47" s="481"/>
      <c r="AL47" s="481"/>
      <c r="AM47" s="481"/>
      <c r="AN47" s="481"/>
      <c r="AO47" s="481"/>
      <c r="AP47" s="481"/>
      <c r="AQ47" s="481"/>
      <c r="AR47" s="481"/>
      <c r="AS47" s="481"/>
      <c r="AT47" s="481"/>
      <c r="AU47" s="481"/>
      <c r="AV47" s="481"/>
      <c r="AW47" s="481"/>
      <c r="AX47" s="481"/>
      <c r="AY47" s="481"/>
      <c r="AZ47" s="481"/>
      <c r="BA47" s="481"/>
      <c r="BB47" s="481"/>
      <c r="BC47" s="481"/>
      <c r="BD47" s="481"/>
      <c r="BE47" s="481"/>
      <c r="BF47" s="481"/>
      <c r="BG47" s="481"/>
      <c r="BH47" s="481"/>
      <c r="BI47" s="481"/>
      <c r="BJ47" s="481"/>
      <c r="BK47" s="481"/>
      <c r="BL47" s="481"/>
      <c r="BM47" s="481"/>
      <c r="BN47" s="481"/>
      <c r="BO47" s="481"/>
      <c r="BP47" s="481"/>
      <c r="BQ47" s="481"/>
      <c r="BR47" s="481"/>
      <c r="BS47" s="481"/>
      <c r="BT47" s="481"/>
      <c r="BU47" s="481"/>
      <c r="BV47" s="481"/>
      <c r="BW47" s="481"/>
      <c r="BX47" s="481"/>
      <c r="BY47" s="481"/>
      <c r="BZ47" s="481"/>
      <c r="CA47" s="481"/>
      <c r="CB47" s="481"/>
      <c r="CC47" s="481"/>
      <c r="CD47" s="481"/>
      <c r="CE47" s="481"/>
      <c r="CF47" s="481"/>
      <c r="CG47" s="481"/>
      <c r="CH47" s="481"/>
      <c r="CI47" s="481"/>
      <c r="CJ47" s="481"/>
      <c r="CK47" s="481"/>
      <c r="CL47" s="481"/>
      <c r="CM47" s="481"/>
      <c r="CN47" s="481"/>
      <c r="CO47" s="481"/>
      <c r="CP47" s="481"/>
      <c r="CQ47" s="481"/>
      <c r="CR47" s="481"/>
      <c r="CS47" s="481"/>
      <c r="CT47" s="481"/>
      <c r="CU47" s="481"/>
      <c r="CV47" s="481"/>
      <c r="CW47" s="481"/>
      <c r="CX47" s="481"/>
      <c r="CY47" s="481"/>
      <c r="CZ47" s="481"/>
    </row>
    <row r="48" spans="1:104" s="60" customFormat="1" ht="12.75">
      <c r="A48" s="487" t="s">
        <v>583</v>
      </c>
      <c r="B48" s="488">
        <v>2682429</v>
      </c>
      <c r="C48" s="488">
        <v>2455429</v>
      </c>
      <c r="D48" s="488">
        <v>1203004</v>
      </c>
      <c r="E48" s="480">
        <f t="shared" si="4"/>
        <v>0.4484756166892022</v>
      </c>
      <c r="F48" s="480">
        <f t="shared" si="5"/>
        <v>0.4899363817890886</v>
      </c>
      <c r="G48" s="474">
        <f>D48-'[11]Marts'!D48</f>
        <v>0</v>
      </c>
      <c r="H48" s="487" t="s">
        <v>583</v>
      </c>
      <c r="I48" s="488">
        <v>2682</v>
      </c>
      <c r="J48" s="488">
        <v>2455</v>
      </c>
      <c r="K48" s="488">
        <v>1221</v>
      </c>
      <c r="L48" s="82">
        <v>45.52572706935123</v>
      </c>
      <c r="M48" s="82">
        <v>49.735234215885946</v>
      </c>
      <c r="N48" s="488">
        <v>18</v>
      </c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</row>
    <row r="49" spans="1:104" s="60" customFormat="1" ht="12.75">
      <c r="A49" s="487" t="s">
        <v>584</v>
      </c>
      <c r="B49" s="488">
        <v>83780</v>
      </c>
      <c r="C49" s="488">
        <v>83780</v>
      </c>
      <c r="D49" s="488">
        <v>55155</v>
      </c>
      <c r="E49" s="480">
        <f t="shared" si="4"/>
        <v>0.6583313439961804</v>
      </c>
      <c r="F49" s="480">
        <f t="shared" si="5"/>
        <v>0.6583313439961804</v>
      </c>
      <c r="G49" s="474">
        <f>D49-'[11]Marts'!D49</f>
        <v>0</v>
      </c>
      <c r="H49" s="487" t="s">
        <v>584</v>
      </c>
      <c r="I49" s="488">
        <v>84</v>
      </c>
      <c r="J49" s="488">
        <v>84</v>
      </c>
      <c r="K49" s="488">
        <v>75</v>
      </c>
      <c r="L49" s="82">
        <v>89.28571428571429</v>
      </c>
      <c r="M49" s="82">
        <v>89.28571428571429</v>
      </c>
      <c r="N49" s="488">
        <v>20</v>
      </c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</row>
    <row r="50" spans="1:104" s="138" customFormat="1" ht="12.75">
      <c r="A50" s="484" t="s">
        <v>587</v>
      </c>
      <c r="B50" s="485">
        <f>B51</f>
        <v>1615359</v>
      </c>
      <c r="C50" s="485">
        <f>C51</f>
        <v>1251109</v>
      </c>
      <c r="D50" s="485">
        <f>D51</f>
        <v>594044</v>
      </c>
      <c r="E50" s="480">
        <f t="shared" si="4"/>
        <v>0.3677473552318711</v>
      </c>
      <c r="F50" s="480">
        <f t="shared" si="5"/>
        <v>0.4748139450679357</v>
      </c>
      <c r="G50" s="474">
        <f>D50-'[11]Marts'!D50</f>
        <v>431749</v>
      </c>
      <c r="H50" s="484" t="s">
        <v>587</v>
      </c>
      <c r="I50" s="485">
        <v>1615</v>
      </c>
      <c r="J50" s="485">
        <v>1312</v>
      </c>
      <c r="K50" s="485">
        <v>664</v>
      </c>
      <c r="L50" s="486">
        <v>41.11455108359133</v>
      </c>
      <c r="M50" s="486">
        <v>50.609756097560975</v>
      </c>
      <c r="N50" s="485">
        <v>70</v>
      </c>
      <c r="O50" s="481"/>
      <c r="P50" s="481"/>
      <c r="Q50" s="481"/>
      <c r="R50" s="481"/>
      <c r="S50" s="481"/>
      <c r="T50" s="481"/>
      <c r="U50" s="481"/>
      <c r="V50" s="481"/>
      <c r="W50" s="481"/>
      <c r="X50" s="481"/>
      <c r="Y50" s="481"/>
      <c r="Z50" s="481"/>
      <c r="AA50" s="481"/>
      <c r="AB50" s="481"/>
      <c r="AC50" s="481"/>
      <c r="AD50" s="481"/>
      <c r="AE50" s="481"/>
      <c r="AF50" s="481"/>
      <c r="AG50" s="481"/>
      <c r="AH50" s="481"/>
      <c r="AI50" s="481"/>
      <c r="AJ50" s="481"/>
      <c r="AK50" s="481"/>
      <c r="AL50" s="481"/>
      <c r="AM50" s="481"/>
      <c r="AN50" s="481"/>
      <c r="AO50" s="481"/>
      <c r="AP50" s="481"/>
      <c r="AQ50" s="481"/>
      <c r="AR50" s="481"/>
      <c r="AS50" s="481"/>
      <c r="AT50" s="481"/>
      <c r="AU50" s="481"/>
      <c r="AV50" s="481"/>
      <c r="AW50" s="481"/>
      <c r="AX50" s="481"/>
      <c r="AY50" s="481"/>
      <c r="AZ50" s="481"/>
      <c r="BA50" s="481"/>
      <c r="BB50" s="481"/>
      <c r="BC50" s="481"/>
      <c r="BD50" s="481"/>
      <c r="BE50" s="481"/>
      <c r="BF50" s="481"/>
      <c r="BG50" s="481"/>
      <c r="BH50" s="481"/>
      <c r="BI50" s="481"/>
      <c r="BJ50" s="481"/>
      <c r="BK50" s="481"/>
      <c r="BL50" s="481"/>
      <c r="BM50" s="481"/>
      <c r="BN50" s="481"/>
      <c r="BO50" s="481"/>
      <c r="BP50" s="481"/>
      <c r="BQ50" s="481"/>
      <c r="BR50" s="481"/>
      <c r="BS50" s="481"/>
      <c r="BT50" s="481"/>
      <c r="BU50" s="481"/>
      <c r="BV50" s="481"/>
      <c r="BW50" s="481"/>
      <c r="BX50" s="481"/>
      <c r="BY50" s="481"/>
      <c r="BZ50" s="481"/>
      <c r="CA50" s="481"/>
      <c r="CB50" s="481"/>
      <c r="CC50" s="481"/>
      <c r="CD50" s="481"/>
      <c r="CE50" s="481"/>
      <c r="CF50" s="481"/>
      <c r="CG50" s="481"/>
      <c r="CH50" s="481"/>
      <c r="CI50" s="481"/>
      <c r="CJ50" s="481"/>
      <c r="CK50" s="481"/>
      <c r="CL50" s="481"/>
      <c r="CM50" s="481"/>
      <c r="CN50" s="481"/>
      <c r="CO50" s="481"/>
      <c r="CP50" s="481"/>
      <c r="CQ50" s="481"/>
      <c r="CR50" s="481"/>
      <c r="CS50" s="481"/>
      <c r="CT50" s="481"/>
      <c r="CU50" s="481"/>
      <c r="CV50" s="481"/>
      <c r="CW50" s="481"/>
      <c r="CX50" s="481"/>
      <c r="CY50" s="481"/>
      <c r="CZ50" s="481"/>
    </row>
    <row r="51" spans="1:104" s="85" customFormat="1" ht="12.75">
      <c r="A51" s="487" t="s">
        <v>583</v>
      </c>
      <c r="B51" s="488">
        <v>1615359</v>
      </c>
      <c r="C51" s="488">
        <v>1251109</v>
      </c>
      <c r="D51" s="488">
        <v>594044</v>
      </c>
      <c r="E51" s="480">
        <f t="shared" si="4"/>
        <v>0.3677473552318711</v>
      </c>
      <c r="F51" s="480">
        <f t="shared" si="5"/>
        <v>0.4748139450679357</v>
      </c>
      <c r="G51" s="474">
        <f>D51-'[11]Marts'!D51</f>
        <v>431749</v>
      </c>
      <c r="H51" s="487" t="s">
        <v>583</v>
      </c>
      <c r="I51" s="488">
        <v>1615</v>
      </c>
      <c r="J51" s="488">
        <v>1312</v>
      </c>
      <c r="K51" s="488">
        <v>664</v>
      </c>
      <c r="L51" s="82">
        <v>41.11455108359133</v>
      </c>
      <c r="M51" s="82">
        <v>50.609756097560975</v>
      </c>
      <c r="N51" s="488">
        <v>70</v>
      </c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</row>
    <row r="52" spans="1:14" s="1" customFormat="1" ht="12">
      <c r="A52" s="74" t="s">
        <v>258</v>
      </c>
      <c r="B52" s="490">
        <f>B53+B56</f>
        <v>21033713</v>
      </c>
      <c r="C52" s="490">
        <f>C53+C56</f>
        <v>994670</v>
      </c>
      <c r="D52" s="490">
        <f>D53+D56</f>
        <v>163692</v>
      </c>
      <c r="E52" s="489">
        <f t="shared" si="4"/>
        <v>0.007782363484754214</v>
      </c>
      <c r="F52" s="489">
        <f t="shared" si="5"/>
        <v>0.1645691535886274</v>
      </c>
      <c r="G52" s="474">
        <f>D52-'[11]Marts'!D52</f>
        <v>1822</v>
      </c>
      <c r="H52" s="74" t="s">
        <v>258</v>
      </c>
      <c r="I52" s="405">
        <v>21033</v>
      </c>
      <c r="J52" s="405">
        <v>1069</v>
      </c>
      <c r="K52" s="405">
        <v>597</v>
      </c>
      <c r="L52" s="58">
        <v>2.8383968050206816</v>
      </c>
      <c r="M52" s="58">
        <v>55.8465855940131</v>
      </c>
      <c r="N52" s="405">
        <v>433</v>
      </c>
    </row>
    <row r="53" spans="1:14" s="481" customFormat="1" ht="12.75">
      <c r="A53" s="484" t="s">
        <v>586</v>
      </c>
      <c r="B53" s="485">
        <f>SUM(B54:B55)</f>
        <v>16233430</v>
      </c>
      <c r="C53" s="485">
        <f>SUM(C54:C55)</f>
        <v>855670</v>
      </c>
      <c r="D53" s="485">
        <f>SUM(D54:D55)</f>
        <v>44067</v>
      </c>
      <c r="E53" s="480">
        <f t="shared" si="4"/>
        <v>0.0027145834244518873</v>
      </c>
      <c r="F53" s="480">
        <f t="shared" si="5"/>
        <v>0.0514999941566258</v>
      </c>
      <c r="G53" s="474">
        <f>D53-'[11]Marts'!D53</f>
        <v>0</v>
      </c>
      <c r="H53" s="484" t="s">
        <v>586</v>
      </c>
      <c r="I53" s="485">
        <v>16233</v>
      </c>
      <c r="J53" s="485">
        <v>913</v>
      </c>
      <c r="K53" s="485">
        <v>465</v>
      </c>
      <c r="L53" s="486">
        <v>2.864535206061726</v>
      </c>
      <c r="M53" s="486">
        <v>50.930996714129236</v>
      </c>
      <c r="N53" s="485">
        <v>421</v>
      </c>
    </row>
    <row r="54" spans="1:14" ht="12.75">
      <c r="A54" s="487" t="s">
        <v>583</v>
      </c>
      <c r="B54" s="488">
        <v>14472230</v>
      </c>
      <c r="C54" s="488">
        <v>356470</v>
      </c>
      <c r="D54" s="488">
        <v>44067</v>
      </c>
      <c r="E54" s="480">
        <f t="shared" si="4"/>
        <v>0.003044935023835304</v>
      </c>
      <c r="F54" s="480">
        <f t="shared" si="5"/>
        <v>0.12362050102392909</v>
      </c>
      <c r="G54" s="474">
        <f>D54-'[11]Marts'!D54</f>
        <v>0</v>
      </c>
      <c r="H54" s="487" t="s">
        <v>583</v>
      </c>
      <c r="I54" s="488">
        <v>14472</v>
      </c>
      <c r="J54" s="488">
        <v>414</v>
      </c>
      <c r="K54" s="488">
        <v>44</v>
      </c>
      <c r="L54" s="82">
        <v>0.30403537866224434</v>
      </c>
      <c r="M54" s="82">
        <v>10.628019323671497</v>
      </c>
      <c r="N54" s="488">
        <v>0</v>
      </c>
    </row>
    <row r="55" spans="1:14" ht="12.75">
      <c r="A55" s="487" t="s">
        <v>584</v>
      </c>
      <c r="B55" s="488">
        <v>1761200</v>
      </c>
      <c r="C55" s="488">
        <v>499200</v>
      </c>
      <c r="D55" s="488"/>
      <c r="E55" s="480">
        <f t="shared" si="4"/>
        <v>0</v>
      </c>
      <c r="F55" s="480">
        <f t="shared" si="5"/>
        <v>0</v>
      </c>
      <c r="G55" s="474">
        <f>D55-'[11]Marts'!D55</f>
        <v>0</v>
      </c>
      <c r="H55" s="487" t="s">
        <v>584</v>
      </c>
      <c r="I55" s="488">
        <v>1761</v>
      </c>
      <c r="J55" s="488">
        <v>499</v>
      </c>
      <c r="K55" s="488">
        <v>421</v>
      </c>
      <c r="L55" s="82">
        <v>23.9068710959682</v>
      </c>
      <c r="M55" s="82">
        <v>84.3687374749499</v>
      </c>
      <c r="N55" s="488">
        <v>421</v>
      </c>
    </row>
    <row r="56" spans="1:14" s="481" customFormat="1" ht="12.75">
      <c r="A56" s="484" t="s">
        <v>587</v>
      </c>
      <c r="B56" s="485">
        <f>SUM(B57:B58)</f>
        <v>4800283</v>
      </c>
      <c r="C56" s="485">
        <f>SUM(C57:C58)</f>
        <v>139000</v>
      </c>
      <c r="D56" s="485">
        <f>SUM(D57:D58)</f>
        <v>119625</v>
      </c>
      <c r="E56" s="480">
        <f t="shared" si="4"/>
        <v>0.02492040573441191</v>
      </c>
      <c r="F56" s="480">
        <f t="shared" si="5"/>
        <v>0.8606115107913669</v>
      </c>
      <c r="G56" s="474">
        <f>D56-'[11]Marts'!D56</f>
        <v>1822</v>
      </c>
      <c r="H56" s="484" t="s">
        <v>587</v>
      </c>
      <c r="I56" s="485">
        <v>4800</v>
      </c>
      <c r="J56" s="485">
        <v>156</v>
      </c>
      <c r="K56" s="485">
        <v>132</v>
      </c>
      <c r="L56" s="486">
        <v>2.75</v>
      </c>
      <c r="M56" s="486">
        <v>84.61538461538461</v>
      </c>
      <c r="N56" s="485">
        <v>12</v>
      </c>
    </row>
    <row r="57" spans="1:14" ht="12.75">
      <c r="A57" s="487" t="s">
        <v>583</v>
      </c>
      <c r="B57" s="488">
        <v>4578283</v>
      </c>
      <c r="C57" s="488"/>
      <c r="D57" s="488"/>
      <c r="E57" s="480">
        <f t="shared" si="4"/>
        <v>0</v>
      </c>
      <c r="F57" s="480" t="str">
        <f t="shared" si="5"/>
        <v> </v>
      </c>
      <c r="G57" s="474">
        <f>D57-'[11]Marts'!D57</f>
        <v>0</v>
      </c>
      <c r="H57" s="487" t="s">
        <v>583</v>
      </c>
      <c r="I57" s="488">
        <v>4578</v>
      </c>
      <c r="J57" s="488">
        <v>7</v>
      </c>
      <c r="K57" s="488">
        <v>0</v>
      </c>
      <c r="L57" s="82">
        <v>0</v>
      </c>
      <c r="M57" s="82">
        <v>0</v>
      </c>
      <c r="N57" s="488">
        <v>0</v>
      </c>
    </row>
    <row r="58" spans="1:14" ht="12.75">
      <c r="A58" s="487" t="s">
        <v>584</v>
      </c>
      <c r="B58" s="488">
        <v>222000</v>
      </c>
      <c r="C58" s="488">
        <v>139000</v>
      </c>
      <c r="D58" s="488">
        <v>119625</v>
      </c>
      <c r="E58" s="480">
        <f t="shared" si="4"/>
        <v>0.5388513513513513</v>
      </c>
      <c r="F58" s="480">
        <f t="shared" si="5"/>
        <v>0.8606115107913669</v>
      </c>
      <c r="G58" s="474">
        <f>D58-'[11]Marts'!D58</f>
        <v>1822</v>
      </c>
      <c r="H58" s="487" t="s">
        <v>584</v>
      </c>
      <c r="I58" s="488">
        <v>222</v>
      </c>
      <c r="J58" s="488">
        <v>149</v>
      </c>
      <c r="K58" s="488">
        <v>132</v>
      </c>
      <c r="L58" s="82">
        <v>59.45945945945946</v>
      </c>
      <c r="M58" s="82">
        <v>88.59060402684564</v>
      </c>
      <c r="N58" s="488">
        <v>12</v>
      </c>
    </row>
    <row r="59" spans="1:14" s="1" customFormat="1" ht="12.75" customHeight="1">
      <c r="A59" s="74" t="s">
        <v>260</v>
      </c>
      <c r="B59" s="490">
        <f>B60+B63</f>
        <v>10588731</v>
      </c>
      <c r="C59" s="490">
        <f>C60+C63</f>
        <v>2128451</v>
      </c>
      <c r="D59" s="490">
        <f>D60+D63</f>
        <v>190970</v>
      </c>
      <c r="E59" s="489">
        <f t="shared" si="4"/>
        <v>0.01803521120708421</v>
      </c>
      <c r="F59" s="489">
        <f t="shared" si="5"/>
        <v>0.0897225259120365</v>
      </c>
      <c r="G59" s="474">
        <f>D59-'[11]Marts'!D59</f>
        <v>32577</v>
      </c>
      <c r="H59" s="74" t="s">
        <v>260</v>
      </c>
      <c r="I59" s="405">
        <v>10589</v>
      </c>
      <c r="J59" s="405">
        <v>2264</v>
      </c>
      <c r="K59" s="405">
        <v>1255</v>
      </c>
      <c r="L59" s="58">
        <v>11.85192180564737</v>
      </c>
      <c r="M59" s="58">
        <v>55.43286219081273</v>
      </c>
      <c r="N59" s="405">
        <v>1065</v>
      </c>
    </row>
    <row r="60" spans="1:14" s="481" customFormat="1" ht="12.75" customHeight="1">
      <c r="A60" s="484" t="s">
        <v>586</v>
      </c>
      <c r="B60" s="485">
        <f>SUM(B61:B62)</f>
        <v>7873731</v>
      </c>
      <c r="C60" s="485">
        <f>SUM(C61:C62)</f>
        <v>1805451</v>
      </c>
      <c r="D60" s="485">
        <f>SUM(D61:D62)</f>
        <v>90483</v>
      </c>
      <c r="E60" s="480">
        <f t="shared" si="4"/>
        <v>0.011491756576393073</v>
      </c>
      <c r="F60" s="480">
        <f t="shared" si="5"/>
        <v>0.050116563673010234</v>
      </c>
      <c r="G60" s="474">
        <f>D60-'[11]Marts'!D60</f>
        <v>0</v>
      </c>
      <c r="H60" s="484" t="s">
        <v>586</v>
      </c>
      <c r="I60" s="485">
        <v>7874</v>
      </c>
      <c r="J60" s="485">
        <v>1805</v>
      </c>
      <c r="K60" s="485">
        <v>1081</v>
      </c>
      <c r="L60" s="486">
        <v>13.728727457454914</v>
      </c>
      <c r="M60" s="486">
        <v>59.88919667590028</v>
      </c>
      <c r="N60" s="485">
        <v>991</v>
      </c>
    </row>
    <row r="61" spans="1:14" ht="12.75">
      <c r="A61" s="487" t="s">
        <v>583</v>
      </c>
      <c r="B61" s="488">
        <v>477528</v>
      </c>
      <c r="C61" s="488">
        <v>304446</v>
      </c>
      <c r="D61" s="488">
        <v>62809</v>
      </c>
      <c r="E61" s="480">
        <f t="shared" si="4"/>
        <v>0.13152946005260424</v>
      </c>
      <c r="F61" s="480">
        <f t="shared" si="5"/>
        <v>0.20630588018893334</v>
      </c>
      <c r="G61" s="474">
        <f>D61-'[11]Marts'!D61</f>
        <v>0</v>
      </c>
      <c r="H61" s="487" t="s">
        <v>583</v>
      </c>
      <c r="I61" s="488">
        <v>478</v>
      </c>
      <c r="J61" s="488">
        <v>304</v>
      </c>
      <c r="K61" s="488">
        <v>225</v>
      </c>
      <c r="L61" s="82">
        <v>47.071129707112966</v>
      </c>
      <c r="M61" s="82">
        <v>74.01315789473685</v>
      </c>
      <c r="N61" s="488">
        <v>163</v>
      </c>
    </row>
    <row r="62" spans="1:14" ht="12.75">
      <c r="A62" s="487" t="s">
        <v>584</v>
      </c>
      <c r="B62" s="488">
        <v>7396203</v>
      </c>
      <c r="C62" s="488">
        <v>1501005</v>
      </c>
      <c r="D62" s="488">
        <v>27674</v>
      </c>
      <c r="E62" s="480">
        <f t="shared" si="4"/>
        <v>0.0037416496004774344</v>
      </c>
      <c r="F62" s="480">
        <f t="shared" si="5"/>
        <v>0.01843698055636057</v>
      </c>
      <c r="G62" s="474">
        <f>D62-'[11]Marts'!D62</f>
        <v>0</v>
      </c>
      <c r="H62" s="487" t="s">
        <v>584</v>
      </c>
      <c r="I62" s="488">
        <v>7396</v>
      </c>
      <c r="J62" s="488">
        <v>1501</v>
      </c>
      <c r="K62" s="488">
        <v>856</v>
      </c>
      <c r="L62" s="82">
        <v>11.57382368848026</v>
      </c>
      <c r="M62" s="82">
        <v>57.0286475682878</v>
      </c>
      <c r="N62" s="488">
        <v>828</v>
      </c>
    </row>
    <row r="63" spans="1:14" s="481" customFormat="1" ht="12.75">
      <c r="A63" s="484" t="s">
        <v>587</v>
      </c>
      <c r="B63" s="485">
        <f>B64</f>
        <v>2715000</v>
      </c>
      <c r="C63" s="485">
        <f>C64</f>
        <v>323000</v>
      </c>
      <c r="D63" s="485">
        <f>D64</f>
        <v>100487</v>
      </c>
      <c r="E63" s="480">
        <f t="shared" si="4"/>
        <v>0.03701178637200737</v>
      </c>
      <c r="F63" s="480">
        <f t="shared" si="5"/>
        <v>0.3111052631578947</v>
      </c>
      <c r="G63" s="474">
        <f>D63-'[11]Marts'!D63</f>
        <v>32577</v>
      </c>
      <c r="H63" s="484" t="s">
        <v>587</v>
      </c>
      <c r="I63" s="485">
        <v>2715</v>
      </c>
      <c r="J63" s="485">
        <v>459</v>
      </c>
      <c r="K63" s="485">
        <v>174</v>
      </c>
      <c r="L63" s="486">
        <v>6.4088397790055245</v>
      </c>
      <c r="M63" s="486">
        <v>37.908496732026144</v>
      </c>
      <c r="N63" s="485">
        <v>74</v>
      </c>
    </row>
    <row r="64" spans="1:14" ht="12.75">
      <c r="A64" s="487" t="s">
        <v>584</v>
      </c>
      <c r="B64" s="488">
        <v>2715000</v>
      </c>
      <c r="C64" s="488">
        <v>323000</v>
      </c>
      <c r="D64" s="488">
        <v>100487</v>
      </c>
      <c r="E64" s="480">
        <f t="shared" si="4"/>
        <v>0.03701178637200737</v>
      </c>
      <c r="F64" s="480">
        <f t="shared" si="5"/>
        <v>0.3111052631578947</v>
      </c>
      <c r="G64" s="474">
        <f>D64-'[11]Marts'!D64</f>
        <v>32577</v>
      </c>
      <c r="H64" s="487" t="s">
        <v>584</v>
      </c>
      <c r="I64" s="488">
        <v>2715</v>
      </c>
      <c r="J64" s="488">
        <v>459</v>
      </c>
      <c r="K64" s="488">
        <v>174</v>
      </c>
      <c r="L64" s="82">
        <v>6.4088397790055245</v>
      </c>
      <c r="M64" s="82">
        <v>37.908496732026144</v>
      </c>
      <c r="N64" s="488">
        <v>74</v>
      </c>
    </row>
    <row r="65" spans="1:14" s="1" customFormat="1" ht="12">
      <c r="A65" s="74" t="s">
        <v>262</v>
      </c>
      <c r="B65" s="490">
        <f>B66+B69</f>
        <v>3393392</v>
      </c>
      <c r="C65" s="490">
        <f>C66+C69</f>
        <v>1000369</v>
      </c>
      <c r="D65" s="490">
        <f>D66+D69</f>
        <v>90406</v>
      </c>
      <c r="E65" s="489">
        <f t="shared" si="4"/>
        <v>0.0266417790812261</v>
      </c>
      <c r="F65" s="489">
        <f t="shared" si="5"/>
        <v>0.09037265249123073</v>
      </c>
      <c r="G65" s="474">
        <f>D65-'[11]Marts'!D65</f>
        <v>29285</v>
      </c>
      <c r="H65" s="74" t="s">
        <v>262</v>
      </c>
      <c r="I65" s="405">
        <v>3393</v>
      </c>
      <c r="J65" s="405">
        <v>1233</v>
      </c>
      <c r="K65" s="405">
        <v>106</v>
      </c>
      <c r="L65" s="58">
        <v>3.1240789861479517</v>
      </c>
      <c r="M65" s="58">
        <v>8.59691808596918</v>
      </c>
      <c r="N65" s="405">
        <v>15</v>
      </c>
    </row>
    <row r="66" spans="1:14" s="481" customFormat="1" ht="12.75">
      <c r="A66" s="484" t="s">
        <v>586</v>
      </c>
      <c r="B66" s="485">
        <f>SUM(B67:B68)</f>
        <v>3041252</v>
      </c>
      <c r="C66" s="485">
        <f>SUM(C67:C68)</f>
        <v>901870</v>
      </c>
      <c r="D66" s="485">
        <f>SUM(D67:D68)</f>
        <v>8539</v>
      </c>
      <c r="E66" s="480">
        <f t="shared" si="4"/>
        <v>0.002807725239473743</v>
      </c>
      <c r="F66" s="480">
        <f t="shared" si="5"/>
        <v>0.009468105159280163</v>
      </c>
      <c r="G66" s="474">
        <f>D66-'[11]Marts'!D66</f>
        <v>0</v>
      </c>
      <c r="H66" s="484" t="s">
        <v>586</v>
      </c>
      <c r="I66" s="485">
        <v>3041</v>
      </c>
      <c r="J66" s="485">
        <v>1106</v>
      </c>
      <c r="K66" s="485">
        <v>9</v>
      </c>
      <c r="L66" s="486">
        <v>0.295955277869122</v>
      </c>
      <c r="M66" s="486">
        <v>0.81374321880651</v>
      </c>
      <c r="N66" s="485">
        <v>0</v>
      </c>
    </row>
    <row r="67" spans="1:14" ht="12.75">
      <c r="A67" s="487" t="s">
        <v>583</v>
      </c>
      <c r="B67" s="488">
        <v>2296193</v>
      </c>
      <c r="C67" s="488">
        <v>804166</v>
      </c>
      <c r="D67" s="488">
        <v>8539</v>
      </c>
      <c r="E67" s="480">
        <f t="shared" si="4"/>
        <v>0.0037187640585961195</v>
      </c>
      <c r="F67" s="480">
        <f t="shared" si="5"/>
        <v>0.010618454398718672</v>
      </c>
      <c r="G67" s="474">
        <f>D67-'[11]Marts'!D67</f>
        <v>0</v>
      </c>
      <c r="H67" s="487" t="s">
        <v>583</v>
      </c>
      <c r="I67" s="488">
        <v>2296</v>
      </c>
      <c r="J67" s="488">
        <v>974</v>
      </c>
      <c r="K67" s="488">
        <v>9</v>
      </c>
      <c r="L67" s="82">
        <v>0.39198606271777003</v>
      </c>
      <c r="M67" s="82">
        <v>0.9240246406570842</v>
      </c>
      <c r="N67" s="488">
        <v>0</v>
      </c>
    </row>
    <row r="68" spans="1:14" ht="12.75">
      <c r="A68" s="487" t="s">
        <v>584</v>
      </c>
      <c r="B68" s="488">
        <v>745059</v>
      </c>
      <c r="C68" s="488">
        <v>97704</v>
      </c>
      <c r="D68" s="488"/>
      <c r="E68" s="480">
        <f t="shared" si="4"/>
        <v>0</v>
      </c>
      <c r="F68" s="480">
        <f t="shared" si="5"/>
        <v>0</v>
      </c>
      <c r="G68" s="474">
        <f>D68-'[11]Marts'!D68</f>
        <v>0</v>
      </c>
      <c r="H68" s="487" t="s">
        <v>584</v>
      </c>
      <c r="I68" s="488">
        <v>745</v>
      </c>
      <c r="J68" s="488">
        <v>132</v>
      </c>
      <c r="K68" s="488">
        <v>0</v>
      </c>
      <c r="L68" s="82">
        <v>0</v>
      </c>
      <c r="M68" s="82">
        <v>0</v>
      </c>
      <c r="N68" s="488">
        <v>0</v>
      </c>
    </row>
    <row r="69" spans="1:14" s="481" customFormat="1" ht="12.75">
      <c r="A69" s="484" t="s">
        <v>587</v>
      </c>
      <c r="B69" s="485">
        <f>SUM(B70:B71)</f>
        <v>352140</v>
      </c>
      <c r="C69" s="485">
        <f>SUM(C70:C71)</f>
        <v>98499</v>
      </c>
      <c r="D69" s="485">
        <f>SUM(D70:D71)</f>
        <v>81867</v>
      </c>
      <c r="E69" s="480">
        <f t="shared" si="4"/>
        <v>0.2324842392230363</v>
      </c>
      <c r="F69" s="480">
        <f t="shared" si="5"/>
        <v>0.8311454938628818</v>
      </c>
      <c r="G69" s="474">
        <f>D69-'[11]Marts'!D69</f>
        <v>29285</v>
      </c>
      <c r="H69" s="484" t="s">
        <v>587</v>
      </c>
      <c r="I69" s="485">
        <v>352</v>
      </c>
      <c r="J69" s="485">
        <v>127</v>
      </c>
      <c r="K69" s="485">
        <v>97</v>
      </c>
      <c r="L69" s="486">
        <v>27.556818181818183</v>
      </c>
      <c r="M69" s="486">
        <v>76.37795275590551</v>
      </c>
      <c r="N69" s="485">
        <v>15</v>
      </c>
    </row>
    <row r="70" spans="1:14" ht="12.75">
      <c r="A70" s="487" t="s">
        <v>583</v>
      </c>
      <c r="B70" s="488">
        <v>256914</v>
      </c>
      <c r="C70" s="488">
        <v>73664</v>
      </c>
      <c r="D70" s="488">
        <v>70221</v>
      </c>
      <c r="E70" s="480">
        <f t="shared" si="4"/>
        <v>0.27332492585067375</v>
      </c>
      <c r="F70" s="480">
        <f t="shared" si="5"/>
        <v>0.953260751520417</v>
      </c>
      <c r="G70" s="474">
        <f>D70-'[11]Marts'!D70</f>
        <v>22039</v>
      </c>
      <c r="H70" s="487" t="s">
        <v>583</v>
      </c>
      <c r="I70" s="488">
        <v>257</v>
      </c>
      <c r="J70" s="488">
        <v>92</v>
      </c>
      <c r="K70" s="488">
        <v>80</v>
      </c>
      <c r="L70" s="82">
        <v>31.1284046692607</v>
      </c>
      <c r="M70" s="82">
        <v>86.95652173913044</v>
      </c>
      <c r="N70" s="488">
        <v>10</v>
      </c>
    </row>
    <row r="71" spans="1:14" ht="12.75">
      <c r="A71" s="487" t="s">
        <v>584</v>
      </c>
      <c r="B71" s="488">
        <v>95226</v>
      </c>
      <c r="C71" s="488">
        <v>24835</v>
      </c>
      <c r="D71" s="488">
        <v>11646</v>
      </c>
      <c r="E71" s="480">
        <f t="shared" si="4"/>
        <v>0.12229853191355303</v>
      </c>
      <c r="F71" s="480">
        <f t="shared" si="5"/>
        <v>0.4689349708073284</v>
      </c>
      <c r="G71" s="474">
        <f>D71-'[11]Marts'!D71</f>
        <v>7246</v>
      </c>
      <c r="H71" s="487" t="s">
        <v>584</v>
      </c>
      <c r="I71" s="488">
        <v>95</v>
      </c>
      <c r="J71" s="488">
        <v>35</v>
      </c>
      <c r="K71" s="488">
        <v>17</v>
      </c>
      <c r="L71" s="82">
        <v>17.894736842105264</v>
      </c>
      <c r="M71" s="82">
        <v>48.57142857142857</v>
      </c>
      <c r="N71" s="488">
        <v>5</v>
      </c>
    </row>
    <row r="72" spans="1:14" s="1" customFormat="1" ht="12">
      <c r="A72" s="74" t="s">
        <v>588</v>
      </c>
      <c r="B72" s="490">
        <f>B73+B76</f>
        <v>2747804</v>
      </c>
      <c r="C72" s="490">
        <f>C73+C76</f>
        <v>828359</v>
      </c>
      <c r="D72" s="490">
        <f>D73+D76</f>
        <v>285645</v>
      </c>
      <c r="E72" s="489">
        <f aca="true" t="shared" si="6" ref="E72:E100">IF(ISERROR(D72/B72)," ",(D72/B72))</f>
        <v>0.1039539210220234</v>
      </c>
      <c r="F72" s="489">
        <f aca="true" t="shared" si="7" ref="F72:F96">IF(ISERROR(D72/C72)," ",(D72/C72))</f>
        <v>0.34483237340331907</v>
      </c>
      <c r="G72" s="474">
        <f>D72-'[11]Marts'!D72</f>
        <v>10820</v>
      </c>
      <c r="H72" s="74" t="s">
        <v>588</v>
      </c>
      <c r="I72" s="405">
        <v>2748</v>
      </c>
      <c r="J72" s="405">
        <v>886</v>
      </c>
      <c r="K72" s="405">
        <v>482</v>
      </c>
      <c r="L72" s="58">
        <v>17.540029112081516</v>
      </c>
      <c r="M72" s="58">
        <v>54.401805869074494</v>
      </c>
      <c r="N72" s="405">
        <v>197</v>
      </c>
    </row>
    <row r="73" spans="1:14" s="481" customFormat="1" ht="12.75">
      <c r="A73" s="484" t="s">
        <v>586</v>
      </c>
      <c r="B73" s="485">
        <f>SUM(B74:B75)</f>
        <v>2423104</v>
      </c>
      <c r="C73" s="485">
        <f>SUM(C74:C75)</f>
        <v>781401</v>
      </c>
      <c r="D73" s="485">
        <f>SUM(D74:D75)</f>
        <v>256186</v>
      </c>
      <c r="E73" s="480">
        <f t="shared" si="6"/>
        <v>0.10572637410527984</v>
      </c>
      <c r="F73" s="480">
        <f t="shared" si="7"/>
        <v>0.32785471224121804</v>
      </c>
      <c r="G73" s="474">
        <f>D73-'[11]Marts'!D73</f>
        <v>4525</v>
      </c>
      <c r="H73" s="484" t="s">
        <v>586</v>
      </c>
      <c r="I73" s="485">
        <v>2423</v>
      </c>
      <c r="J73" s="485">
        <v>815</v>
      </c>
      <c r="K73" s="485">
        <v>442</v>
      </c>
      <c r="L73" s="486">
        <v>18.241848947585638</v>
      </c>
      <c r="M73" s="486">
        <v>54.233128834355824</v>
      </c>
      <c r="N73" s="485">
        <v>186</v>
      </c>
    </row>
    <row r="74" spans="1:14" ht="12.75">
      <c r="A74" s="487" t="s">
        <v>583</v>
      </c>
      <c r="B74" s="488">
        <v>1855604</v>
      </c>
      <c r="C74" s="488">
        <v>376401</v>
      </c>
      <c r="D74" s="488">
        <v>47098</v>
      </c>
      <c r="E74" s="480">
        <f t="shared" si="6"/>
        <v>0.025381493034074082</v>
      </c>
      <c r="F74" s="480">
        <f t="shared" si="7"/>
        <v>0.12512719147930002</v>
      </c>
      <c r="G74" s="474">
        <f>D74-'[11]Marts'!D74</f>
        <v>4525</v>
      </c>
      <c r="H74" s="487" t="s">
        <v>583</v>
      </c>
      <c r="I74" s="488">
        <v>1856</v>
      </c>
      <c r="J74" s="488">
        <v>395</v>
      </c>
      <c r="K74" s="488">
        <v>85</v>
      </c>
      <c r="L74" s="82">
        <v>4.579741379310344</v>
      </c>
      <c r="M74" s="82">
        <v>21.518987341772153</v>
      </c>
      <c r="N74" s="488">
        <v>38</v>
      </c>
    </row>
    <row r="75" spans="1:14" ht="12.75">
      <c r="A75" s="487" t="s">
        <v>584</v>
      </c>
      <c r="B75" s="488">
        <v>567500</v>
      </c>
      <c r="C75" s="488">
        <v>405000</v>
      </c>
      <c r="D75" s="488">
        <v>209088</v>
      </c>
      <c r="E75" s="480">
        <f t="shared" si="6"/>
        <v>0.3684370044052863</v>
      </c>
      <c r="F75" s="480">
        <f t="shared" si="7"/>
        <v>0.5162666666666667</v>
      </c>
      <c r="G75" s="474">
        <f>D75-'[11]Marts'!D75</f>
        <v>0</v>
      </c>
      <c r="H75" s="487" t="s">
        <v>584</v>
      </c>
      <c r="I75" s="488">
        <v>567</v>
      </c>
      <c r="J75" s="488">
        <v>420</v>
      </c>
      <c r="K75" s="488">
        <v>357</v>
      </c>
      <c r="L75" s="82">
        <v>62.96296296296296</v>
      </c>
      <c r="M75" s="82">
        <v>85</v>
      </c>
      <c r="N75" s="488">
        <v>148</v>
      </c>
    </row>
    <row r="76" spans="1:14" s="481" customFormat="1" ht="12.75">
      <c r="A76" s="484" t="s">
        <v>587</v>
      </c>
      <c r="B76" s="485">
        <f>SUM(B77:B78)</f>
        <v>324700</v>
      </c>
      <c r="C76" s="485">
        <f>SUM(C77:C78)</f>
        <v>46958</v>
      </c>
      <c r="D76" s="485">
        <f>SUM(D77:D78)</f>
        <v>29459</v>
      </c>
      <c r="E76" s="480">
        <f t="shared" si="6"/>
        <v>0.09072682476131814</v>
      </c>
      <c r="F76" s="480">
        <f t="shared" si="7"/>
        <v>0.6273478427530985</v>
      </c>
      <c r="G76" s="474">
        <f>D76-'[11]Marts'!D76</f>
        <v>6295</v>
      </c>
      <c r="H76" s="484" t="s">
        <v>587</v>
      </c>
      <c r="I76" s="485">
        <v>325</v>
      </c>
      <c r="J76" s="485">
        <v>71</v>
      </c>
      <c r="K76" s="485">
        <v>40</v>
      </c>
      <c r="L76" s="486">
        <v>12.307692307692308</v>
      </c>
      <c r="M76" s="486">
        <v>56.33802816901409</v>
      </c>
      <c r="N76" s="485">
        <v>11</v>
      </c>
    </row>
    <row r="77" spans="1:14" ht="12.75">
      <c r="A77" s="487" t="s">
        <v>583</v>
      </c>
      <c r="B77" s="488">
        <v>36700</v>
      </c>
      <c r="C77" s="488">
        <v>10158</v>
      </c>
      <c r="D77" s="488">
        <v>10158</v>
      </c>
      <c r="E77" s="480">
        <f t="shared" si="6"/>
        <v>0.27678474114441415</v>
      </c>
      <c r="F77" s="480">
        <f t="shared" si="7"/>
        <v>1</v>
      </c>
      <c r="G77" s="474">
        <f>D77-'[11]Marts'!D77</f>
        <v>2545</v>
      </c>
      <c r="H77" s="487" t="s">
        <v>583</v>
      </c>
      <c r="I77" s="488">
        <v>37</v>
      </c>
      <c r="J77" s="488">
        <v>13</v>
      </c>
      <c r="K77" s="488">
        <v>13</v>
      </c>
      <c r="L77" s="82">
        <v>35.13513513513514</v>
      </c>
      <c r="M77" s="82">
        <v>100</v>
      </c>
      <c r="N77" s="488">
        <v>3</v>
      </c>
    </row>
    <row r="78" spans="1:14" ht="12.75">
      <c r="A78" s="487" t="s">
        <v>584</v>
      </c>
      <c r="B78" s="488">
        <v>288000</v>
      </c>
      <c r="C78" s="488">
        <v>36800</v>
      </c>
      <c r="D78" s="488">
        <v>19301</v>
      </c>
      <c r="E78" s="480">
        <f t="shared" si="6"/>
        <v>0.06701736111111112</v>
      </c>
      <c r="F78" s="480">
        <f t="shared" si="7"/>
        <v>0.5244836956521739</v>
      </c>
      <c r="G78" s="474">
        <f>D78-'[11]Marts'!D78</f>
        <v>3750</v>
      </c>
      <c r="H78" s="487" t="s">
        <v>584</v>
      </c>
      <c r="I78" s="488">
        <v>288</v>
      </c>
      <c r="J78" s="488">
        <v>58</v>
      </c>
      <c r="K78" s="488">
        <v>27</v>
      </c>
      <c r="L78" s="82">
        <v>9.375</v>
      </c>
      <c r="M78" s="82">
        <v>46.55172413793103</v>
      </c>
      <c r="N78" s="488">
        <v>8</v>
      </c>
    </row>
    <row r="79" spans="1:14" s="1" customFormat="1" ht="24">
      <c r="A79" s="59" t="s">
        <v>589</v>
      </c>
      <c r="B79" s="490">
        <f>B80+B83</f>
        <v>6572218</v>
      </c>
      <c r="C79" s="490">
        <f>C80+C83</f>
        <v>2356400</v>
      </c>
      <c r="D79" s="490">
        <f>D80+D83</f>
        <v>970048</v>
      </c>
      <c r="E79" s="489">
        <f t="shared" si="6"/>
        <v>0.14759826895577718</v>
      </c>
      <c r="F79" s="489">
        <f t="shared" si="7"/>
        <v>0.4116652520794432</v>
      </c>
      <c r="G79" s="474">
        <f>D79-'[11]Marts'!D79</f>
        <v>263347</v>
      </c>
      <c r="H79" s="59" t="s">
        <v>589</v>
      </c>
      <c r="I79" s="405">
        <v>6573</v>
      </c>
      <c r="J79" s="405">
        <v>2610</v>
      </c>
      <c r="K79" s="405">
        <v>1461</v>
      </c>
      <c r="L79" s="58">
        <v>22.227293473299863</v>
      </c>
      <c r="M79" s="58">
        <v>55.97701149425287</v>
      </c>
      <c r="N79" s="405">
        <v>491</v>
      </c>
    </row>
    <row r="80" spans="1:14" s="481" customFormat="1" ht="12.75">
      <c r="A80" s="484" t="s">
        <v>586</v>
      </c>
      <c r="B80" s="485">
        <f>SUM(B81:B82)</f>
        <v>6322218</v>
      </c>
      <c r="C80" s="485">
        <f>SUM(C81:C82)</f>
        <v>2356400</v>
      </c>
      <c r="D80" s="485">
        <f>SUM(D81:D82)</f>
        <v>970048</v>
      </c>
      <c r="E80" s="480">
        <f t="shared" si="6"/>
        <v>0.15343475976310844</v>
      </c>
      <c r="F80" s="480">
        <f t="shared" si="7"/>
        <v>0.4116652520794432</v>
      </c>
      <c r="G80" s="474">
        <f>D80-'[11]Marts'!D80</f>
        <v>263347</v>
      </c>
      <c r="H80" s="484" t="s">
        <v>586</v>
      </c>
      <c r="I80" s="485">
        <v>6323</v>
      </c>
      <c r="J80" s="485">
        <v>2610</v>
      </c>
      <c r="K80" s="485">
        <v>1461</v>
      </c>
      <c r="L80" s="486">
        <v>23.106120512414993</v>
      </c>
      <c r="M80" s="486">
        <v>55.97701149425287</v>
      </c>
      <c r="N80" s="485">
        <v>491</v>
      </c>
    </row>
    <row r="81" spans="1:14" ht="12.75">
      <c r="A81" s="487" t="s">
        <v>583</v>
      </c>
      <c r="B81" s="488">
        <v>20600</v>
      </c>
      <c r="C81" s="488">
        <v>20600</v>
      </c>
      <c r="D81" s="488"/>
      <c r="E81" s="480">
        <f t="shared" si="6"/>
        <v>0</v>
      </c>
      <c r="F81" s="480">
        <f t="shared" si="7"/>
        <v>0</v>
      </c>
      <c r="G81" s="474">
        <f>D81-'[11]Marts'!D81</f>
        <v>0</v>
      </c>
      <c r="H81" s="487" t="s">
        <v>583</v>
      </c>
      <c r="I81" s="488">
        <v>21</v>
      </c>
      <c r="J81" s="488">
        <v>21</v>
      </c>
      <c r="K81" s="488">
        <v>5</v>
      </c>
      <c r="L81" s="82">
        <v>23.809523809523807</v>
      </c>
      <c r="M81" s="82">
        <v>23.809523809523807</v>
      </c>
      <c r="N81" s="488">
        <v>5</v>
      </c>
    </row>
    <row r="82" spans="1:14" ht="12.75">
      <c r="A82" s="491" t="s">
        <v>584</v>
      </c>
      <c r="B82" s="488">
        <v>6301618</v>
      </c>
      <c r="C82" s="488">
        <v>2335800</v>
      </c>
      <c r="D82" s="488">
        <v>970048</v>
      </c>
      <c r="E82" s="480">
        <f t="shared" si="6"/>
        <v>0.1539363382547149</v>
      </c>
      <c r="F82" s="480">
        <f t="shared" si="7"/>
        <v>0.415295830122442</v>
      </c>
      <c r="G82" s="474">
        <f>D82-'[11]Marts'!D82</f>
        <v>263347</v>
      </c>
      <c r="H82" s="491" t="s">
        <v>584</v>
      </c>
      <c r="I82" s="488">
        <v>6302</v>
      </c>
      <c r="J82" s="488">
        <v>2589</v>
      </c>
      <c r="K82" s="488">
        <v>1456</v>
      </c>
      <c r="L82" s="82">
        <v>23.10377657886385</v>
      </c>
      <c r="M82" s="82">
        <v>56.23792970258788</v>
      </c>
      <c r="N82" s="488">
        <v>486</v>
      </c>
    </row>
    <row r="83" spans="1:14" s="481" customFormat="1" ht="12.75">
      <c r="A83" s="484" t="s">
        <v>587</v>
      </c>
      <c r="B83" s="485">
        <f>SUM(B84:B85)</f>
        <v>250000</v>
      </c>
      <c r="C83" s="485">
        <f>SUM(C84:C85)</f>
        <v>0</v>
      </c>
      <c r="D83" s="485">
        <f>SUM(D84:D85)</f>
        <v>0</v>
      </c>
      <c r="E83" s="480">
        <f t="shared" si="6"/>
        <v>0</v>
      </c>
      <c r="F83" s="480" t="str">
        <f t="shared" si="7"/>
        <v> </v>
      </c>
      <c r="G83" s="474">
        <f>D83-'[11]Marts'!D83</f>
        <v>0</v>
      </c>
      <c r="H83" s="484" t="s">
        <v>587</v>
      </c>
      <c r="I83" s="485">
        <v>250</v>
      </c>
      <c r="J83" s="485">
        <v>0</v>
      </c>
      <c r="K83" s="485">
        <v>0</v>
      </c>
      <c r="L83" s="486">
        <v>0</v>
      </c>
      <c r="M83" s="486"/>
      <c r="N83" s="485">
        <v>0</v>
      </c>
    </row>
    <row r="84" spans="1:14" ht="12.75" hidden="1">
      <c r="A84" s="487" t="s">
        <v>583</v>
      </c>
      <c r="B84" s="488"/>
      <c r="C84" s="485"/>
      <c r="D84" s="485">
        <f>SUM(D85:D86)</f>
        <v>0</v>
      </c>
      <c r="E84" s="480" t="str">
        <f t="shared" si="6"/>
        <v> </v>
      </c>
      <c r="F84" s="480" t="str">
        <f t="shared" si="7"/>
        <v> </v>
      </c>
      <c r="G84" s="474">
        <f>D84-'[11]Marts'!D84</f>
        <v>0</v>
      </c>
      <c r="H84" s="487" t="s">
        <v>583</v>
      </c>
      <c r="I84" s="488">
        <v>0</v>
      </c>
      <c r="J84" s="488">
        <v>0</v>
      </c>
      <c r="K84" s="488"/>
      <c r="L84" s="82" t="e">
        <v>#VALUE!</v>
      </c>
      <c r="M84" s="82"/>
      <c r="N84" s="485">
        <v>0</v>
      </c>
    </row>
    <row r="85" spans="1:14" ht="12.75">
      <c r="A85" s="487" t="s">
        <v>584</v>
      </c>
      <c r="B85" s="488">
        <v>250000</v>
      </c>
      <c r="C85" s="485"/>
      <c r="D85" s="485"/>
      <c r="E85" s="480">
        <f t="shared" si="6"/>
        <v>0</v>
      </c>
      <c r="F85" s="480" t="str">
        <f t="shared" si="7"/>
        <v> </v>
      </c>
      <c r="G85" s="474">
        <f>D85-'[11]Marts'!D85</f>
        <v>0</v>
      </c>
      <c r="H85" s="487" t="s">
        <v>584</v>
      </c>
      <c r="I85" s="488">
        <v>250</v>
      </c>
      <c r="J85" s="488">
        <v>0</v>
      </c>
      <c r="K85" s="488">
        <v>0</v>
      </c>
      <c r="L85" s="82">
        <v>0</v>
      </c>
      <c r="M85" s="82"/>
      <c r="N85" s="488">
        <v>0</v>
      </c>
    </row>
    <row r="86" spans="1:14" s="1" customFormat="1" ht="12">
      <c r="A86" s="492" t="s">
        <v>268</v>
      </c>
      <c r="B86" s="490">
        <f>B87+B89</f>
        <v>288293</v>
      </c>
      <c r="C86" s="490">
        <f>C87+C89</f>
        <v>206523</v>
      </c>
      <c r="D86" s="490">
        <f>D87+D89</f>
        <v>0</v>
      </c>
      <c r="E86" s="489">
        <f t="shared" si="6"/>
        <v>0</v>
      </c>
      <c r="F86" s="489">
        <f t="shared" si="7"/>
        <v>0</v>
      </c>
      <c r="G86" s="474">
        <f>D86-'[11]Marts'!D86</f>
        <v>0</v>
      </c>
      <c r="H86" s="492" t="s">
        <v>268</v>
      </c>
      <c r="I86" s="405">
        <v>288</v>
      </c>
      <c r="J86" s="405">
        <v>207</v>
      </c>
      <c r="K86" s="405">
        <v>0</v>
      </c>
      <c r="L86" s="58">
        <v>0</v>
      </c>
      <c r="M86" s="58">
        <v>0</v>
      </c>
      <c r="N86" s="405">
        <v>0</v>
      </c>
    </row>
    <row r="87" spans="1:14" s="481" customFormat="1" ht="12.75">
      <c r="A87" s="484" t="s">
        <v>586</v>
      </c>
      <c r="B87" s="485">
        <f>B88</f>
        <v>261393</v>
      </c>
      <c r="C87" s="485">
        <f>C88</f>
        <v>206523</v>
      </c>
      <c r="D87" s="485">
        <f>D88</f>
        <v>0</v>
      </c>
      <c r="E87" s="480">
        <f t="shared" si="6"/>
        <v>0</v>
      </c>
      <c r="F87" s="480">
        <f t="shared" si="7"/>
        <v>0</v>
      </c>
      <c r="G87" s="474">
        <f>D87-'[11]Marts'!D87</f>
        <v>0</v>
      </c>
      <c r="H87" s="484" t="s">
        <v>586</v>
      </c>
      <c r="I87" s="485">
        <v>261</v>
      </c>
      <c r="J87" s="485">
        <v>207</v>
      </c>
      <c r="K87" s="485">
        <v>0</v>
      </c>
      <c r="L87" s="486">
        <v>0</v>
      </c>
      <c r="M87" s="486">
        <v>0</v>
      </c>
      <c r="N87" s="485">
        <v>0</v>
      </c>
    </row>
    <row r="88" spans="1:14" ht="12.75">
      <c r="A88" s="487" t="s">
        <v>583</v>
      </c>
      <c r="B88" s="488">
        <v>261393</v>
      </c>
      <c r="C88" s="488">
        <v>206523</v>
      </c>
      <c r="D88" s="488"/>
      <c r="E88" s="480">
        <f t="shared" si="6"/>
        <v>0</v>
      </c>
      <c r="F88" s="480">
        <f t="shared" si="7"/>
        <v>0</v>
      </c>
      <c r="G88" s="474">
        <f>D88-'[11]Marts'!D88</f>
        <v>0</v>
      </c>
      <c r="H88" s="487" t="s">
        <v>583</v>
      </c>
      <c r="I88" s="488">
        <v>261</v>
      </c>
      <c r="J88" s="488">
        <v>207</v>
      </c>
      <c r="K88" s="488">
        <v>0</v>
      </c>
      <c r="L88" s="82">
        <v>0</v>
      </c>
      <c r="M88" s="82">
        <v>0</v>
      </c>
      <c r="N88" s="488">
        <v>0</v>
      </c>
    </row>
    <row r="89" spans="1:14" s="481" customFormat="1" ht="12.75">
      <c r="A89" s="484" t="s">
        <v>587</v>
      </c>
      <c r="B89" s="485">
        <f>B90</f>
        <v>26900</v>
      </c>
      <c r="C89" s="485">
        <f>C90</f>
        <v>0</v>
      </c>
      <c r="D89" s="485">
        <f>D90</f>
        <v>0</v>
      </c>
      <c r="E89" s="480">
        <f t="shared" si="6"/>
        <v>0</v>
      </c>
      <c r="F89" s="480" t="str">
        <f t="shared" si="7"/>
        <v> </v>
      </c>
      <c r="G89" s="474">
        <f>D89-'[11]Marts'!D89</f>
        <v>0</v>
      </c>
      <c r="H89" s="484" t="s">
        <v>587</v>
      </c>
      <c r="I89" s="485">
        <v>27</v>
      </c>
      <c r="J89" s="485">
        <v>0</v>
      </c>
      <c r="K89" s="485">
        <v>0</v>
      </c>
      <c r="L89" s="486">
        <v>0</v>
      </c>
      <c r="M89" s="82"/>
      <c r="N89" s="485">
        <v>0</v>
      </c>
    </row>
    <row r="90" spans="1:14" ht="12.75">
      <c r="A90" s="487" t="s">
        <v>583</v>
      </c>
      <c r="B90" s="488">
        <v>26900</v>
      </c>
      <c r="C90" s="488"/>
      <c r="D90" s="488"/>
      <c r="E90" s="480">
        <f t="shared" si="6"/>
        <v>0</v>
      </c>
      <c r="F90" s="480" t="str">
        <f t="shared" si="7"/>
        <v> </v>
      </c>
      <c r="G90" s="474">
        <f>D90-'[11]Marts'!D90</f>
        <v>0</v>
      </c>
      <c r="H90" s="487" t="s">
        <v>583</v>
      </c>
      <c r="I90" s="488">
        <v>27</v>
      </c>
      <c r="J90" s="488">
        <v>0</v>
      </c>
      <c r="K90" s="488">
        <v>0</v>
      </c>
      <c r="L90" s="82">
        <v>0</v>
      </c>
      <c r="M90" s="82"/>
      <c r="N90" s="488">
        <v>0</v>
      </c>
    </row>
    <row r="91" spans="1:14" s="1" customFormat="1" ht="12">
      <c r="A91" s="492" t="s">
        <v>272</v>
      </c>
      <c r="B91" s="490">
        <f>B92+B95</f>
        <v>330250</v>
      </c>
      <c r="C91" s="490">
        <f>C92+C95</f>
        <v>20000</v>
      </c>
      <c r="D91" s="490">
        <f>D92+D95</f>
        <v>13459</v>
      </c>
      <c r="E91" s="480">
        <f t="shared" si="6"/>
        <v>0.04075397426192279</v>
      </c>
      <c r="F91" s="480">
        <f t="shared" si="7"/>
        <v>0.67295</v>
      </c>
      <c r="G91" s="474">
        <f>D91-'[11]Marts'!D91</f>
        <v>6768</v>
      </c>
      <c r="H91" s="492" t="s">
        <v>272</v>
      </c>
      <c r="I91" s="405">
        <v>331</v>
      </c>
      <c r="J91" s="405">
        <v>20</v>
      </c>
      <c r="K91" s="405">
        <v>17</v>
      </c>
      <c r="L91" s="58">
        <v>5.13595166163142</v>
      </c>
      <c r="M91" s="58">
        <v>85</v>
      </c>
      <c r="N91" s="405">
        <v>3</v>
      </c>
    </row>
    <row r="92" spans="1:14" s="481" customFormat="1" ht="12.75">
      <c r="A92" s="484" t="s">
        <v>586</v>
      </c>
      <c r="B92" s="485">
        <f>SUM(B93:B94)</f>
        <v>280250</v>
      </c>
      <c r="C92" s="485">
        <f>SUM(C93:C94)</f>
        <v>0</v>
      </c>
      <c r="D92" s="485">
        <f>SUM(D93:D94)</f>
        <v>0</v>
      </c>
      <c r="E92" s="480">
        <f t="shared" si="6"/>
        <v>0</v>
      </c>
      <c r="F92" s="480" t="str">
        <f t="shared" si="7"/>
        <v> </v>
      </c>
      <c r="G92" s="474">
        <f>D92-'[11]Marts'!D92</f>
        <v>0</v>
      </c>
      <c r="H92" s="484" t="s">
        <v>586</v>
      </c>
      <c r="I92" s="485">
        <v>281</v>
      </c>
      <c r="J92" s="485">
        <v>0</v>
      </c>
      <c r="K92" s="485">
        <v>0</v>
      </c>
      <c r="L92" s="486">
        <v>0</v>
      </c>
      <c r="M92" s="82"/>
      <c r="N92" s="485">
        <v>0</v>
      </c>
    </row>
    <row r="93" spans="1:14" ht="12.75">
      <c r="A93" s="487" t="s">
        <v>583</v>
      </c>
      <c r="B93" s="488">
        <v>191750</v>
      </c>
      <c r="C93" s="488"/>
      <c r="D93" s="488"/>
      <c r="E93" s="480">
        <f t="shared" si="6"/>
        <v>0</v>
      </c>
      <c r="F93" s="480" t="str">
        <f t="shared" si="7"/>
        <v> </v>
      </c>
      <c r="G93" s="474">
        <f>D93-'[11]Marts'!D93</f>
        <v>0</v>
      </c>
      <c r="H93" s="487" t="s">
        <v>583</v>
      </c>
      <c r="I93" s="488">
        <v>192</v>
      </c>
      <c r="J93" s="488">
        <v>0</v>
      </c>
      <c r="K93" s="488">
        <v>0</v>
      </c>
      <c r="L93" s="82">
        <v>0</v>
      </c>
      <c r="M93" s="82"/>
      <c r="N93" s="488">
        <v>0</v>
      </c>
    </row>
    <row r="94" spans="1:14" ht="12.75">
      <c r="A94" s="487" t="s">
        <v>584</v>
      </c>
      <c r="B94" s="488">
        <v>88500</v>
      </c>
      <c r="C94" s="488"/>
      <c r="D94" s="488"/>
      <c r="E94" s="480">
        <f t="shared" si="6"/>
        <v>0</v>
      </c>
      <c r="F94" s="480" t="str">
        <f t="shared" si="7"/>
        <v> </v>
      </c>
      <c r="G94" s="474">
        <f>D94-'[11]Marts'!D94</f>
        <v>0</v>
      </c>
      <c r="H94" s="487" t="s">
        <v>584</v>
      </c>
      <c r="I94" s="488">
        <v>89</v>
      </c>
      <c r="J94" s="488">
        <v>0</v>
      </c>
      <c r="K94" s="488">
        <v>0</v>
      </c>
      <c r="L94" s="82">
        <v>0</v>
      </c>
      <c r="M94" s="82"/>
      <c r="N94" s="488">
        <v>0</v>
      </c>
    </row>
    <row r="95" spans="1:14" s="481" customFormat="1" ht="12.75">
      <c r="A95" s="484" t="s">
        <v>587</v>
      </c>
      <c r="B95" s="485">
        <f>SUM(B96:B97)</f>
        <v>50000</v>
      </c>
      <c r="C95" s="485">
        <f>SUM(C96:C97)</f>
        <v>20000</v>
      </c>
      <c r="D95" s="485">
        <f>SUM(D96:D97)</f>
        <v>13459</v>
      </c>
      <c r="E95" s="480">
        <f t="shared" si="6"/>
        <v>0.26918</v>
      </c>
      <c r="F95" s="480">
        <f t="shared" si="7"/>
        <v>0.67295</v>
      </c>
      <c r="G95" s="474">
        <f>D95-'[11]Marts'!D95</f>
        <v>6768</v>
      </c>
      <c r="H95" s="484" t="s">
        <v>587</v>
      </c>
      <c r="I95" s="485">
        <v>50</v>
      </c>
      <c r="J95" s="485">
        <v>20</v>
      </c>
      <c r="K95" s="485">
        <v>17</v>
      </c>
      <c r="L95" s="486">
        <v>34</v>
      </c>
      <c r="M95" s="486">
        <v>85</v>
      </c>
      <c r="N95" s="485">
        <v>3</v>
      </c>
    </row>
    <row r="96" spans="1:14" ht="12.75">
      <c r="A96" s="487" t="s">
        <v>583</v>
      </c>
      <c r="B96" s="488">
        <v>10000</v>
      </c>
      <c r="C96" s="488">
        <v>10000</v>
      </c>
      <c r="D96" s="488">
        <v>6893</v>
      </c>
      <c r="E96" s="480">
        <f t="shared" si="6"/>
        <v>0.6893</v>
      </c>
      <c r="F96" s="480">
        <f t="shared" si="7"/>
        <v>0.6893</v>
      </c>
      <c r="G96" s="474">
        <f>D96-'[11]Marts'!D96</f>
        <v>6893</v>
      </c>
      <c r="H96" s="487" t="s">
        <v>583</v>
      </c>
      <c r="I96" s="488">
        <v>10</v>
      </c>
      <c r="J96" s="488">
        <v>10</v>
      </c>
      <c r="K96" s="488">
        <v>10</v>
      </c>
      <c r="L96" s="82">
        <v>100</v>
      </c>
      <c r="M96" s="82">
        <v>100</v>
      </c>
      <c r="N96" s="488">
        <v>3</v>
      </c>
    </row>
    <row r="97" spans="1:14" ht="12.75">
      <c r="A97" s="487" t="s">
        <v>584</v>
      </c>
      <c r="B97" s="493">
        <v>40000</v>
      </c>
      <c r="C97" s="493">
        <v>10000</v>
      </c>
      <c r="D97" s="493">
        <v>6566</v>
      </c>
      <c r="E97" s="480">
        <f t="shared" si="6"/>
        <v>0.16415</v>
      </c>
      <c r="F97" s="480"/>
      <c r="G97" s="474">
        <f>D97-'[11]Marts'!D97</f>
        <v>-125</v>
      </c>
      <c r="H97" s="487" t="s">
        <v>584</v>
      </c>
      <c r="I97" s="488">
        <v>40</v>
      </c>
      <c r="J97" s="488">
        <v>10</v>
      </c>
      <c r="K97" s="488">
        <v>7</v>
      </c>
      <c r="L97" s="82">
        <v>17.5</v>
      </c>
      <c r="M97" s="82">
        <v>70</v>
      </c>
      <c r="N97" s="488">
        <v>0</v>
      </c>
    </row>
    <row r="98" spans="1:14" s="1" customFormat="1" ht="36">
      <c r="A98" s="492" t="s">
        <v>290</v>
      </c>
      <c r="B98" s="490">
        <f>B99+B102</f>
        <v>3858047</v>
      </c>
      <c r="C98" s="490">
        <f>C99+C102</f>
        <v>962785</v>
      </c>
      <c r="D98" s="490">
        <f>D99+D102</f>
        <v>306504</v>
      </c>
      <c r="E98" s="489">
        <f t="shared" si="6"/>
        <v>0.07944537741504963</v>
      </c>
      <c r="F98" s="489">
        <f>IF(ISERROR(D98/C98)," ",(D98/C98))</f>
        <v>0.3183514491812814</v>
      </c>
      <c r="G98" s="474">
        <f>D98-'[11]Marts'!D98</f>
        <v>28076</v>
      </c>
      <c r="H98" s="492" t="s">
        <v>290</v>
      </c>
      <c r="I98" s="405">
        <v>3858</v>
      </c>
      <c r="J98" s="405">
        <v>1101</v>
      </c>
      <c r="K98" s="405">
        <v>508</v>
      </c>
      <c r="L98" s="58">
        <v>13.167444271643339</v>
      </c>
      <c r="M98" s="58">
        <v>46.13987284287012</v>
      </c>
      <c r="N98" s="405">
        <v>201</v>
      </c>
    </row>
    <row r="99" spans="1:14" s="481" customFormat="1" ht="12.75">
      <c r="A99" s="484" t="s">
        <v>586</v>
      </c>
      <c r="B99" s="485">
        <f>SUM(B100:B101)</f>
        <v>3388557</v>
      </c>
      <c r="C99" s="485">
        <f>SUM(C100:C101)</f>
        <v>920907</v>
      </c>
      <c r="D99" s="485">
        <f>SUM(D100:D101)</f>
        <v>264626</v>
      </c>
      <c r="E99" s="489">
        <f t="shared" si="6"/>
        <v>0.07809400874767637</v>
      </c>
      <c r="F99" s="489">
        <f>IF(ISERROR(D99/C99)," ",(D99/C99))</f>
        <v>0.28735366329064715</v>
      </c>
      <c r="G99" s="474">
        <f>D99-'[11]Marts'!D99</f>
        <v>17559</v>
      </c>
      <c r="H99" s="484" t="s">
        <v>586</v>
      </c>
      <c r="I99" s="485">
        <v>3388</v>
      </c>
      <c r="J99" s="485">
        <v>997</v>
      </c>
      <c r="K99" s="485">
        <v>456</v>
      </c>
      <c r="L99" s="486">
        <v>13.45926800472255</v>
      </c>
      <c r="M99" s="486">
        <v>45.73721163490471</v>
      </c>
      <c r="N99" s="485">
        <v>191</v>
      </c>
    </row>
    <row r="100" spans="1:14" ht="12.75">
      <c r="A100" s="487" t="s">
        <v>583</v>
      </c>
      <c r="B100" s="488">
        <v>2164307</v>
      </c>
      <c r="C100" s="488">
        <v>920907</v>
      </c>
      <c r="D100" s="488">
        <v>264626</v>
      </c>
      <c r="E100" s="489">
        <f t="shared" si="6"/>
        <v>0.12226823643780665</v>
      </c>
      <c r="F100" s="489">
        <f>IF(ISERROR(D100/C100)," ",(D100/C100))</f>
        <v>0.28735366329064715</v>
      </c>
      <c r="G100" s="474">
        <f>D100-'[11]Marts'!D100</f>
        <v>17559</v>
      </c>
      <c r="H100" s="487" t="s">
        <v>583</v>
      </c>
      <c r="I100" s="488">
        <v>2164</v>
      </c>
      <c r="J100" s="488">
        <v>997</v>
      </c>
      <c r="K100" s="488">
        <v>456</v>
      </c>
      <c r="L100" s="82">
        <v>21.072088724584106</v>
      </c>
      <c r="M100" s="82">
        <v>45.73721163490471</v>
      </c>
      <c r="N100" s="488">
        <v>191</v>
      </c>
    </row>
    <row r="101" spans="1:14" ht="12.75">
      <c r="A101" s="487" t="s">
        <v>584</v>
      </c>
      <c r="B101" s="493">
        <v>1224250</v>
      </c>
      <c r="C101" s="493"/>
      <c r="D101" s="493"/>
      <c r="E101" s="480"/>
      <c r="F101" s="480"/>
      <c r="G101" s="474">
        <f>D101-'[11]Marts'!D101</f>
        <v>0</v>
      </c>
      <c r="H101" s="487" t="s">
        <v>584</v>
      </c>
      <c r="I101" s="488">
        <v>1224</v>
      </c>
      <c r="J101" s="488">
        <v>0</v>
      </c>
      <c r="K101" s="488">
        <v>0</v>
      </c>
      <c r="L101" s="82">
        <v>0</v>
      </c>
      <c r="M101" s="82"/>
      <c r="N101" s="488">
        <v>0</v>
      </c>
    </row>
    <row r="102" spans="1:14" s="481" customFormat="1" ht="12.75">
      <c r="A102" s="484" t="s">
        <v>587</v>
      </c>
      <c r="B102" s="485">
        <f>B103</f>
        <v>469490</v>
      </c>
      <c r="C102" s="485">
        <f>C103</f>
        <v>41878</v>
      </c>
      <c r="D102" s="485">
        <f>D103</f>
        <v>41878</v>
      </c>
      <c r="E102" s="480">
        <f aca="true" t="shared" si="8" ref="E102:E125">IF(ISERROR(D102/B102)," ",(D102/B102))</f>
        <v>0.08919891797482374</v>
      </c>
      <c r="F102" s="480">
        <f aca="true" t="shared" si="9" ref="F102:F107">IF(ISERROR(D102/C102)," ",(D102/C102))</f>
        <v>1</v>
      </c>
      <c r="G102" s="474">
        <f>D102-'[11]Marts'!D102</f>
        <v>10517</v>
      </c>
      <c r="H102" s="484" t="s">
        <v>587</v>
      </c>
      <c r="I102" s="485">
        <v>470</v>
      </c>
      <c r="J102" s="485">
        <v>104</v>
      </c>
      <c r="K102" s="485">
        <v>52</v>
      </c>
      <c r="L102" s="486">
        <v>11.063829787234042</v>
      </c>
      <c r="M102" s="486">
        <v>50</v>
      </c>
      <c r="N102" s="485">
        <v>10</v>
      </c>
    </row>
    <row r="103" spans="1:14" ht="12.75">
      <c r="A103" s="487" t="s">
        <v>583</v>
      </c>
      <c r="B103" s="488">
        <v>469490</v>
      </c>
      <c r="C103" s="488">
        <v>41878</v>
      </c>
      <c r="D103" s="488">
        <v>41878</v>
      </c>
      <c r="E103" s="480">
        <f t="shared" si="8"/>
        <v>0.08919891797482374</v>
      </c>
      <c r="F103" s="480">
        <f t="shared" si="9"/>
        <v>1</v>
      </c>
      <c r="G103" s="474">
        <f>D103-'[11]Marts'!D103</f>
        <v>10517</v>
      </c>
      <c r="H103" s="487" t="s">
        <v>583</v>
      </c>
      <c r="I103" s="488">
        <v>470</v>
      </c>
      <c r="J103" s="488">
        <v>104</v>
      </c>
      <c r="K103" s="488">
        <v>52</v>
      </c>
      <c r="L103" s="82">
        <v>11.063829787234042</v>
      </c>
      <c r="M103" s="82">
        <v>50</v>
      </c>
      <c r="N103" s="488">
        <v>10</v>
      </c>
    </row>
    <row r="104" spans="1:14" s="1" customFormat="1" ht="24">
      <c r="A104" s="492" t="s">
        <v>590</v>
      </c>
      <c r="B104" s="405">
        <f>B105+B107</f>
        <v>1091245</v>
      </c>
      <c r="C104" s="405">
        <f>C105+C107</f>
        <v>951120</v>
      </c>
      <c r="D104" s="405">
        <f>D105+D107</f>
        <v>67470</v>
      </c>
      <c r="E104" s="480">
        <f t="shared" si="8"/>
        <v>0.06182846198608012</v>
      </c>
      <c r="F104" s="480">
        <f t="shared" si="9"/>
        <v>0.07093742114559677</v>
      </c>
      <c r="G104" s="474">
        <f>D104-'[11]Marts'!D104</f>
        <v>0</v>
      </c>
      <c r="H104" s="492" t="s">
        <v>590</v>
      </c>
      <c r="I104" s="405">
        <v>1091</v>
      </c>
      <c r="J104" s="405">
        <v>951</v>
      </c>
      <c r="K104" s="405">
        <v>112</v>
      </c>
      <c r="L104" s="58">
        <v>10.265811182401468</v>
      </c>
      <c r="M104" s="58">
        <v>11.77707676130389</v>
      </c>
      <c r="N104" s="405">
        <v>45</v>
      </c>
    </row>
    <row r="105" spans="1:14" s="481" customFormat="1" ht="12.75">
      <c r="A105" s="484" t="s">
        <v>586</v>
      </c>
      <c r="B105" s="485">
        <f>B106</f>
        <v>1077970</v>
      </c>
      <c r="C105" s="485">
        <f>C106</f>
        <v>951120</v>
      </c>
      <c r="D105" s="485">
        <f>D106</f>
        <v>67470</v>
      </c>
      <c r="E105" s="480">
        <f t="shared" si="8"/>
        <v>0.06258986799261575</v>
      </c>
      <c r="F105" s="480">
        <f t="shared" si="9"/>
        <v>0.07093742114559677</v>
      </c>
      <c r="G105" s="474">
        <f>D105-'[11]Marts'!D105</f>
        <v>0</v>
      </c>
      <c r="H105" s="484" t="s">
        <v>586</v>
      </c>
      <c r="I105" s="485">
        <v>1078</v>
      </c>
      <c r="J105" s="485">
        <v>951</v>
      </c>
      <c r="K105" s="485">
        <v>112</v>
      </c>
      <c r="L105" s="486">
        <v>10.38961038961039</v>
      </c>
      <c r="M105" s="486">
        <v>11.77707676130389</v>
      </c>
      <c r="N105" s="485">
        <v>45</v>
      </c>
    </row>
    <row r="106" spans="1:14" ht="12.75">
      <c r="A106" s="487" t="s">
        <v>583</v>
      </c>
      <c r="B106" s="488">
        <v>1077970</v>
      </c>
      <c r="C106" s="488">
        <v>951120</v>
      </c>
      <c r="D106" s="488">
        <v>67470</v>
      </c>
      <c r="E106" s="480">
        <f t="shared" si="8"/>
        <v>0.06258986799261575</v>
      </c>
      <c r="F106" s="480">
        <f t="shared" si="9"/>
        <v>0.07093742114559677</v>
      </c>
      <c r="G106" s="474">
        <f>D106-'[11]Marts'!D106</f>
        <v>0</v>
      </c>
      <c r="H106" s="487" t="s">
        <v>583</v>
      </c>
      <c r="I106" s="488">
        <v>1078</v>
      </c>
      <c r="J106" s="488">
        <v>951</v>
      </c>
      <c r="K106" s="488">
        <v>112</v>
      </c>
      <c r="L106" s="82">
        <v>10.38961038961039</v>
      </c>
      <c r="M106" s="82">
        <v>11.77707676130389</v>
      </c>
      <c r="N106" s="488">
        <v>45</v>
      </c>
    </row>
    <row r="107" spans="1:14" s="481" customFormat="1" ht="12.75">
      <c r="A107" s="484" t="s">
        <v>587</v>
      </c>
      <c r="B107" s="485">
        <f>B108</f>
        <v>13275</v>
      </c>
      <c r="C107" s="485">
        <f>C108</f>
        <v>0</v>
      </c>
      <c r="D107" s="485">
        <f>D108</f>
        <v>0</v>
      </c>
      <c r="E107" s="480">
        <f t="shared" si="8"/>
        <v>0</v>
      </c>
      <c r="F107" s="480" t="str">
        <f t="shared" si="9"/>
        <v> </v>
      </c>
      <c r="G107" s="474">
        <f>D107-'[11]Marts'!D107</f>
        <v>0</v>
      </c>
      <c r="H107" s="484" t="s">
        <v>587</v>
      </c>
      <c r="I107" s="485">
        <v>13</v>
      </c>
      <c r="J107" s="485">
        <v>0</v>
      </c>
      <c r="K107" s="485">
        <v>0</v>
      </c>
      <c r="L107" s="486">
        <v>0</v>
      </c>
      <c r="M107" s="82"/>
      <c r="N107" s="485">
        <v>0</v>
      </c>
    </row>
    <row r="108" spans="1:14" ht="12.75">
      <c r="A108" s="487" t="s">
        <v>583</v>
      </c>
      <c r="B108" s="488">
        <v>13275</v>
      </c>
      <c r="C108" s="488"/>
      <c r="D108" s="488"/>
      <c r="E108" s="480">
        <f t="shared" si="8"/>
        <v>0</v>
      </c>
      <c r="F108" s="480"/>
      <c r="G108" s="474">
        <f>D108-'[11]Marts'!D108</f>
        <v>0</v>
      </c>
      <c r="H108" s="487" t="s">
        <v>583</v>
      </c>
      <c r="I108" s="488">
        <v>13</v>
      </c>
      <c r="J108" s="488">
        <v>0</v>
      </c>
      <c r="K108" s="488">
        <v>0</v>
      </c>
      <c r="L108" s="82">
        <v>0</v>
      </c>
      <c r="M108" s="82"/>
      <c r="N108" s="488">
        <v>0</v>
      </c>
    </row>
    <row r="109" spans="1:104" ht="38.25">
      <c r="A109" s="471" t="s">
        <v>591</v>
      </c>
      <c r="B109" s="494">
        <f>B110+B113</f>
        <v>5731672</v>
      </c>
      <c r="C109" s="494">
        <f>C110+C113</f>
        <v>1339437</v>
      </c>
      <c r="D109" s="494">
        <f>D110+D113</f>
        <v>723238</v>
      </c>
      <c r="E109" s="480">
        <f t="shared" si="8"/>
        <v>0.12618272643654416</v>
      </c>
      <c r="F109" s="480"/>
      <c r="G109" s="474">
        <f>D109-'[11]Marts'!D109</f>
        <v>146948</v>
      </c>
      <c r="H109" s="471" t="s">
        <v>591</v>
      </c>
      <c r="I109" s="475">
        <v>5732</v>
      </c>
      <c r="J109" s="475">
        <v>1919</v>
      </c>
      <c r="K109" s="475">
        <v>891</v>
      </c>
      <c r="L109" s="476">
        <v>15.54431263084438</v>
      </c>
      <c r="M109" s="476">
        <v>46.4304325169359</v>
      </c>
      <c r="N109" s="475">
        <v>168</v>
      </c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49"/>
      <c r="Z109" s="49"/>
      <c r="AA109" s="49"/>
      <c r="AB109" s="49"/>
      <c r="AC109" s="49"/>
      <c r="AD109" s="49"/>
      <c r="AE109" s="49"/>
      <c r="AF109" s="49"/>
      <c r="AG109" s="49"/>
      <c r="AH109" s="49"/>
      <c r="AI109" s="49"/>
      <c r="AJ109" s="49"/>
      <c r="AK109" s="49"/>
      <c r="AL109" s="49"/>
      <c r="AM109" s="49"/>
      <c r="AN109" s="49"/>
      <c r="AO109" s="49"/>
      <c r="AP109" s="49"/>
      <c r="AQ109" s="49"/>
      <c r="AR109" s="49"/>
      <c r="AS109" s="49"/>
      <c r="AT109" s="49"/>
      <c r="AU109" s="49"/>
      <c r="AV109" s="49"/>
      <c r="AW109" s="49"/>
      <c r="AX109" s="49"/>
      <c r="AY109" s="49"/>
      <c r="AZ109" s="49"/>
      <c r="BA109" s="49"/>
      <c r="BB109" s="49"/>
      <c r="BC109" s="49"/>
      <c r="BD109" s="49"/>
      <c r="BE109" s="49"/>
      <c r="BF109" s="49"/>
      <c r="BG109" s="49"/>
      <c r="BH109" s="49"/>
      <c r="BI109" s="49"/>
      <c r="BJ109" s="49"/>
      <c r="BK109" s="49"/>
      <c r="BL109" s="49"/>
      <c r="BM109" s="49"/>
      <c r="BN109" s="49"/>
      <c r="BO109" s="49"/>
      <c r="BP109" s="49"/>
      <c r="BQ109" s="49"/>
      <c r="BR109" s="49"/>
      <c r="BS109" s="49"/>
      <c r="BT109" s="49"/>
      <c r="BU109" s="49"/>
      <c r="BV109" s="49"/>
      <c r="BW109" s="49"/>
      <c r="BX109" s="49"/>
      <c r="BY109" s="49"/>
      <c r="BZ109" s="49"/>
      <c r="CA109" s="49"/>
      <c r="CB109" s="49"/>
      <c r="CC109" s="49"/>
      <c r="CD109" s="49"/>
      <c r="CE109" s="49"/>
      <c r="CF109" s="49"/>
      <c r="CG109" s="49"/>
      <c r="CH109" s="49"/>
      <c r="CI109" s="49"/>
      <c r="CJ109" s="49"/>
      <c r="CK109" s="49"/>
      <c r="CL109" s="49"/>
      <c r="CM109" s="49"/>
      <c r="CN109" s="49"/>
      <c r="CO109" s="49"/>
      <c r="CP109" s="49"/>
      <c r="CQ109" s="49"/>
      <c r="CR109" s="49"/>
      <c r="CS109" s="49"/>
      <c r="CT109" s="49"/>
      <c r="CU109" s="49"/>
      <c r="CV109" s="49"/>
      <c r="CW109" s="49"/>
      <c r="CX109" s="49"/>
      <c r="CY109" s="49"/>
      <c r="CZ109" s="49"/>
    </row>
    <row r="110" spans="1:104" s="393" customFormat="1" ht="15" customHeight="1">
      <c r="A110" s="477" t="s">
        <v>232</v>
      </c>
      <c r="B110" s="472">
        <f>B111+B112</f>
        <v>2605105</v>
      </c>
      <c r="C110" s="472">
        <f>C111+C112</f>
        <v>1339437</v>
      </c>
      <c r="D110" s="472">
        <f>D111+D112</f>
        <v>723238</v>
      </c>
      <c r="E110" s="480">
        <f t="shared" si="8"/>
        <v>0.2776233587513747</v>
      </c>
      <c r="F110" s="480"/>
      <c r="G110" s="474">
        <f>D110-'[11]Marts'!D110</f>
        <v>146948</v>
      </c>
      <c r="H110" s="477" t="s">
        <v>232</v>
      </c>
      <c r="I110" s="495">
        <v>2605</v>
      </c>
      <c r="J110" s="495">
        <v>1619</v>
      </c>
      <c r="K110" s="495">
        <v>891</v>
      </c>
      <c r="L110" s="476">
        <v>34.20345489443378</v>
      </c>
      <c r="M110" s="476">
        <v>55.033971587399634</v>
      </c>
      <c r="N110" s="495">
        <v>168</v>
      </c>
      <c r="O110" s="49"/>
      <c r="P110" s="49"/>
      <c r="Q110" s="49"/>
      <c r="R110" s="49"/>
      <c r="S110" s="49"/>
      <c r="T110" s="49"/>
      <c r="U110" s="49"/>
      <c r="V110" s="49"/>
      <c r="W110" s="49"/>
      <c r="X110" s="49"/>
      <c r="Y110" s="49"/>
      <c r="Z110" s="49"/>
      <c r="AA110" s="49"/>
      <c r="AB110" s="49"/>
      <c r="AC110" s="49"/>
      <c r="AD110" s="49"/>
      <c r="AE110" s="49"/>
      <c r="AF110" s="49"/>
      <c r="AG110" s="49"/>
      <c r="AH110" s="49"/>
      <c r="AI110" s="49"/>
      <c r="AJ110" s="49"/>
      <c r="AK110" s="49"/>
      <c r="AL110" s="49"/>
      <c r="AM110" s="49"/>
      <c r="AN110" s="49"/>
      <c r="AO110" s="49"/>
      <c r="AP110" s="49"/>
      <c r="AQ110" s="49"/>
      <c r="AR110" s="49"/>
      <c r="AS110" s="49"/>
      <c r="AT110" s="49"/>
      <c r="AU110" s="49"/>
      <c r="AV110" s="49"/>
      <c r="AW110" s="49"/>
      <c r="AX110" s="49"/>
      <c r="AY110" s="49"/>
      <c r="AZ110" s="49"/>
      <c r="BA110" s="49"/>
      <c r="BB110" s="49"/>
      <c r="BC110" s="49"/>
      <c r="BD110" s="49"/>
      <c r="BE110" s="49"/>
      <c r="BF110" s="49"/>
      <c r="BG110" s="49"/>
      <c r="BH110" s="49"/>
      <c r="BI110" s="49"/>
      <c r="BJ110" s="49"/>
      <c r="BK110" s="49"/>
      <c r="BL110" s="49"/>
      <c r="BM110" s="49"/>
      <c r="BN110" s="49"/>
      <c r="BO110" s="49"/>
      <c r="BP110" s="49"/>
      <c r="BQ110" s="49"/>
      <c r="BR110" s="49"/>
      <c r="BS110" s="49"/>
      <c r="BT110" s="49"/>
      <c r="BU110" s="49"/>
      <c r="BV110" s="49"/>
      <c r="BW110" s="49"/>
      <c r="BX110" s="49"/>
      <c r="BY110" s="49"/>
      <c r="BZ110" s="49"/>
      <c r="CA110" s="49"/>
      <c r="CB110" s="49"/>
      <c r="CC110" s="49"/>
      <c r="CD110" s="49"/>
      <c r="CE110" s="49"/>
      <c r="CF110" s="49"/>
      <c r="CG110" s="49"/>
      <c r="CH110" s="49"/>
      <c r="CI110" s="49"/>
      <c r="CJ110" s="49"/>
      <c r="CK110" s="49"/>
      <c r="CL110" s="49"/>
      <c r="CM110" s="49"/>
      <c r="CN110" s="49"/>
      <c r="CO110" s="49"/>
      <c r="CP110" s="49"/>
      <c r="CQ110" s="49"/>
      <c r="CR110" s="49"/>
      <c r="CS110" s="49"/>
      <c r="CT110" s="49"/>
      <c r="CU110" s="49"/>
      <c r="CV110" s="49"/>
      <c r="CW110" s="49"/>
      <c r="CX110" s="49"/>
      <c r="CY110" s="49"/>
      <c r="CZ110" s="49"/>
    </row>
    <row r="111" spans="1:14" ht="12.75">
      <c r="A111" s="479" t="s">
        <v>583</v>
      </c>
      <c r="B111" s="490">
        <f>B118+B124</f>
        <v>325105</v>
      </c>
      <c r="C111" s="490">
        <f>C118+C124</f>
        <v>259437</v>
      </c>
      <c r="D111" s="490">
        <f>D118+D124</f>
        <v>0</v>
      </c>
      <c r="E111" s="480">
        <f t="shared" si="8"/>
        <v>0</v>
      </c>
      <c r="F111" s="480"/>
      <c r="G111" s="474">
        <f>D111-'[11]Marts'!D111</f>
        <v>0</v>
      </c>
      <c r="H111" s="479" t="s">
        <v>583</v>
      </c>
      <c r="I111" s="405">
        <v>325</v>
      </c>
      <c r="J111" s="405">
        <v>259</v>
      </c>
      <c r="K111" s="405">
        <v>168</v>
      </c>
      <c r="L111" s="476">
        <v>51.69230769230769</v>
      </c>
      <c r="M111" s="476"/>
      <c r="N111" s="405">
        <v>168</v>
      </c>
    </row>
    <row r="112" spans="1:14" ht="12.75">
      <c r="A112" s="479" t="s">
        <v>584</v>
      </c>
      <c r="B112" s="490">
        <f>B119</f>
        <v>2280000</v>
      </c>
      <c r="C112" s="490">
        <f>C119</f>
        <v>1080000</v>
      </c>
      <c r="D112" s="490">
        <f>D119</f>
        <v>723238</v>
      </c>
      <c r="E112" s="480">
        <f t="shared" si="8"/>
        <v>0.317209649122807</v>
      </c>
      <c r="F112" s="480"/>
      <c r="G112" s="474">
        <f>D112-'[11]Marts'!D112</f>
        <v>146948</v>
      </c>
      <c r="H112" s="479" t="s">
        <v>584</v>
      </c>
      <c r="I112" s="405">
        <v>2280</v>
      </c>
      <c r="J112" s="74">
        <v>1360</v>
      </c>
      <c r="K112" s="405">
        <v>723</v>
      </c>
      <c r="L112" s="58">
        <v>31.710526315789473</v>
      </c>
      <c r="M112" s="58">
        <v>53.161764705882355</v>
      </c>
      <c r="N112" s="405">
        <v>0</v>
      </c>
    </row>
    <row r="113" spans="1:104" s="393" customFormat="1" ht="15" customHeight="1">
      <c r="A113" s="477" t="s">
        <v>592</v>
      </c>
      <c r="B113" s="472">
        <f>SUM(B114:B115)</f>
        <v>3126567</v>
      </c>
      <c r="C113" s="472">
        <f>SUM(C115:C115)</f>
        <v>0</v>
      </c>
      <c r="D113" s="472">
        <f>SUM(D115:D115)</f>
        <v>0</v>
      </c>
      <c r="E113" s="480">
        <f t="shared" si="8"/>
        <v>0</v>
      </c>
      <c r="F113" s="480"/>
      <c r="G113" s="474">
        <f>D113-'[11]Marts'!D113</f>
        <v>0</v>
      </c>
      <c r="H113" s="477" t="s">
        <v>592</v>
      </c>
      <c r="I113" s="475">
        <v>3127</v>
      </c>
      <c r="J113" s="475">
        <v>300</v>
      </c>
      <c r="K113" s="475">
        <v>0</v>
      </c>
      <c r="L113" s="476">
        <v>0</v>
      </c>
      <c r="M113" s="476"/>
      <c r="N113" s="475">
        <v>0</v>
      </c>
      <c r="O113" s="49"/>
      <c r="P113" s="49"/>
      <c r="Q113" s="49"/>
      <c r="R113" s="49"/>
      <c r="S113" s="49"/>
      <c r="T113" s="49"/>
      <c r="U113" s="49"/>
      <c r="V113" s="49"/>
      <c r="W113" s="49"/>
      <c r="X113" s="49"/>
      <c r="Y113" s="49"/>
      <c r="Z113" s="49"/>
      <c r="AA113" s="49"/>
      <c r="AB113" s="49"/>
      <c r="AC113" s="49"/>
      <c r="AD113" s="49"/>
      <c r="AE113" s="49"/>
      <c r="AF113" s="49"/>
      <c r="AG113" s="49"/>
      <c r="AH113" s="49"/>
      <c r="AI113" s="49"/>
      <c r="AJ113" s="49"/>
      <c r="AK113" s="49"/>
      <c r="AL113" s="49"/>
      <c r="AM113" s="49"/>
      <c r="AN113" s="49"/>
      <c r="AO113" s="49"/>
      <c r="AP113" s="49"/>
      <c r="AQ113" s="49"/>
      <c r="AR113" s="49"/>
      <c r="AS113" s="49"/>
      <c r="AT113" s="49"/>
      <c r="AU113" s="49"/>
      <c r="AV113" s="49"/>
      <c r="AW113" s="49"/>
      <c r="AX113" s="49"/>
      <c r="AY113" s="49"/>
      <c r="AZ113" s="49"/>
      <c r="BA113" s="49"/>
      <c r="BB113" s="49"/>
      <c r="BC113" s="49"/>
      <c r="BD113" s="49"/>
      <c r="BE113" s="49"/>
      <c r="BF113" s="49"/>
      <c r="BG113" s="49"/>
      <c r="BH113" s="49"/>
      <c r="BI113" s="49"/>
      <c r="BJ113" s="49"/>
      <c r="BK113" s="49"/>
      <c r="BL113" s="49"/>
      <c r="BM113" s="49"/>
      <c r="BN113" s="49"/>
      <c r="BO113" s="49"/>
      <c r="BP113" s="49"/>
      <c r="BQ113" s="49"/>
      <c r="BR113" s="49"/>
      <c r="BS113" s="49"/>
      <c r="BT113" s="49"/>
      <c r="BU113" s="49"/>
      <c r="BV113" s="49"/>
      <c r="BW113" s="49"/>
      <c r="BX113" s="49"/>
      <c r="BY113" s="49"/>
      <c r="BZ113" s="49"/>
      <c r="CA113" s="49"/>
      <c r="CB113" s="49"/>
      <c r="CC113" s="49"/>
      <c r="CD113" s="49"/>
      <c r="CE113" s="49"/>
      <c r="CF113" s="49"/>
      <c r="CG113" s="49"/>
      <c r="CH113" s="49"/>
      <c r="CI113" s="49"/>
      <c r="CJ113" s="49"/>
      <c r="CK113" s="49"/>
      <c r="CL113" s="49"/>
      <c r="CM113" s="49"/>
      <c r="CN113" s="49"/>
      <c r="CO113" s="49"/>
      <c r="CP113" s="49"/>
      <c r="CQ113" s="49"/>
      <c r="CR113" s="49"/>
      <c r="CS113" s="49"/>
      <c r="CT113" s="49"/>
      <c r="CU113" s="49"/>
      <c r="CV113" s="49"/>
      <c r="CW113" s="49"/>
      <c r="CX113" s="49"/>
      <c r="CY113" s="49"/>
      <c r="CZ113" s="49"/>
    </row>
    <row r="114" spans="1:14" ht="12.75">
      <c r="A114" s="479" t="s">
        <v>583</v>
      </c>
      <c r="B114" s="490">
        <f>B126</f>
        <v>6567</v>
      </c>
      <c r="C114" s="490">
        <f>C126</f>
        <v>0</v>
      </c>
      <c r="D114" s="490">
        <f>D126</f>
        <v>0</v>
      </c>
      <c r="E114" s="480">
        <f t="shared" si="8"/>
        <v>0</v>
      </c>
      <c r="F114" s="480"/>
      <c r="G114" s="474">
        <f>D114-'[11]Marts'!D114</f>
        <v>0</v>
      </c>
      <c r="H114" s="479" t="s">
        <v>583</v>
      </c>
      <c r="I114" s="405">
        <v>7</v>
      </c>
      <c r="J114" s="405">
        <v>0</v>
      </c>
      <c r="K114" s="405">
        <v>0</v>
      </c>
      <c r="L114" s="58">
        <v>0</v>
      </c>
      <c r="M114" s="58"/>
      <c r="N114" s="405">
        <v>0</v>
      </c>
    </row>
    <row r="115" spans="1:14" ht="12.75">
      <c r="A115" s="479" t="s">
        <v>584</v>
      </c>
      <c r="B115" s="490">
        <f>B121</f>
        <v>3120000</v>
      </c>
      <c r="C115" s="490">
        <f>C121</f>
        <v>0</v>
      </c>
      <c r="D115" s="490">
        <f>D121</f>
        <v>0</v>
      </c>
      <c r="E115" s="480">
        <f t="shared" si="8"/>
        <v>0</v>
      </c>
      <c r="F115" s="480"/>
      <c r="G115" s="474">
        <f>D115-'[11]Marts'!D115</f>
        <v>0</v>
      </c>
      <c r="H115" s="479" t="s">
        <v>584</v>
      </c>
      <c r="I115" s="405">
        <v>3120</v>
      </c>
      <c r="J115" s="405">
        <v>300</v>
      </c>
      <c r="K115" s="405">
        <v>0</v>
      </c>
      <c r="L115" s="58">
        <v>0</v>
      </c>
      <c r="M115" s="58"/>
      <c r="N115" s="405">
        <v>0</v>
      </c>
    </row>
    <row r="116" spans="1:14" s="1" customFormat="1" ht="12">
      <c r="A116" s="492" t="s">
        <v>260</v>
      </c>
      <c r="B116" s="405">
        <f>B117+B120</f>
        <v>5659437</v>
      </c>
      <c r="C116" s="405">
        <f>C117+C120</f>
        <v>1339437</v>
      </c>
      <c r="D116" s="405">
        <f>D117+D120</f>
        <v>723238</v>
      </c>
      <c r="E116" s="480">
        <f t="shared" si="8"/>
        <v>0.12779327696376866</v>
      </c>
      <c r="F116" s="480"/>
      <c r="G116" s="474">
        <f>D116-'[11]Marts'!D116</f>
        <v>146948</v>
      </c>
      <c r="H116" s="492" t="s">
        <v>260</v>
      </c>
      <c r="I116" s="405">
        <v>5659</v>
      </c>
      <c r="J116" s="405">
        <v>1919</v>
      </c>
      <c r="K116" s="405">
        <v>891</v>
      </c>
      <c r="L116" s="58">
        <v>15.744831242268953</v>
      </c>
      <c r="M116" s="58">
        <v>46.4304325169359</v>
      </c>
      <c r="N116" s="405">
        <v>168</v>
      </c>
    </row>
    <row r="117" spans="1:14" s="481" customFormat="1" ht="12.75">
      <c r="A117" s="484" t="s">
        <v>586</v>
      </c>
      <c r="B117" s="485">
        <f>B118+B119</f>
        <v>2539437</v>
      </c>
      <c r="C117" s="485">
        <f>C118+C119</f>
        <v>1339437</v>
      </c>
      <c r="D117" s="485">
        <f>D118+D119</f>
        <v>723238</v>
      </c>
      <c r="E117" s="480">
        <f t="shared" si="8"/>
        <v>0.28480249756146736</v>
      </c>
      <c r="F117" s="480"/>
      <c r="G117" s="474">
        <f>D117-'[11]Marts'!D117</f>
        <v>146948</v>
      </c>
      <c r="H117" s="484" t="s">
        <v>586</v>
      </c>
      <c r="I117" s="485">
        <v>2539</v>
      </c>
      <c r="J117" s="485">
        <v>1619</v>
      </c>
      <c r="K117" s="485">
        <v>891</v>
      </c>
      <c r="L117" s="486">
        <v>35.09255612445845</v>
      </c>
      <c r="M117" s="486">
        <v>55.033971587399634</v>
      </c>
      <c r="N117" s="485">
        <v>168</v>
      </c>
    </row>
    <row r="118" spans="1:14" ht="12.75">
      <c r="A118" s="487" t="s">
        <v>583</v>
      </c>
      <c r="B118" s="488">
        <v>259437</v>
      </c>
      <c r="C118" s="488">
        <v>259437</v>
      </c>
      <c r="D118" s="488"/>
      <c r="E118" s="480">
        <f t="shared" si="8"/>
        <v>0</v>
      </c>
      <c r="F118" s="480"/>
      <c r="G118" s="474">
        <f>D118-'[11]Marts'!D118</f>
        <v>0</v>
      </c>
      <c r="H118" s="487" t="s">
        <v>583</v>
      </c>
      <c r="I118" s="488">
        <v>259</v>
      </c>
      <c r="J118" s="488">
        <v>259</v>
      </c>
      <c r="K118" s="488">
        <v>168</v>
      </c>
      <c r="L118" s="82">
        <v>64.86486486486487</v>
      </c>
      <c r="M118" s="82">
        <v>64.86486486486487</v>
      </c>
      <c r="N118" s="488">
        <v>168</v>
      </c>
    </row>
    <row r="119" spans="1:104" s="60" customFormat="1" ht="12.75">
      <c r="A119" s="487" t="s">
        <v>584</v>
      </c>
      <c r="B119" s="488">
        <v>2280000</v>
      </c>
      <c r="C119" s="488">
        <v>1080000</v>
      </c>
      <c r="D119" s="488">
        <v>723238</v>
      </c>
      <c r="E119" s="480">
        <f t="shared" si="8"/>
        <v>0.317209649122807</v>
      </c>
      <c r="F119" s="480"/>
      <c r="G119" s="474">
        <f>D119-'[11]Marts'!D119</f>
        <v>146948</v>
      </c>
      <c r="H119" s="487" t="s">
        <v>584</v>
      </c>
      <c r="I119" s="488">
        <v>2280</v>
      </c>
      <c r="J119" s="488">
        <v>1360</v>
      </c>
      <c r="K119" s="488">
        <v>723</v>
      </c>
      <c r="L119" s="82">
        <v>31.710526315789473</v>
      </c>
      <c r="M119" s="82">
        <v>53.161764705882355</v>
      </c>
      <c r="N119" s="488">
        <v>0</v>
      </c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</row>
    <row r="120" spans="1:14" s="481" customFormat="1" ht="12.75">
      <c r="A120" s="484" t="s">
        <v>593</v>
      </c>
      <c r="B120" s="485">
        <f>B121</f>
        <v>3120000</v>
      </c>
      <c r="C120" s="485">
        <f>C121</f>
        <v>0</v>
      </c>
      <c r="D120" s="485">
        <f>D121</f>
        <v>0</v>
      </c>
      <c r="E120" s="480">
        <f t="shared" si="8"/>
        <v>0</v>
      </c>
      <c r="F120" s="480"/>
      <c r="G120" s="474">
        <f>D120-'[11]Marts'!D120</f>
        <v>0</v>
      </c>
      <c r="H120" s="484" t="s">
        <v>593</v>
      </c>
      <c r="I120" s="485">
        <v>3120</v>
      </c>
      <c r="J120" s="485">
        <v>300</v>
      </c>
      <c r="K120" s="485">
        <v>0</v>
      </c>
      <c r="L120" s="486">
        <v>0</v>
      </c>
      <c r="M120" s="486">
        <v>0</v>
      </c>
      <c r="N120" s="485">
        <v>0</v>
      </c>
    </row>
    <row r="121" spans="1:104" s="60" customFormat="1" ht="12.75">
      <c r="A121" s="487" t="s">
        <v>584</v>
      </c>
      <c r="B121" s="488">
        <v>3120000</v>
      </c>
      <c r="C121" s="488"/>
      <c r="D121" s="488"/>
      <c r="E121" s="480">
        <f t="shared" si="8"/>
        <v>0</v>
      </c>
      <c r="F121" s="480"/>
      <c r="G121" s="474">
        <f>D121-'[11]Marts'!D121</f>
        <v>0</v>
      </c>
      <c r="H121" s="487" t="s">
        <v>584</v>
      </c>
      <c r="I121" s="488">
        <v>3120</v>
      </c>
      <c r="J121" s="488">
        <v>300</v>
      </c>
      <c r="K121" s="488">
        <v>0</v>
      </c>
      <c r="L121" s="82">
        <v>0</v>
      </c>
      <c r="M121" s="82">
        <v>0</v>
      </c>
      <c r="N121" s="488">
        <v>0</v>
      </c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</row>
    <row r="122" spans="1:14" s="1" customFormat="1" ht="12">
      <c r="A122" s="492" t="s">
        <v>262</v>
      </c>
      <c r="B122" s="405">
        <f>B123+B125</f>
        <v>72235</v>
      </c>
      <c r="C122" s="405">
        <f>C123+C125</f>
        <v>0</v>
      </c>
      <c r="D122" s="405">
        <f>D123+D125</f>
        <v>0</v>
      </c>
      <c r="E122" s="480">
        <f t="shared" si="8"/>
        <v>0</v>
      </c>
      <c r="F122" s="480"/>
      <c r="G122" s="474">
        <f>D122-'[11]Marts'!D122</f>
        <v>0</v>
      </c>
      <c r="H122" s="492" t="s">
        <v>262</v>
      </c>
      <c r="I122" s="405">
        <v>73</v>
      </c>
      <c r="J122" s="405">
        <v>0</v>
      </c>
      <c r="K122" s="405">
        <v>0</v>
      </c>
      <c r="L122" s="58">
        <v>0</v>
      </c>
      <c r="M122" s="58"/>
      <c r="N122" s="405">
        <v>0</v>
      </c>
    </row>
    <row r="123" spans="1:14" s="481" customFormat="1" ht="12.75">
      <c r="A123" s="484" t="s">
        <v>586</v>
      </c>
      <c r="B123" s="485">
        <f>B124</f>
        <v>65668</v>
      </c>
      <c r="C123" s="485">
        <f>C124</f>
        <v>0</v>
      </c>
      <c r="D123" s="485">
        <f>D124</f>
        <v>0</v>
      </c>
      <c r="E123" s="480">
        <f t="shared" si="8"/>
        <v>0</v>
      </c>
      <c r="F123" s="480"/>
      <c r="G123" s="474">
        <f>D123-'[11]Marts'!D123</f>
        <v>0</v>
      </c>
      <c r="H123" s="484" t="s">
        <v>586</v>
      </c>
      <c r="I123" s="485">
        <v>66</v>
      </c>
      <c r="J123" s="485">
        <v>0</v>
      </c>
      <c r="K123" s="485">
        <v>0</v>
      </c>
      <c r="L123" s="486">
        <v>0</v>
      </c>
      <c r="M123" s="485"/>
      <c r="N123" s="485">
        <v>0</v>
      </c>
    </row>
    <row r="124" spans="1:14" ht="12.75">
      <c r="A124" s="487" t="s">
        <v>583</v>
      </c>
      <c r="B124" s="488">
        <v>65668</v>
      </c>
      <c r="C124" s="488"/>
      <c r="D124" s="488"/>
      <c r="E124" s="480">
        <f t="shared" si="8"/>
        <v>0</v>
      </c>
      <c r="F124" s="480"/>
      <c r="G124" s="474">
        <f>D124-'[11]Marts'!D124</f>
        <v>0</v>
      </c>
      <c r="H124" s="487" t="s">
        <v>583</v>
      </c>
      <c r="I124" s="488">
        <v>66</v>
      </c>
      <c r="J124" s="488">
        <v>0</v>
      </c>
      <c r="K124" s="488">
        <v>0</v>
      </c>
      <c r="L124" s="82">
        <v>0</v>
      </c>
      <c r="M124" s="82"/>
      <c r="N124" s="488">
        <v>0</v>
      </c>
    </row>
    <row r="125" spans="1:14" s="481" customFormat="1" ht="12.75">
      <c r="A125" s="484" t="s">
        <v>593</v>
      </c>
      <c r="B125" s="485">
        <f>B126</f>
        <v>6567</v>
      </c>
      <c r="C125" s="485">
        <f>C126</f>
        <v>0</v>
      </c>
      <c r="D125" s="485">
        <f>D126</f>
        <v>0</v>
      </c>
      <c r="E125" s="480">
        <f t="shared" si="8"/>
        <v>0</v>
      </c>
      <c r="F125" s="480"/>
      <c r="G125" s="474">
        <f>D125-'[11]Marts'!D125</f>
        <v>0</v>
      </c>
      <c r="H125" s="484" t="s">
        <v>593</v>
      </c>
      <c r="I125" s="485">
        <v>7</v>
      </c>
      <c r="J125" s="485">
        <v>0</v>
      </c>
      <c r="K125" s="485">
        <v>0</v>
      </c>
      <c r="L125" s="486">
        <v>0</v>
      </c>
      <c r="M125" s="485"/>
      <c r="N125" s="485">
        <v>0</v>
      </c>
    </row>
    <row r="126" spans="1:104" s="60" customFormat="1" ht="12.75">
      <c r="A126" s="487" t="s">
        <v>583</v>
      </c>
      <c r="B126" s="488">
        <v>6567</v>
      </c>
      <c r="C126" s="488"/>
      <c r="D126" s="488"/>
      <c r="E126" s="480"/>
      <c r="F126" s="480"/>
      <c r="G126" s="474">
        <f>D126-'[11]Marts'!D126</f>
        <v>0</v>
      </c>
      <c r="H126" s="487" t="s">
        <v>583</v>
      </c>
      <c r="I126" s="488">
        <v>7</v>
      </c>
      <c r="J126" s="488">
        <v>0</v>
      </c>
      <c r="K126" s="488">
        <v>0</v>
      </c>
      <c r="L126" s="82">
        <v>0</v>
      </c>
      <c r="M126" s="82"/>
      <c r="N126" s="488">
        <v>0</v>
      </c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</row>
    <row r="127" spans="1:14" ht="12.75">
      <c r="A127" s="477" t="s">
        <v>594</v>
      </c>
      <c r="B127" s="496" t="s">
        <v>595</v>
      </c>
      <c r="C127" s="496" t="s">
        <v>595</v>
      </c>
      <c r="D127" s="475">
        <f>D128+D129</f>
        <v>0</v>
      </c>
      <c r="E127" s="496" t="s">
        <v>595</v>
      </c>
      <c r="F127" s="496" t="s">
        <v>595</v>
      </c>
      <c r="G127" s="474">
        <f>D127-'[11]Marts'!D127</f>
        <v>0</v>
      </c>
      <c r="H127" s="477" t="s">
        <v>594</v>
      </c>
      <c r="I127" s="496" t="s">
        <v>595</v>
      </c>
      <c r="J127" s="496" t="s">
        <v>595</v>
      </c>
      <c r="K127" s="475">
        <v>0</v>
      </c>
      <c r="L127" s="496" t="s">
        <v>595</v>
      </c>
      <c r="M127" s="496" t="s">
        <v>595</v>
      </c>
      <c r="N127" s="475">
        <v>0</v>
      </c>
    </row>
    <row r="128" spans="1:14" ht="12.75">
      <c r="A128" s="487" t="s">
        <v>583</v>
      </c>
      <c r="B128" s="497" t="s">
        <v>595</v>
      </c>
      <c r="C128" s="497" t="s">
        <v>595</v>
      </c>
      <c r="D128" s="488"/>
      <c r="E128" s="497" t="s">
        <v>595</v>
      </c>
      <c r="F128" s="497" t="s">
        <v>595</v>
      </c>
      <c r="G128" s="474">
        <f>D128-'[11]Marts'!D128</f>
        <v>0</v>
      </c>
      <c r="H128" s="487" t="s">
        <v>583</v>
      </c>
      <c r="I128" s="497" t="s">
        <v>595</v>
      </c>
      <c r="J128" s="497" t="s">
        <v>595</v>
      </c>
      <c r="K128" s="488">
        <v>0</v>
      </c>
      <c r="L128" s="497" t="s">
        <v>595</v>
      </c>
      <c r="M128" s="497" t="s">
        <v>595</v>
      </c>
      <c r="N128" s="488">
        <v>0</v>
      </c>
    </row>
    <row r="129" spans="1:14" ht="12.75">
      <c r="A129" s="487" t="s">
        <v>584</v>
      </c>
      <c r="B129" s="497" t="s">
        <v>595</v>
      </c>
      <c r="C129" s="497" t="s">
        <v>595</v>
      </c>
      <c r="D129" s="488"/>
      <c r="E129" s="497" t="s">
        <v>595</v>
      </c>
      <c r="F129" s="497" t="s">
        <v>595</v>
      </c>
      <c r="G129" s="474">
        <f>D129-'[11]Marts'!D129</f>
        <v>0</v>
      </c>
      <c r="H129" s="487" t="s">
        <v>584</v>
      </c>
      <c r="I129" s="497" t="s">
        <v>595</v>
      </c>
      <c r="J129" s="497" t="s">
        <v>595</v>
      </c>
      <c r="K129" s="488">
        <v>0</v>
      </c>
      <c r="L129" s="497" t="s">
        <v>595</v>
      </c>
      <c r="M129" s="497" t="s">
        <v>595</v>
      </c>
      <c r="N129" s="488">
        <v>0</v>
      </c>
    </row>
    <row r="130" ht="12.75">
      <c r="H130" s="38"/>
    </row>
    <row r="133" spans="8:14" ht="14.25">
      <c r="H133" s="742" t="s">
        <v>39</v>
      </c>
      <c r="I133" s="742"/>
      <c r="J133" s="742"/>
      <c r="K133" s="742"/>
      <c r="L133" s="742"/>
      <c r="M133" s="742"/>
      <c r="N133" s="742"/>
    </row>
    <row r="137" spans="8:14" ht="12.75">
      <c r="H137" s="1"/>
      <c r="I137" s="1"/>
      <c r="J137" s="1"/>
      <c r="K137" s="1"/>
      <c r="L137" s="1"/>
      <c r="M137" s="1"/>
      <c r="N137" s="1"/>
    </row>
    <row r="138" spans="8:14" ht="12.75">
      <c r="H138" s="1" t="s">
        <v>171</v>
      </c>
      <c r="I138" s="1"/>
      <c r="J138" s="1"/>
      <c r="K138" s="1"/>
      <c r="L138" s="1"/>
      <c r="M138" s="1"/>
      <c r="N138" s="1"/>
    </row>
    <row r="139" spans="8:14" ht="12.75">
      <c r="H139" s="1" t="s">
        <v>34</v>
      </c>
      <c r="I139" s="1"/>
      <c r="J139" s="1"/>
      <c r="K139" s="1"/>
      <c r="L139" s="1"/>
      <c r="M139" s="1"/>
      <c r="N139" s="1"/>
    </row>
    <row r="140" spans="8:14" ht="12.75">
      <c r="H140" s="1"/>
      <c r="I140" s="1"/>
      <c r="J140" s="1"/>
      <c r="K140" s="1"/>
      <c r="L140" s="1"/>
      <c r="M140" s="1"/>
      <c r="N140" s="1"/>
    </row>
    <row r="141" spans="9:14" ht="12.75">
      <c r="I141" s="1"/>
      <c r="J141" s="1"/>
      <c r="K141" s="1"/>
      <c r="L141" s="1"/>
      <c r="M141" s="1"/>
      <c r="N141" s="1"/>
    </row>
    <row r="142" spans="9:14" ht="12.75">
      <c r="I142" s="1"/>
      <c r="J142" s="1"/>
      <c r="K142" s="1"/>
      <c r="L142" s="1"/>
      <c r="M142" s="1"/>
      <c r="N142" s="1"/>
    </row>
    <row r="143" spans="8:14" ht="12.75">
      <c r="H143" s="1"/>
      <c r="I143" s="1"/>
      <c r="J143" s="1"/>
      <c r="K143" s="1"/>
      <c r="L143" s="1"/>
      <c r="M143" s="1"/>
      <c r="N143" s="1"/>
    </row>
    <row r="144" spans="8:14" ht="12.75">
      <c r="H144" s="1"/>
      <c r="I144" s="1"/>
      <c r="J144" s="1"/>
      <c r="K144" s="1"/>
      <c r="L144" s="1"/>
      <c r="M144" s="1"/>
      <c r="N144" s="1"/>
    </row>
    <row r="145" spans="9:14" ht="12.75">
      <c r="I145" s="1"/>
      <c r="J145" s="1"/>
      <c r="K145" s="1"/>
      <c r="L145" s="1"/>
      <c r="M145" s="1"/>
      <c r="N145" s="1"/>
    </row>
    <row r="146" spans="9:14" ht="12.75">
      <c r="I146" s="1"/>
      <c r="J146" s="1"/>
      <c r="K146" s="1"/>
      <c r="L146" s="1"/>
      <c r="M146" s="1"/>
      <c r="N146" s="1"/>
    </row>
    <row r="147" spans="8:14" ht="12.75">
      <c r="H147" s="1"/>
      <c r="I147" s="1"/>
      <c r="J147" s="1"/>
      <c r="K147" s="1"/>
      <c r="L147" s="1"/>
      <c r="M147" s="1"/>
      <c r="N147" s="1"/>
    </row>
    <row r="148" spans="8:14" ht="12.75">
      <c r="H148" s="1"/>
      <c r="I148" s="1"/>
      <c r="J148" s="1"/>
      <c r="K148" s="1"/>
      <c r="L148" s="1"/>
      <c r="M148" s="1"/>
      <c r="N148" s="1"/>
    </row>
    <row r="149" spans="9:14" ht="12.75">
      <c r="I149" s="1"/>
      <c r="J149" s="1"/>
      <c r="K149" s="1"/>
      <c r="L149" s="1"/>
      <c r="M149" s="1"/>
      <c r="N149" s="1"/>
    </row>
    <row r="150" spans="9:14" ht="12.75">
      <c r="I150" s="1"/>
      <c r="J150" s="1"/>
      <c r="K150" s="1"/>
      <c r="L150" s="1"/>
      <c r="M150" s="1"/>
      <c r="N150" s="1"/>
    </row>
    <row r="151" spans="8:14" ht="12.75">
      <c r="H151" s="1"/>
      <c r="I151" s="1"/>
      <c r="J151" s="1"/>
      <c r="K151" s="1"/>
      <c r="L151" s="1"/>
      <c r="M151" s="1"/>
      <c r="N151" s="1"/>
    </row>
    <row r="152" spans="8:14" ht="12.75">
      <c r="H152" s="1"/>
      <c r="I152" s="1"/>
      <c r="J152" s="1"/>
      <c r="K152" s="1"/>
      <c r="L152" s="1"/>
      <c r="M152" s="1"/>
      <c r="N152" s="1"/>
    </row>
    <row r="153" spans="8:14" ht="12.75">
      <c r="H153" s="1"/>
      <c r="I153" s="1"/>
      <c r="J153" s="1"/>
      <c r="K153" s="1"/>
      <c r="L153" s="1"/>
      <c r="M153" s="1"/>
      <c r="N153" s="1"/>
    </row>
    <row r="154" spans="8:14" ht="12.75">
      <c r="H154" s="1"/>
      <c r="I154" s="1"/>
      <c r="J154" s="1"/>
      <c r="K154" s="1"/>
      <c r="L154" s="1"/>
      <c r="M154" s="1"/>
      <c r="N154" s="1"/>
    </row>
    <row r="155" spans="8:14" ht="12.75">
      <c r="H155" s="1"/>
      <c r="I155" s="1"/>
      <c r="J155" s="1"/>
      <c r="K155" s="1"/>
      <c r="L155" s="1"/>
      <c r="M155" s="1"/>
      <c r="N155" s="1"/>
    </row>
    <row r="156" spans="8:14" ht="12.75">
      <c r="H156" s="1"/>
      <c r="I156" s="1"/>
      <c r="J156" s="1"/>
      <c r="K156" s="1"/>
      <c r="L156" s="1"/>
      <c r="M156" s="1"/>
      <c r="N156" s="1"/>
    </row>
    <row r="157" spans="8:14" ht="12.75">
      <c r="H157" s="1"/>
      <c r="I157" s="1"/>
      <c r="J157" s="1"/>
      <c r="K157" s="1"/>
      <c r="L157" s="1"/>
      <c r="M157" s="1"/>
      <c r="N157" s="1"/>
    </row>
    <row r="158" spans="8:14" ht="12.75">
      <c r="H158" s="1"/>
      <c r="I158" s="1"/>
      <c r="J158" s="1"/>
      <c r="K158" s="1"/>
      <c r="L158" s="1"/>
      <c r="M158" s="1"/>
      <c r="N158" s="1"/>
    </row>
    <row r="159" spans="8:14" ht="12.75">
      <c r="H159" s="1"/>
      <c r="I159" s="1"/>
      <c r="J159" s="1"/>
      <c r="K159" s="1"/>
      <c r="L159" s="1"/>
      <c r="M159" s="1"/>
      <c r="N159" s="1"/>
    </row>
    <row r="160" spans="8:14" ht="12.75">
      <c r="H160" s="1"/>
      <c r="I160" s="1"/>
      <c r="J160" s="1"/>
      <c r="K160" s="1"/>
      <c r="L160" s="1"/>
      <c r="M160" s="1"/>
      <c r="N160" s="1"/>
    </row>
    <row r="161" spans="8:14" ht="12.75">
      <c r="H161" s="1"/>
      <c r="I161" s="1"/>
      <c r="J161" s="1"/>
      <c r="K161" s="1"/>
      <c r="L161" s="1"/>
      <c r="M161" s="1"/>
      <c r="N161" s="1"/>
    </row>
    <row r="162" spans="8:14" ht="12.75">
      <c r="H162" s="1"/>
      <c r="I162" s="1"/>
      <c r="J162" s="1"/>
      <c r="K162" s="1"/>
      <c r="L162" s="1"/>
      <c r="M162" s="1"/>
      <c r="N162" s="1"/>
    </row>
    <row r="163" spans="8:14" ht="12.75">
      <c r="H163" s="1"/>
      <c r="I163" s="1"/>
      <c r="J163" s="1"/>
      <c r="K163" s="1"/>
      <c r="L163" s="1"/>
      <c r="M163" s="1"/>
      <c r="N163" s="1"/>
    </row>
    <row r="164" spans="8:14" ht="12.75">
      <c r="H164" s="1"/>
      <c r="I164" s="1"/>
      <c r="J164" s="1"/>
      <c r="K164" s="1"/>
      <c r="L164" s="1"/>
      <c r="M164" s="1"/>
      <c r="N164" s="1"/>
    </row>
    <row r="165" spans="8:14" ht="12.75">
      <c r="H165" s="1"/>
      <c r="I165" s="1"/>
      <c r="J165" s="1"/>
      <c r="K165" s="1"/>
      <c r="L165" s="1"/>
      <c r="M165" s="1"/>
      <c r="N165" s="1"/>
    </row>
    <row r="166" spans="8:14" ht="12.75">
      <c r="H166" s="1"/>
      <c r="I166" s="1"/>
      <c r="J166" s="1"/>
      <c r="K166" s="1"/>
      <c r="L166" s="1"/>
      <c r="M166" s="1"/>
      <c r="N166" s="1"/>
    </row>
    <row r="167" spans="8:14" ht="12.75">
      <c r="H167" s="1"/>
      <c r="I167" s="1"/>
      <c r="J167" s="1"/>
      <c r="K167" s="1"/>
      <c r="L167" s="1"/>
      <c r="M167" s="1"/>
      <c r="N167" s="1"/>
    </row>
    <row r="168" spans="8:14" ht="12.75">
      <c r="H168" s="1"/>
      <c r="I168" s="1"/>
      <c r="J168" s="1"/>
      <c r="K168" s="1"/>
      <c r="L168" s="1"/>
      <c r="M168" s="1"/>
      <c r="N168" s="1"/>
    </row>
    <row r="169" spans="8:14" ht="12.75">
      <c r="H169" s="1"/>
      <c r="I169" s="1"/>
      <c r="J169" s="1"/>
      <c r="K169" s="1"/>
      <c r="L169" s="1"/>
      <c r="M169" s="1"/>
      <c r="N169" s="1"/>
    </row>
    <row r="170" spans="8:14" ht="12.75">
      <c r="H170" s="1"/>
      <c r="I170" s="1"/>
      <c r="J170" s="1"/>
      <c r="K170" s="1"/>
      <c r="L170" s="1"/>
      <c r="M170" s="1"/>
      <c r="N170" s="1"/>
    </row>
    <row r="171" spans="8:14" ht="12.75">
      <c r="H171" s="1"/>
      <c r="I171" s="1"/>
      <c r="J171" s="1"/>
      <c r="K171" s="1"/>
      <c r="L171" s="1"/>
      <c r="M171" s="1"/>
      <c r="N171" s="1"/>
    </row>
    <row r="172" spans="8:14" ht="12.75">
      <c r="H172" s="1"/>
      <c r="I172" s="1"/>
      <c r="J172" s="1"/>
      <c r="K172" s="1"/>
      <c r="L172" s="1"/>
      <c r="M172" s="1"/>
      <c r="N172" s="1"/>
    </row>
    <row r="173" spans="8:14" ht="12.75">
      <c r="H173" s="1"/>
      <c r="I173" s="1"/>
      <c r="J173" s="1"/>
      <c r="K173" s="1"/>
      <c r="L173" s="1"/>
      <c r="M173" s="1"/>
      <c r="N173" s="1"/>
    </row>
    <row r="174" spans="8:14" ht="12.75">
      <c r="H174" s="1"/>
      <c r="I174" s="1"/>
      <c r="J174" s="1"/>
      <c r="K174" s="1"/>
      <c r="L174" s="1"/>
      <c r="M174" s="1"/>
      <c r="N174" s="1"/>
    </row>
    <row r="175" spans="8:14" ht="12.75">
      <c r="H175" s="1"/>
      <c r="I175" s="1"/>
      <c r="J175" s="1"/>
      <c r="K175" s="1"/>
      <c r="L175" s="1"/>
      <c r="M175" s="1"/>
      <c r="N175" s="1"/>
    </row>
    <row r="176" spans="8:14" ht="12.75">
      <c r="H176" s="1"/>
      <c r="I176" s="1"/>
      <c r="J176" s="1"/>
      <c r="K176" s="1"/>
      <c r="L176" s="1"/>
      <c r="M176" s="1"/>
      <c r="N176" s="1"/>
    </row>
    <row r="177" spans="8:14" ht="12.75">
      <c r="H177" s="1"/>
      <c r="I177" s="1"/>
      <c r="J177" s="1"/>
      <c r="K177" s="1"/>
      <c r="L177" s="1"/>
      <c r="M177" s="1"/>
      <c r="N177" s="1"/>
    </row>
    <row r="178" spans="8:14" ht="12.75">
      <c r="H178" s="1"/>
      <c r="I178" s="1"/>
      <c r="J178" s="1"/>
      <c r="K178" s="1"/>
      <c r="L178" s="1"/>
      <c r="M178" s="1"/>
      <c r="N178" s="1"/>
    </row>
    <row r="179" spans="8:14" ht="12.75">
      <c r="H179" s="1"/>
      <c r="I179" s="1"/>
      <c r="J179" s="1"/>
      <c r="K179" s="1"/>
      <c r="L179" s="1"/>
      <c r="M179" s="1"/>
      <c r="N179" s="1"/>
    </row>
    <row r="180" spans="8:14" ht="12.75">
      <c r="H180" s="1"/>
      <c r="I180" s="1"/>
      <c r="J180" s="1"/>
      <c r="K180" s="1"/>
      <c r="L180" s="1"/>
      <c r="M180" s="1"/>
      <c r="N180" s="1"/>
    </row>
    <row r="181" spans="8:14" ht="12.75">
      <c r="H181" s="1"/>
      <c r="I181" s="1"/>
      <c r="J181" s="1"/>
      <c r="K181" s="1"/>
      <c r="L181" s="1"/>
      <c r="M181" s="1"/>
      <c r="N181" s="1"/>
    </row>
    <row r="182" spans="8:14" ht="12.75">
      <c r="H182" s="1"/>
      <c r="I182" s="1"/>
      <c r="J182" s="1"/>
      <c r="K182" s="1"/>
      <c r="L182" s="1"/>
      <c r="M182" s="1"/>
      <c r="N182" s="1"/>
    </row>
    <row r="183" spans="8:14" ht="12.75">
      <c r="H183" s="1"/>
      <c r="I183" s="1"/>
      <c r="J183" s="1"/>
      <c r="K183" s="1"/>
      <c r="L183" s="1"/>
      <c r="M183" s="1"/>
      <c r="N183" s="1"/>
    </row>
    <row r="184" spans="8:14" ht="12.75">
      <c r="H184" s="1"/>
      <c r="I184" s="1"/>
      <c r="J184" s="1"/>
      <c r="K184" s="1"/>
      <c r="L184" s="1"/>
      <c r="M184" s="1"/>
      <c r="N184" s="1"/>
    </row>
    <row r="185" spans="8:14" ht="12.75">
      <c r="H185" s="1"/>
      <c r="I185" s="1"/>
      <c r="J185" s="1"/>
      <c r="K185" s="1"/>
      <c r="L185" s="1"/>
      <c r="M185" s="1"/>
      <c r="N185" s="1"/>
    </row>
    <row r="186" spans="8:14" ht="12.75">
      <c r="H186" s="1"/>
      <c r="I186" s="1"/>
      <c r="J186" s="1"/>
      <c r="K186" s="1"/>
      <c r="L186" s="1"/>
      <c r="M186" s="1"/>
      <c r="N186" s="1"/>
    </row>
    <row r="187" spans="8:14" ht="12.75">
      <c r="H187" s="1"/>
      <c r="I187" s="1"/>
      <c r="J187" s="1"/>
      <c r="K187" s="1"/>
      <c r="L187" s="1"/>
      <c r="M187" s="1"/>
      <c r="N187" s="1"/>
    </row>
    <row r="188" spans="8:14" ht="12.75">
      <c r="H188" s="1"/>
      <c r="I188" s="1"/>
      <c r="J188" s="1"/>
      <c r="K188" s="1"/>
      <c r="L188" s="1"/>
      <c r="M188" s="1"/>
      <c r="N188" s="1"/>
    </row>
    <row r="189" spans="8:14" ht="12.75">
      <c r="H189" s="1"/>
      <c r="I189" s="1"/>
      <c r="J189" s="1"/>
      <c r="K189" s="1"/>
      <c r="L189" s="1"/>
      <c r="M189" s="1"/>
      <c r="N189" s="1"/>
    </row>
    <row r="190" spans="8:14" ht="12.75">
      <c r="H190" s="1"/>
      <c r="I190" s="1"/>
      <c r="J190" s="1"/>
      <c r="K190" s="1"/>
      <c r="L190" s="1"/>
      <c r="M190" s="1"/>
      <c r="N190" s="1"/>
    </row>
    <row r="191" spans="8:14" ht="12.75">
      <c r="H191" s="1"/>
      <c r="I191" s="1"/>
      <c r="J191" s="1"/>
      <c r="K191" s="1"/>
      <c r="L191" s="1"/>
      <c r="M191" s="1"/>
      <c r="N191" s="1"/>
    </row>
    <row r="192" spans="8:14" ht="12.75">
      <c r="H192" s="1"/>
      <c r="I192" s="1"/>
      <c r="J192" s="1"/>
      <c r="K192" s="1"/>
      <c r="L192" s="1"/>
      <c r="M192" s="1"/>
      <c r="N192" s="1"/>
    </row>
    <row r="193" spans="8:14" ht="12.75">
      <c r="H193" s="1"/>
      <c r="I193" s="1"/>
      <c r="J193" s="1"/>
      <c r="K193" s="1"/>
      <c r="L193" s="1"/>
      <c r="M193" s="1"/>
      <c r="N193" s="1"/>
    </row>
    <row r="194" spans="8:14" ht="12.75">
      <c r="H194" s="1"/>
      <c r="I194" s="1"/>
      <c r="J194" s="1"/>
      <c r="K194" s="1"/>
      <c r="L194" s="1"/>
      <c r="M194" s="1"/>
      <c r="N194" s="1"/>
    </row>
    <row r="195" spans="8:14" ht="12.75">
      <c r="H195" s="1"/>
      <c r="I195" s="1"/>
      <c r="J195" s="1"/>
      <c r="K195" s="1"/>
      <c r="L195" s="1"/>
      <c r="M195" s="1"/>
      <c r="N195" s="1"/>
    </row>
    <row r="196" spans="8:14" ht="12.75">
      <c r="H196" s="1"/>
      <c r="I196" s="1"/>
      <c r="J196" s="1"/>
      <c r="K196" s="1"/>
      <c r="L196" s="1"/>
      <c r="M196" s="1"/>
      <c r="N196" s="1"/>
    </row>
    <row r="197" spans="8:14" ht="12.75">
      <c r="H197" s="1"/>
      <c r="I197" s="1"/>
      <c r="J197" s="1"/>
      <c r="K197" s="1"/>
      <c r="L197" s="1"/>
      <c r="M197" s="1"/>
      <c r="N197" s="1"/>
    </row>
    <row r="198" spans="8:14" ht="12.75">
      <c r="H198" s="1"/>
      <c r="I198" s="1"/>
      <c r="J198" s="1"/>
      <c r="K198" s="1"/>
      <c r="L198" s="1"/>
      <c r="M198" s="1"/>
      <c r="N198" s="1"/>
    </row>
    <row r="199" spans="8:14" ht="12.75">
      <c r="H199" s="1"/>
      <c r="I199" s="1"/>
      <c r="J199" s="1"/>
      <c r="K199" s="1"/>
      <c r="L199" s="1"/>
      <c r="M199" s="1"/>
      <c r="N199" s="1"/>
    </row>
    <row r="200" spans="8:14" ht="12.75">
      <c r="H200" s="1"/>
      <c r="I200" s="1"/>
      <c r="J200" s="1"/>
      <c r="K200" s="1"/>
      <c r="L200" s="1"/>
      <c r="M200" s="1"/>
      <c r="N200" s="1"/>
    </row>
    <row r="201" spans="8:14" ht="12.75">
      <c r="H201" s="1"/>
      <c r="I201" s="1"/>
      <c r="J201" s="1"/>
      <c r="K201" s="1"/>
      <c r="L201" s="1"/>
      <c r="M201" s="1"/>
      <c r="N201" s="1"/>
    </row>
    <row r="202" spans="8:14" ht="12.75">
      <c r="H202" s="1"/>
      <c r="I202" s="1"/>
      <c r="J202" s="1"/>
      <c r="K202" s="1"/>
      <c r="L202" s="1"/>
      <c r="M202" s="1"/>
      <c r="N202" s="1"/>
    </row>
    <row r="203" spans="8:14" ht="12.75">
      <c r="H203" s="1"/>
      <c r="I203" s="1"/>
      <c r="J203" s="1"/>
      <c r="K203" s="1"/>
      <c r="L203" s="1"/>
      <c r="M203" s="1"/>
      <c r="N203" s="1"/>
    </row>
    <row r="204" spans="8:14" ht="12.75">
      <c r="H204" s="1"/>
      <c r="I204" s="1"/>
      <c r="J204" s="1"/>
      <c r="K204" s="1"/>
      <c r="L204" s="1"/>
      <c r="M204" s="1"/>
      <c r="N204" s="1"/>
    </row>
    <row r="205" spans="8:14" ht="12.75">
      <c r="H205" s="1"/>
      <c r="I205" s="1"/>
      <c r="J205" s="1"/>
      <c r="K205" s="1"/>
      <c r="L205" s="1"/>
      <c r="M205" s="1"/>
      <c r="N205" s="1"/>
    </row>
    <row r="206" spans="8:14" ht="12.75">
      <c r="H206" s="1"/>
      <c r="I206" s="1"/>
      <c r="J206" s="1"/>
      <c r="K206" s="1"/>
      <c r="L206" s="1"/>
      <c r="M206" s="1"/>
      <c r="N206" s="1"/>
    </row>
    <row r="207" spans="8:14" ht="12.75">
      <c r="H207" s="1"/>
      <c r="I207" s="1"/>
      <c r="J207" s="1"/>
      <c r="K207" s="1"/>
      <c r="L207" s="1"/>
      <c r="M207" s="1"/>
      <c r="N207" s="1"/>
    </row>
    <row r="208" spans="8:14" ht="12.75">
      <c r="H208" s="1"/>
      <c r="I208" s="1"/>
      <c r="J208" s="1"/>
      <c r="K208" s="1"/>
      <c r="L208" s="1"/>
      <c r="M208" s="1"/>
      <c r="N208" s="1"/>
    </row>
    <row r="209" spans="8:14" ht="12.75">
      <c r="H209" s="1"/>
      <c r="I209" s="1"/>
      <c r="J209" s="1"/>
      <c r="K209" s="1"/>
      <c r="L209" s="1"/>
      <c r="M209" s="1"/>
      <c r="N209" s="1"/>
    </row>
    <row r="210" spans="8:14" ht="12.75">
      <c r="H210" s="1"/>
      <c r="I210" s="1"/>
      <c r="J210" s="1"/>
      <c r="K210" s="1"/>
      <c r="L210" s="1"/>
      <c r="M210" s="1"/>
      <c r="N210" s="1"/>
    </row>
    <row r="211" spans="8:14" ht="12.75">
      <c r="H211" s="1"/>
      <c r="I211" s="1"/>
      <c r="J211" s="1"/>
      <c r="K211" s="1"/>
      <c r="L211" s="1"/>
      <c r="M211" s="1"/>
      <c r="N211" s="1"/>
    </row>
    <row r="212" spans="8:14" ht="12.75">
      <c r="H212" s="1"/>
      <c r="I212" s="1"/>
      <c r="J212" s="1"/>
      <c r="K212" s="1"/>
      <c r="L212" s="1"/>
      <c r="M212" s="1"/>
      <c r="N212" s="1"/>
    </row>
    <row r="213" spans="1:14" ht="12.75">
      <c r="A213" s="1"/>
      <c r="B213" s="1"/>
      <c r="C213" s="1"/>
      <c r="D213" s="1"/>
      <c r="E213" s="1"/>
      <c r="F213" s="1"/>
      <c r="H213" s="1"/>
      <c r="I213" s="1"/>
      <c r="J213" s="1"/>
      <c r="K213" s="1"/>
      <c r="L213" s="1"/>
      <c r="M213" s="1"/>
      <c r="N213" s="1"/>
    </row>
    <row r="214" spans="1:14" ht="12.75">
      <c r="A214" s="1"/>
      <c r="B214" s="1"/>
      <c r="C214" s="1"/>
      <c r="D214" s="1"/>
      <c r="E214" s="1"/>
      <c r="F214" s="1"/>
      <c r="H214" s="1"/>
      <c r="I214" s="1"/>
      <c r="J214" s="1"/>
      <c r="K214" s="1"/>
      <c r="L214" s="1"/>
      <c r="M214" s="1"/>
      <c r="N214" s="1"/>
    </row>
    <row r="215" spans="1:14" ht="12.75">
      <c r="A215" s="1"/>
      <c r="B215" s="1"/>
      <c r="C215" s="1"/>
      <c r="D215" s="1"/>
      <c r="E215" s="1"/>
      <c r="F215" s="1"/>
      <c r="H215" s="1"/>
      <c r="I215" s="1"/>
      <c r="J215" s="1"/>
      <c r="K215" s="1"/>
      <c r="L215" s="1"/>
      <c r="M215" s="1"/>
      <c r="N215" s="1"/>
    </row>
    <row r="216" spans="1:14" ht="12.75">
      <c r="A216" s="1"/>
      <c r="B216" s="1"/>
      <c r="C216" s="1"/>
      <c r="D216" s="1"/>
      <c r="E216" s="1"/>
      <c r="F216" s="1"/>
      <c r="H216" s="1"/>
      <c r="I216" s="1"/>
      <c r="J216" s="1"/>
      <c r="K216" s="1"/>
      <c r="L216" s="1"/>
      <c r="M216" s="1"/>
      <c r="N216" s="1"/>
    </row>
    <row r="217" spans="1:14" ht="12.75">
      <c r="A217" s="1"/>
      <c r="B217" s="1"/>
      <c r="C217" s="1"/>
      <c r="D217" s="1"/>
      <c r="E217" s="1"/>
      <c r="F217" s="1"/>
      <c r="H217" s="1"/>
      <c r="I217" s="1"/>
      <c r="J217" s="1"/>
      <c r="K217" s="1"/>
      <c r="L217" s="1"/>
      <c r="M217" s="1"/>
      <c r="N217" s="1"/>
    </row>
    <row r="218" spans="1:14" ht="12.75">
      <c r="A218" s="1"/>
      <c r="B218" s="1"/>
      <c r="C218" s="1"/>
      <c r="D218" s="1"/>
      <c r="E218" s="1"/>
      <c r="F218" s="1"/>
      <c r="H218" s="1"/>
      <c r="I218" s="1"/>
      <c r="J218" s="1"/>
      <c r="K218" s="1"/>
      <c r="L218" s="1"/>
      <c r="M218" s="1"/>
      <c r="N218" s="1"/>
    </row>
    <row r="219" spans="1:14" ht="12.75">
      <c r="A219" s="1"/>
      <c r="B219" s="1"/>
      <c r="C219" s="1"/>
      <c r="D219" s="1"/>
      <c r="E219" s="1"/>
      <c r="F219" s="1"/>
      <c r="H219" s="1"/>
      <c r="I219" s="1"/>
      <c r="J219" s="1"/>
      <c r="K219" s="1"/>
      <c r="L219" s="1"/>
      <c r="M219" s="1"/>
      <c r="N219" s="1"/>
    </row>
    <row r="220" spans="1:14" ht="12.75">
      <c r="A220" s="1"/>
      <c r="B220" s="1"/>
      <c r="C220" s="1"/>
      <c r="D220" s="1"/>
      <c r="E220" s="1"/>
      <c r="F220" s="1"/>
      <c r="H220" s="1"/>
      <c r="I220" s="1"/>
      <c r="J220" s="1"/>
      <c r="K220" s="1"/>
      <c r="L220" s="1"/>
      <c r="M220" s="1"/>
      <c r="N220" s="1"/>
    </row>
    <row r="221" spans="1:14" ht="12.75">
      <c r="A221" s="1"/>
      <c r="B221" s="1"/>
      <c r="C221" s="1"/>
      <c r="D221" s="1"/>
      <c r="E221" s="1"/>
      <c r="F221" s="1"/>
      <c r="H221" s="1"/>
      <c r="I221" s="1"/>
      <c r="J221" s="1"/>
      <c r="K221" s="1"/>
      <c r="L221" s="1"/>
      <c r="M221" s="1"/>
      <c r="N221" s="1"/>
    </row>
    <row r="222" spans="1:14" ht="12.75">
      <c r="A222" s="1"/>
      <c r="B222" s="1"/>
      <c r="C222" s="1"/>
      <c r="D222" s="1"/>
      <c r="E222" s="1"/>
      <c r="F222" s="1"/>
      <c r="H222" s="1"/>
      <c r="I222" s="1"/>
      <c r="J222" s="1"/>
      <c r="K222" s="1"/>
      <c r="L222" s="1"/>
      <c r="M222" s="1"/>
      <c r="N222" s="1"/>
    </row>
    <row r="223" spans="1:14" ht="12.75">
      <c r="A223" s="1"/>
      <c r="B223" s="1"/>
      <c r="C223" s="1"/>
      <c r="D223" s="1"/>
      <c r="E223" s="1"/>
      <c r="F223" s="1"/>
      <c r="H223" s="1"/>
      <c r="I223" s="1"/>
      <c r="J223" s="1"/>
      <c r="K223" s="1"/>
      <c r="L223" s="1"/>
      <c r="M223" s="1"/>
      <c r="N223" s="1"/>
    </row>
    <row r="224" spans="1:14" ht="12.75">
      <c r="A224" s="1"/>
      <c r="B224" s="1"/>
      <c r="C224" s="1"/>
      <c r="D224" s="1"/>
      <c r="E224" s="1"/>
      <c r="F224" s="1"/>
      <c r="H224" s="1"/>
      <c r="I224" s="1"/>
      <c r="J224" s="1"/>
      <c r="K224" s="1"/>
      <c r="L224" s="1"/>
      <c r="M224" s="1"/>
      <c r="N224" s="1"/>
    </row>
    <row r="225" spans="1:14" ht="12.75">
      <c r="A225" s="1"/>
      <c r="B225" s="1"/>
      <c r="C225" s="1"/>
      <c r="D225" s="1"/>
      <c r="E225" s="1"/>
      <c r="F225" s="1"/>
      <c r="H225" s="1"/>
      <c r="I225" s="1"/>
      <c r="J225" s="1"/>
      <c r="K225" s="1"/>
      <c r="L225" s="1"/>
      <c r="M225" s="1"/>
      <c r="N225" s="1"/>
    </row>
    <row r="226" spans="1:14" ht="12.75">
      <c r="A226" s="1"/>
      <c r="B226" s="1"/>
      <c r="C226" s="1"/>
      <c r="D226" s="1"/>
      <c r="E226" s="1"/>
      <c r="F226" s="1"/>
      <c r="H226" s="1"/>
      <c r="I226" s="1"/>
      <c r="J226" s="1"/>
      <c r="K226" s="1"/>
      <c r="L226" s="1"/>
      <c r="M226" s="1"/>
      <c r="N226" s="1"/>
    </row>
    <row r="227" spans="1:14" ht="12.75">
      <c r="A227" s="1"/>
      <c r="B227" s="1"/>
      <c r="C227" s="1"/>
      <c r="D227" s="1"/>
      <c r="E227" s="1"/>
      <c r="F227" s="1"/>
      <c r="H227" s="1"/>
      <c r="I227" s="1"/>
      <c r="J227" s="1"/>
      <c r="K227" s="1"/>
      <c r="L227" s="1"/>
      <c r="M227" s="1"/>
      <c r="N227" s="1"/>
    </row>
    <row r="228" spans="1:14" ht="12.75">
      <c r="A228" s="1"/>
      <c r="B228" s="1"/>
      <c r="C228" s="1"/>
      <c r="D228" s="1"/>
      <c r="E228" s="1"/>
      <c r="F228" s="1"/>
      <c r="H228" s="1"/>
      <c r="I228" s="1"/>
      <c r="J228" s="1"/>
      <c r="K228" s="1"/>
      <c r="L228" s="1"/>
      <c r="M228" s="1"/>
      <c r="N228" s="1"/>
    </row>
    <row r="229" spans="1:14" ht="12.75">
      <c r="A229" s="1"/>
      <c r="B229" s="1"/>
      <c r="C229" s="1"/>
      <c r="D229" s="1"/>
      <c r="E229" s="1"/>
      <c r="F229" s="1"/>
      <c r="H229" s="1"/>
      <c r="I229" s="1"/>
      <c r="J229" s="1"/>
      <c r="K229" s="1"/>
      <c r="L229" s="1"/>
      <c r="M229" s="1"/>
      <c r="N229" s="1"/>
    </row>
    <row r="230" spans="1:14" ht="12.75">
      <c r="A230" s="1"/>
      <c r="B230" s="1"/>
      <c r="C230" s="1"/>
      <c r="D230" s="1"/>
      <c r="E230" s="1"/>
      <c r="F230" s="1"/>
      <c r="H230" s="1"/>
      <c r="I230" s="1"/>
      <c r="J230" s="1"/>
      <c r="K230" s="1"/>
      <c r="L230" s="1"/>
      <c r="M230" s="1"/>
      <c r="N230" s="1"/>
    </row>
    <row r="231" spans="1:14" ht="12.75">
      <c r="A231" s="1"/>
      <c r="B231" s="1"/>
      <c r="C231" s="1"/>
      <c r="D231" s="1"/>
      <c r="E231" s="1"/>
      <c r="F231" s="1"/>
      <c r="H231" s="1"/>
      <c r="I231" s="1"/>
      <c r="J231" s="1"/>
      <c r="K231" s="1"/>
      <c r="L231" s="1"/>
      <c r="M231" s="1"/>
      <c r="N231" s="1"/>
    </row>
    <row r="232" spans="1:14" ht="12.75">
      <c r="A232" s="1"/>
      <c r="B232" s="1"/>
      <c r="C232" s="1"/>
      <c r="D232" s="1"/>
      <c r="E232" s="1"/>
      <c r="F232" s="1"/>
      <c r="H232" s="1"/>
      <c r="I232" s="1"/>
      <c r="J232" s="1"/>
      <c r="K232" s="1"/>
      <c r="L232" s="1"/>
      <c r="M232" s="1"/>
      <c r="N232" s="1"/>
    </row>
    <row r="233" spans="1:14" ht="12.75">
      <c r="A233" s="1"/>
      <c r="B233" s="1"/>
      <c r="C233" s="1"/>
      <c r="D233" s="1"/>
      <c r="E233" s="1"/>
      <c r="F233" s="1"/>
      <c r="H233" s="1"/>
      <c r="I233" s="1"/>
      <c r="J233" s="1"/>
      <c r="K233" s="1"/>
      <c r="L233" s="1"/>
      <c r="M233" s="1"/>
      <c r="N233" s="1"/>
    </row>
    <row r="234" spans="1:14" ht="12.75">
      <c r="A234" s="1"/>
      <c r="B234" s="1"/>
      <c r="C234" s="1"/>
      <c r="D234" s="1"/>
      <c r="E234" s="1"/>
      <c r="F234" s="1"/>
      <c r="H234" s="1"/>
      <c r="I234" s="1"/>
      <c r="J234" s="1"/>
      <c r="K234" s="1"/>
      <c r="L234" s="1"/>
      <c r="M234" s="1"/>
      <c r="N234" s="1"/>
    </row>
    <row r="235" spans="1:14" ht="12.75">
      <c r="A235" s="1"/>
      <c r="B235" s="1"/>
      <c r="C235" s="1"/>
      <c r="D235" s="1"/>
      <c r="E235" s="1"/>
      <c r="F235" s="1"/>
      <c r="H235" s="1"/>
      <c r="I235" s="1"/>
      <c r="J235" s="1"/>
      <c r="K235" s="1"/>
      <c r="L235" s="1"/>
      <c r="M235" s="1"/>
      <c r="N235" s="1"/>
    </row>
    <row r="236" spans="1:14" ht="12.75">
      <c r="A236" s="1"/>
      <c r="B236" s="1"/>
      <c r="C236" s="1"/>
      <c r="D236" s="1"/>
      <c r="E236" s="1"/>
      <c r="F236" s="1"/>
      <c r="H236" s="1"/>
      <c r="I236" s="1"/>
      <c r="J236" s="1"/>
      <c r="K236" s="1"/>
      <c r="L236" s="1"/>
      <c r="M236" s="1"/>
      <c r="N236" s="1"/>
    </row>
    <row r="237" spans="1:14" ht="12.75">
      <c r="A237" s="1"/>
      <c r="B237" s="1"/>
      <c r="C237" s="1"/>
      <c r="D237" s="1"/>
      <c r="E237" s="1"/>
      <c r="F237" s="1"/>
      <c r="H237" s="1"/>
      <c r="I237" s="1"/>
      <c r="J237" s="1"/>
      <c r="K237" s="1"/>
      <c r="L237" s="1"/>
      <c r="M237" s="1"/>
      <c r="N237" s="1"/>
    </row>
    <row r="238" spans="1:14" ht="12.75">
      <c r="A238" s="1"/>
      <c r="B238" s="1"/>
      <c r="C238" s="1"/>
      <c r="D238" s="1"/>
      <c r="E238" s="1"/>
      <c r="F238" s="1"/>
      <c r="H238" s="1"/>
      <c r="I238" s="1"/>
      <c r="J238" s="1"/>
      <c r="K238" s="1"/>
      <c r="L238" s="1"/>
      <c r="M238" s="1"/>
      <c r="N238" s="1"/>
    </row>
    <row r="239" spans="1:14" ht="12.75">
      <c r="A239" s="1"/>
      <c r="B239" s="1"/>
      <c r="C239" s="1"/>
      <c r="D239" s="1"/>
      <c r="E239" s="1"/>
      <c r="F239" s="1"/>
      <c r="H239" s="1"/>
      <c r="I239" s="1"/>
      <c r="J239" s="1"/>
      <c r="K239" s="1"/>
      <c r="L239" s="1"/>
      <c r="M239" s="1"/>
      <c r="N239" s="1"/>
    </row>
    <row r="240" spans="1:14" ht="12.75">
      <c r="A240" s="1"/>
      <c r="B240" s="1"/>
      <c r="C240" s="1"/>
      <c r="D240" s="1"/>
      <c r="E240" s="1"/>
      <c r="F240" s="1"/>
      <c r="H240" s="1"/>
      <c r="I240" s="1"/>
      <c r="J240" s="1"/>
      <c r="K240" s="1"/>
      <c r="L240" s="1"/>
      <c r="M240" s="1"/>
      <c r="N240" s="1"/>
    </row>
    <row r="241" spans="1:14" ht="12.75">
      <c r="A241" s="1"/>
      <c r="B241" s="1"/>
      <c r="C241" s="1"/>
      <c r="D241" s="1"/>
      <c r="E241" s="1"/>
      <c r="F241" s="1"/>
      <c r="H241" s="1"/>
      <c r="I241" s="1"/>
      <c r="J241" s="1"/>
      <c r="K241" s="1"/>
      <c r="L241" s="1"/>
      <c r="M241" s="1"/>
      <c r="N241" s="1"/>
    </row>
    <row r="242" spans="1:14" ht="12.75">
      <c r="A242" s="1"/>
      <c r="B242" s="1"/>
      <c r="C242" s="1"/>
      <c r="D242" s="1"/>
      <c r="E242" s="1"/>
      <c r="F242" s="1"/>
      <c r="H242" s="1"/>
      <c r="I242" s="1"/>
      <c r="J242" s="1"/>
      <c r="K242" s="1"/>
      <c r="L242" s="1"/>
      <c r="M242" s="1"/>
      <c r="N242" s="1"/>
    </row>
    <row r="243" spans="1:14" ht="12.75">
      <c r="A243" s="1"/>
      <c r="B243" s="1"/>
      <c r="C243" s="1"/>
      <c r="D243" s="1"/>
      <c r="E243" s="1"/>
      <c r="F243" s="1"/>
      <c r="H243" s="1"/>
      <c r="I243" s="1"/>
      <c r="J243" s="1"/>
      <c r="K243" s="1"/>
      <c r="L243" s="1"/>
      <c r="M243" s="1"/>
      <c r="N243" s="1"/>
    </row>
    <row r="244" spans="1:14" ht="12.75">
      <c r="A244" s="1"/>
      <c r="B244" s="1"/>
      <c r="C244" s="1"/>
      <c r="D244" s="1"/>
      <c r="E244" s="1"/>
      <c r="F244" s="1"/>
      <c r="H244" s="1"/>
      <c r="I244" s="1"/>
      <c r="J244" s="1"/>
      <c r="K244" s="1"/>
      <c r="L244" s="1"/>
      <c r="M244" s="1"/>
      <c r="N244" s="1"/>
    </row>
    <row r="245" spans="1:14" ht="12.75">
      <c r="A245" s="1"/>
      <c r="B245" s="1"/>
      <c r="C245" s="1"/>
      <c r="D245" s="1"/>
      <c r="E245" s="1"/>
      <c r="F245" s="1"/>
      <c r="H245" s="1"/>
      <c r="I245" s="1"/>
      <c r="J245" s="1"/>
      <c r="K245" s="1"/>
      <c r="L245" s="1"/>
      <c r="M245" s="1"/>
      <c r="N245" s="1"/>
    </row>
    <row r="246" spans="1:14" ht="12.75">
      <c r="A246" s="1"/>
      <c r="B246" s="1"/>
      <c r="C246" s="1"/>
      <c r="D246" s="1"/>
      <c r="E246" s="1"/>
      <c r="F246" s="1"/>
      <c r="H246" s="1"/>
      <c r="I246" s="1"/>
      <c r="J246" s="1"/>
      <c r="K246" s="1"/>
      <c r="L246" s="1"/>
      <c r="M246" s="1"/>
      <c r="N246" s="1"/>
    </row>
    <row r="247" spans="1:14" ht="12.75">
      <c r="A247" s="1"/>
      <c r="B247" s="1"/>
      <c r="C247" s="1"/>
      <c r="D247" s="1"/>
      <c r="E247" s="1"/>
      <c r="F247" s="1"/>
      <c r="H247" s="1"/>
      <c r="I247" s="1"/>
      <c r="J247" s="1"/>
      <c r="K247" s="1"/>
      <c r="L247" s="1"/>
      <c r="M247" s="1"/>
      <c r="N247" s="1"/>
    </row>
    <row r="248" spans="1:14" ht="12.75">
      <c r="A248" s="1"/>
      <c r="B248" s="1"/>
      <c r="C248" s="1"/>
      <c r="D248" s="1"/>
      <c r="E248" s="1"/>
      <c r="F248" s="1"/>
      <c r="H248" s="1"/>
      <c r="I248" s="1"/>
      <c r="J248" s="1"/>
      <c r="K248" s="1"/>
      <c r="L248" s="1"/>
      <c r="M248" s="1"/>
      <c r="N248" s="1"/>
    </row>
    <row r="249" spans="1:14" ht="12.75">
      <c r="A249" s="1"/>
      <c r="B249" s="1"/>
      <c r="C249" s="1"/>
      <c r="D249" s="1"/>
      <c r="E249" s="1"/>
      <c r="F249" s="1"/>
      <c r="H249" s="1"/>
      <c r="I249" s="1"/>
      <c r="J249" s="1"/>
      <c r="K249" s="1"/>
      <c r="L249" s="1"/>
      <c r="M249" s="1"/>
      <c r="N249" s="1"/>
    </row>
    <row r="250" spans="1:14" ht="12.75">
      <c r="A250" s="1"/>
      <c r="B250" s="1"/>
      <c r="C250" s="1"/>
      <c r="D250" s="1"/>
      <c r="E250" s="1"/>
      <c r="F250" s="1"/>
      <c r="H250" s="1"/>
      <c r="I250" s="1"/>
      <c r="J250" s="1"/>
      <c r="K250" s="1"/>
      <c r="L250" s="1"/>
      <c r="M250" s="1"/>
      <c r="N250" s="1"/>
    </row>
    <row r="251" spans="1:14" ht="12.75">
      <c r="A251" s="1"/>
      <c r="B251" s="1"/>
      <c r="C251" s="1"/>
      <c r="D251" s="1"/>
      <c r="E251" s="1"/>
      <c r="F251" s="1"/>
      <c r="H251" s="1"/>
      <c r="I251" s="1"/>
      <c r="J251" s="1"/>
      <c r="K251" s="1"/>
      <c r="L251" s="1"/>
      <c r="M251" s="1"/>
      <c r="N251" s="1"/>
    </row>
    <row r="252" spans="1:14" ht="12.75">
      <c r="A252" s="1"/>
      <c r="B252" s="1"/>
      <c r="C252" s="1"/>
      <c r="D252" s="1"/>
      <c r="E252" s="1"/>
      <c r="F252" s="1"/>
      <c r="H252" s="1"/>
      <c r="I252" s="1"/>
      <c r="J252" s="1"/>
      <c r="K252" s="1"/>
      <c r="L252" s="1"/>
      <c r="M252" s="1"/>
      <c r="N252" s="1"/>
    </row>
    <row r="253" spans="1:14" ht="12.75">
      <c r="A253" s="1"/>
      <c r="B253" s="1"/>
      <c r="C253" s="1"/>
      <c r="D253" s="1"/>
      <c r="E253" s="1"/>
      <c r="F253" s="1"/>
      <c r="H253" s="1"/>
      <c r="I253" s="1"/>
      <c r="J253" s="1"/>
      <c r="K253" s="1"/>
      <c r="L253" s="1"/>
      <c r="M253" s="1"/>
      <c r="N253" s="1"/>
    </row>
    <row r="254" spans="1:14" ht="12.75">
      <c r="A254" s="1"/>
      <c r="B254" s="1"/>
      <c r="C254" s="1"/>
      <c r="D254" s="1"/>
      <c r="E254" s="1"/>
      <c r="F254" s="1"/>
      <c r="H254" s="1"/>
      <c r="I254" s="1"/>
      <c r="J254" s="1"/>
      <c r="K254" s="1"/>
      <c r="L254" s="1"/>
      <c r="M254" s="1"/>
      <c r="N254" s="1"/>
    </row>
    <row r="255" spans="1:14" ht="12.75">
      <c r="A255" s="1"/>
      <c r="B255" s="1"/>
      <c r="C255" s="1"/>
      <c r="D255" s="1"/>
      <c r="E255" s="1"/>
      <c r="F255" s="1"/>
      <c r="H255" s="1"/>
      <c r="I255" s="1"/>
      <c r="J255" s="1"/>
      <c r="K255" s="1"/>
      <c r="L255" s="1"/>
      <c r="M255" s="1"/>
      <c r="N255" s="1"/>
    </row>
    <row r="256" spans="1:14" ht="12.75">
      <c r="A256" s="1"/>
      <c r="B256" s="1"/>
      <c r="C256" s="1"/>
      <c r="D256" s="1"/>
      <c r="E256" s="1"/>
      <c r="F256" s="1"/>
      <c r="H256" s="1"/>
      <c r="I256" s="1"/>
      <c r="J256" s="1"/>
      <c r="K256" s="1"/>
      <c r="L256" s="1"/>
      <c r="M256" s="1"/>
      <c r="N256" s="1"/>
    </row>
    <row r="257" spans="1:14" ht="12.75">
      <c r="A257" s="1"/>
      <c r="B257" s="1"/>
      <c r="C257" s="1"/>
      <c r="D257" s="1"/>
      <c r="E257" s="1"/>
      <c r="F257" s="1"/>
      <c r="H257" s="1"/>
      <c r="I257" s="1"/>
      <c r="J257" s="1"/>
      <c r="K257" s="1"/>
      <c r="L257" s="1"/>
      <c r="M257" s="1"/>
      <c r="N257" s="1"/>
    </row>
    <row r="258" spans="1:14" ht="12.75">
      <c r="A258" s="1"/>
      <c r="B258" s="1"/>
      <c r="C258" s="1"/>
      <c r="D258" s="1"/>
      <c r="E258" s="1"/>
      <c r="F258" s="1"/>
      <c r="H258" s="1"/>
      <c r="I258" s="1"/>
      <c r="J258" s="1"/>
      <c r="K258" s="1"/>
      <c r="L258" s="1"/>
      <c r="M258" s="1"/>
      <c r="N258" s="1"/>
    </row>
    <row r="259" spans="1:14" ht="12.75">
      <c r="A259" s="1"/>
      <c r="B259" s="1"/>
      <c r="C259" s="1"/>
      <c r="D259" s="1"/>
      <c r="E259" s="1"/>
      <c r="F259" s="1"/>
      <c r="H259" s="1"/>
      <c r="I259" s="1"/>
      <c r="J259" s="1"/>
      <c r="K259" s="1"/>
      <c r="L259" s="1"/>
      <c r="M259" s="1"/>
      <c r="N259" s="1"/>
    </row>
    <row r="260" spans="1:14" ht="12.75">
      <c r="A260" s="1"/>
      <c r="B260" s="1"/>
      <c r="C260" s="1"/>
      <c r="D260" s="1"/>
      <c r="E260" s="1"/>
      <c r="F260" s="1"/>
      <c r="H260" s="1"/>
      <c r="I260" s="1"/>
      <c r="J260" s="1"/>
      <c r="K260" s="1"/>
      <c r="L260" s="1"/>
      <c r="M260" s="1"/>
      <c r="N260" s="1"/>
    </row>
    <row r="261" spans="1:14" ht="12.75">
      <c r="A261" s="1"/>
      <c r="B261" s="1"/>
      <c r="C261" s="1"/>
      <c r="D261" s="1"/>
      <c r="E261" s="1"/>
      <c r="F261" s="1"/>
      <c r="H261" s="1"/>
      <c r="I261" s="1"/>
      <c r="J261" s="1"/>
      <c r="K261" s="1"/>
      <c r="L261" s="1"/>
      <c r="M261" s="1"/>
      <c r="N261" s="1"/>
    </row>
    <row r="262" spans="1:14" ht="12.75">
      <c r="A262" s="1"/>
      <c r="B262" s="1"/>
      <c r="C262" s="1"/>
      <c r="D262" s="1"/>
      <c r="E262" s="1"/>
      <c r="F262" s="1"/>
      <c r="H262" s="1"/>
      <c r="I262" s="1"/>
      <c r="J262" s="1"/>
      <c r="K262" s="1"/>
      <c r="L262" s="1"/>
      <c r="M262" s="1"/>
      <c r="N262" s="1"/>
    </row>
    <row r="263" spans="1:14" ht="12.75">
      <c r="A263" s="1"/>
      <c r="B263" s="1"/>
      <c r="C263" s="1"/>
      <c r="D263" s="1"/>
      <c r="E263" s="1"/>
      <c r="F263" s="1"/>
      <c r="H263" s="1"/>
      <c r="I263" s="1"/>
      <c r="J263" s="1"/>
      <c r="K263" s="1"/>
      <c r="L263" s="1"/>
      <c r="M263" s="1"/>
      <c r="N263" s="1"/>
    </row>
    <row r="264" spans="1:14" ht="12.75">
      <c r="A264" s="1"/>
      <c r="B264" s="1"/>
      <c r="C264" s="1"/>
      <c r="D264" s="1"/>
      <c r="E264" s="1"/>
      <c r="F264" s="1"/>
      <c r="H264" s="1"/>
      <c r="I264" s="1"/>
      <c r="J264" s="1"/>
      <c r="K264" s="1"/>
      <c r="L264" s="1"/>
      <c r="M264" s="1"/>
      <c r="N264" s="1"/>
    </row>
    <row r="265" spans="1:14" ht="12.75">
      <c r="A265" s="1"/>
      <c r="B265" s="1"/>
      <c r="C265" s="1"/>
      <c r="D265" s="1"/>
      <c r="E265" s="1"/>
      <c r="F265" s="1"/>
      <c r="H265" s="1"/>
      <c r="I265" s="1"/>
      <c r="J265" s="1"/>
      <c r="K265" s="1"/>
      <c r="L265" s="1"/>
      <c r="M265" s="1"/>
      <c r="N265" s="1"/>
    </row>
    <row r="266" spans="1:14" ht="12.75">
      <c r="A266" s="1"/>
      <c r="B266" s="1"/>
      <c r="C266" s="1"/>
      <c r="D266" s="1"/>
      <c r="E266" s="1"/>
      <c r="F266" s="1"/>
      <c r="H266" s="1"/>
      <c r="I266" s="1"/>
      <c r="J266" s="1"/>
      <c r="K266" s="1"/>
      <c r="L266" s="1"/>
      <c r="M266" s="1"/>
      <c r="N266" s="1"/>
    </row>
    <row r="267" spans="1:14" ht="12.75">
      <c r="A267" s="1"/>
      <c r="B267" s="1"/>
      <c r="C267" s="1"/>
      <c r="D267" s="1"/>
      <c r="E267" s="1"/>
      <c r="F267" s="1"/>
      <c r="H267" s="1"/>
      <c r="I267" s="1"/>
      <c r="J267" s="1"/>
      <c r="K267" s="1"/>
      <c r="L267" s="1"/>
      <c r="M267" s="1"/>
      <c r="N267" s="1"/>
    </row>
  </sheetData>
  <mergeCells count="1">
    <mergeCell ref="H133:N133"/>
  </mergeCells>
  <printOptions/>
  <pageMargins left="0.75" right="0.27" top="1" bottom="1" header="0.5" footer="0.5"/>
  <pageSetup firstPageNumber="28" useFirstPageNumber="1" horizontalDpi="600" verticalDpi="600" orientation="portrait" paperSize="9" r:id="rId1"/>
  <headerFooter alignWithMargins="0">
    <oddFooter>&amp;R&amp;9&amp;P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E131"/>
  <sheetViews>
    <sheetView workbookViewId="0" topLeftCell="A1">
      <selection activeCell="B8" sqref="B8"/>
    </sheetView>
  </sheetViews>
  <sheetFormatPr defaultColWidth="9.140625" defaultRowHeight="17.25" customHeight="1"/>
  <cols>
    <col min="1" max="1" width="46.7109375" style="498" customWidth="1"/>
    <col min="2" max="2" width="8.8515625" style="498" customWidth="1"/>
    <col min="3" max="3" width="10.140625" style="498" customWidth="1"/>
    <col min="4" max="4" width="10.7109375" style="498" customWidth="1"/>
    <col min="5" max="5" width="10.421875" style="498" customWidth="1"/>
  </cols>
  <sheetData>
    <row r="1" spans="2:5" ht="17.25" customHeight="1">
      <c r="B1" s="51"/>
      <c r="C1" s="51"/>
      <c r="D1" s="51"/>
      <c r="E1" s="90" t="s">
        <v>596</v>
      </c>
    </row>
    <row r="2" spans="1:5" ht="17.25" customHeight="1">
      <c r="A2" s="755" t="s">
        <v>92</v>
      </c>
      <c r="B2" s="755"/>
      <c r="C2" s="755"/>
      <c r="D2" s="755"/>
      <c r="E2" s="755"/>
    </row>
    <row r="3" spans="1:5" ht="17.25" customHeight="1">
      <c r="A3" s="49"/>
      <c r="B3" s="49"/>
      <c r="C3" s="49"/>
      <c r="D3" s="49"/>
      <c r="E3" s="49"/>
    </row>
    <row r="4" spans="1:5" ht="31.5" customHeight="1">
      <c r="A4" s="499" t="s">
        <v>597</v>
      </c>
      <c r="B4" s="53"/>
      <c r="C4" s="51"/>
      <c r="D4" s="51"/>
      <c r="E4" s="51"/>
    </row>
    <row r="5" spans="1:5" ht="12.75" customHeight="1">
      <c r="A5" s="743" t="s">
        <v>30</v>
      </c>
      <c r="B5" s="743"/>
      <c r="C5" s="743"/>
      <c r="D5" s="743"/>
      <c r="E5" s="743"/>
    </row>
    <row r="6" spans="1:5" ht="17.25" customHeight="1">
      <c r="A6" s="500"/>
      <c r="B6" s="500"/>
      <c r="C6" s="501"/>
      <c r="D6" s="502"/>
      <c r="E6" s="503" t="s">
        <v>360</v>
      </c>
    </row>
    <row r="7" spans="1:5" ht="33.75">
      <c r="A7" s="9" t="s">
        <v>47</v>
      </c>
      <c r="B7" s="9" t="s">
        <v>598</v>
      </c>
      <c r="C7" s="9" t="s">
        <v>96</v>
      </c>
      <c r="D7" s="9" t="s">
        <v>97</v>
      </c>
      <c r="E7" s="9" t="s">
        <v>40</v>
      </c>
    </row>
    <row r="8" spans="1:5" ht="12.75">
      <c r="A8" s="9">
        <v>1</v>
      </c>
      <c r="B8" s="9">
        <v>2</v>
      </c>
      <c r="C8" s="9">
        <v>3</v>
      </c>
      <c r="D8" s="9">
        <v>4</v>
      </c>
      <c r="E8" s="9">
        <v>5</v>
      </c>
    </row>
    <row r="9" spans="1:5" ht="17.25" customHeight="1">
      <c r="A9" s="76" t="s">
        <v>599</v>
      </c>
      <c r="B9" s="407">
        <v>432221</v>
      </c>
      <c r="C9" s="407">
        <v>183877</v>
      </c>
      <c r="D9" s="106">
        <v>42.54235680357965</v>
      </c>
      <c r="E9" s="407">
        <v>39246</v>
      </c>
    </row>
    <row r="10" spans="1:5" ht="17.25" customHeight="1">
      <c r="A10" s="32" t="s">
        <v>600</v>
      </c>
      <c r="B10" s="407">
        <v>439444</v>
      </c>
      <c r="C10" s="407">
        <v>187296</v>
      </c>
      <c r="D10" s="106">
        <v>42.62113033742638</v>
      </c>
      <c r="E10" s="407">
        <v>39918</v>
      </c>
    </row>
    <row r="11" spans="1:5" ht="12.75">
      <c r="A11" s="251" t="s">
        <v>601</v>
      </c>
      <c r="B11" s="407">
        <v>243912</v>
      </c>
      <c r="C11" s="407">
        <v>104495</v>
      </c>
      <c r="D11" s="106">
        <v>42.841270622191615</v>
      </c>
      <c r="E11" s="407">
        <v>21858</v>
      </c>
    </row>
    <row r="12" spans="1:5" ht="12.75">
      <c r="A12" s="251" t="s">
        <v>602</v>
      </c>
      <c r="B12" s="407">
        <v>17566</v>
      </c>
      <c r="C12" s="407">
        <v>7706</v>
      </c>
      <c r="D12" s="106">
        <v>43.868837527040874</v>
      </c>
      <c r="E12" s="407">
        <v>1489</v>
      </c>
    </row>
    <row r="13" spans="1:5" ht="12.75">
      <c r="A13" s="251" t="s">
        <v>603</v>
      </c>
      <c r="B13" s="407">
        <v>25351</v>
      </c>
      <c r="C13" s="407">
        <v>11360</v>
      </c>
      <c r="D13" s="106">
        <v>44.81085558755078</v>
      </c>
      <c r="E13" s="407">
        <v>2503</v>
      </c>
    </row>
    <row r="14" spans="1:5" ht="12.75">
      <c r="A14" s="251" t="s">
        <v>604</v>
      </c>
      <c r="B14" s="407">
        <v>152615</v>
      </c>
      <c r="C14" s="407">
        <v>63735</v>
      </c>
      <c r="D14" s="106">
        <v>41.761950004914326</v>
      </c>
      <c r="E14" s="407">
        <v>14068</v>
      </c>
    </row>
    <row r="15" spans="1:5" ht="25.5">
      <c r="A15" s="504" t="s">
        <v>605</v>
      </c>
      <c r="B15" s="407">
        <v>8499</v>
      </c>
      <c r="C15" s="407">
        <v>3218</v>
      </c>
      <c r="D15" s="106">
        <v>37.86327803270973</v>
      </c>
      <c r="E15" s="407">
        <v>913</v>
      </c>
    </row>
    <row r="16" spans="1:5" ht="25.5">
      <c r="A16" s="505" t="s">
        <v>606</v>
      </c>
      <c r="B16" s="407">
        <v>27208</v>
      </c>
      <c r="C16" s="407">
        <v>11202</v>
      </c>
      <c r="D16" s="106">
        <v>41.17171420170538</v>
      </c>
      <c r="E16" s="407">
        <v>2259</v>
      </c>
    </row>
    <row r="17" spans="1:5" ht="12.75">
      <c r="A17" s="76" t="s">
        <v>607</v>
      </c>
      <c r="B17" s="407">
        <v>403737</v>
      </c>
      <c r="C17" s="407">
        <v>172876</v>
      </c>
      <c r="D17" s="106">
        <v>42.818963830414354</v>
      </c>
      <c r="E17" s="407">
        <v>36746</v>
      </c>
    </row>
    <row r="18" spans="1:5" ht="25.5">
      <c r="A18" s="76" t="s">
        <v>608</v>
      </c>
      <c r="B18" s="407">
        <v>37601</v>
      </c>
      <c r="C18" s="407">
        <v>14915</v>
      </c>
      <c r="D18" s="106">
        <v>39.66649823143001</v>
      </c>
      <c r="E18" s="407">
        <v>2931</v>
      </c>
    </row>
    <row r="19" spans="1:5" ht="25.5">
      <c r="A19" s="69" t="s">
        <v>609</v>
      </c>
      <c r="B19" s="407">
        <v>37601</v>
      </c>
      <c r="C19" s="407">
        <v>14915</v>
      </c>
      <c r="D19" s="106">
        <v>39.66649823143001</v>
      </c>
      <c r="E19" s="407">
        <v>2931</v>
      </c>
    </row>
    <row r="20" spans="1:5" ht="25.5">
      <c r="A20" s="505" t="s">
        <v>610</v>
      </c>
      <c r="B20" s="407">
        <v>9117</v>
      </c>
      <c r="C20" s="407">
        <v>3914</v>
      </c>
      <c r="D20" s="106">
        <v>42.930788636612924</v>
      </c>
      <c r="E20" s="407">
        <v>431</v>
      </c>
    </row>
    <row r="21" spans="1:5" ht="17.25" customHeight="1">
      <c r="A21" s="76" t="s">
        <v>611</v>
      </c>
      <c r="B21" s="407">
        <v>28484</v>
      </c>
      <c r="C21" s="407">
        <v>11001</v>
      </c>
      <c r="D21" s="106">
        <v>38.62168234798483</v>
      </c>
      <c r="E21" s="407">
        <v>2500</v>
      </c>
    </row>
    <row r="22" spans="1:5" ht="25.5">
      <c r="A22" s="506" t="s">
        <v>612</v>
      </c>
      <c r="B22" s="413">
        <v>484219</v>
      </c>
      <c r="C22" s="413">
        <v>188658</v>
      </c>
      <c r="D22" s="106">
        <v>38.9612964381819</v>
      </c>
      <c r="E22" s="413">
        <v>39527</v>
      </c>
    </row>
    <row r="23" spans="1:5" ht="25.5">
      <c r="A23" s="118" t="s">
        <v>613</v>
      </c>
      <c r="B23" s="413">
        <v>399179</v>
      </c>
      <c r="C23" s="413">
        <v>155770</v>
      </c>
      <c r="D23" s="106">
        <v>39.02259387392623</v>
      </c>
      <c r="E23" s="413">
        <v>33271</v>
      </c>
    </row>
    <row r="24" spans="1:5" ht="25.5">
      <c r="A24" s="118" t="s">
        <v>614</v>
      </c>
      <c r="B24" s="413">
        <v>27742</v>
      </c>
      <c r="C24" s="413">
        <v>8249</v>
      </c>
      <c r="D24" s="106">
        <v>29.73469829139932</v>
      </c>
      <c r="E24" s="413">
        <v>2011</v>
      </c>
    </row>
    <row r="25" spans="1:5" ht="25.5">
      <c r="A25" s="118" t="s">
        <v>615</v>
      </c>
      <c r="B25" s="413">
        <v>57298</v>
      </c>
      <c r="C25" s="413">
        <v>24639</v>
      </c>
      <c r="D25" s="106">
        <v>43.001500924988655</v>
      </c>
      <c r="E25" s="413">
        <v>4245</v>
      </c>
    </row>
    <row r="26" spans="1:5" ht="25.5">
      <c r="A26" s="506" t="s">
        <v>616</v>
      </c>
      <c r="B26" s="413">
        <v>-51998</v>
      </c>
      <c r="C26" s="413">
        <v>-4781</v>
      </c>
      <c r="D26" s="106">
        <v>9.19458440709258</v>
      </c>
      <c r="E26" s="413">
        <v>-281</v>
      </c>
    </row>
    <row r="27" spans="1:5" ht="25.5">
      <c r="A27" s="506" t="s">
        <v>617</v>
      </c>
      <c r="B27" s="413">
        <v>-2560</v>
      </c>
      <c r="C27" s="413">
        <v>-1562</v>
      </c>
      <c r="D27" s="106">
        <v>61.015625</v>
      </c>
      <c r="E27" s="413">
        <v>-598</v>
      </c>
    </row>
    <row r="28" spans="1:5" ht="25.5">
      <c r="A28" s="506" t="s">
        <v>618</v>
      </c>
      <c r="B28" s="413">
        <v>481659</v>
      </c>
      <c r="C28" s="413">
        <v>187096</v>
      </c>
      <c r="D28" s="106">
        <v>38.844078487062426</v>
      </c>
      <c r="E28" s="413">
        <v>38929</v>
      </c>
    </row>
    <row r="29" spans="1:5" ht="25.5">
      <c r="A29" s="506" t="s">
        <v>619</v>
      </c>
      <c r="B29" s="413">
        <v>-49438</v>
      </c>
      <c r="C29" s="413">
        <v>-3219</v>
      </c>
      <c r="D29" s="106">
        <v>6.511185727577977</v>
      </c>
      <c r="E29" s="413">
        <v>317</v>
      </c>
    </row>
    <row r="30" spans="1:5" ht="12.75">
      <c r="A30" s="507" t="s">
        <v>620</v>
      </c>
      <c r="B30" s="508"/>
      <c r="C30" s="508"/>
      <c r="D30" s="106"/>
      <c r="E30" s="407"/>
    </row>
    <row r="31" spans="1:5" ht="25.5">
      <c r="A31" s="509" t="s">
        <v>621</v>
      </c>
      <c r="B31" s="508">
        <v>9117</v>
      </c>
      <c r="C31" s="508">
        <v>3914</v>
      </c>
      <c r="D31" s="106">
        <v>42.930788636612924</v>
      </c>
      <c r="E31" s="407">
        <v>431</v>
      </c>
    </row>
    <row r="32" spans="1:5" ht="12.75">
      <c r="A32" s="507" t="s">
        <v>622</v>
      </c>
      <c r="B32" s="510">
        <v>10426</v>
      </c>
      <c r="C32" s="508">
        <v>-959</v>
      </c>
      <c r="D32" s="106"/>
      <c r="E32" s="407">
        <v>-433</v>
      </c>
    </row>
    <row r="33" spans="1:5" ht="12.75">
      <c r="A33" s="507" t="s">
        <v>623</v>
      </c>
      <c r="B33" s="510">
        <v>28634</v>
      </c>
      <c r="C33" s="508">
        <v>264</v>
      </c>
      <c r="D33" s="106"/>
      <c r="E33" s="407">
        <v>-315</v>
      </c>
    </row>
    <row r="34" spans="1:5" ht="17.25" customHeight="1">
      <c r="A34" s="506" t="s">
        <v>624</v>
      </c>
      <c r="B34" s="413">
        <v>468860</v>
      </c>
      <c r="C34" s="413">
        <v>190386</v>
      </c>
      <c r="D34" s="106">
        <v>40.60615108987757</v>
      </c>
      <c r="E34" s="413">
        <v>39268</v>
      </c>
    </row>
    <row r="35" spans="1:5" ht="25.5">
      <c r="A35" s="511" t="s">
        <v>625</v>
      </c>
      <c r="B35" s="413">
        <v>35707</v>
      </c>
      <c r="C35" s="413">
        <v>14420</v>
      </c>
      <c r="D35" s="106">
        <v>40.384238384630464</v>
      </c>
      <c r="E35" s="407">
        <v>2934</v>
      </c>
    </row>
    <row r="36" spans="1:5" ht="17.25" customHeight="1">
      <c r="A36" s="506" t="s">
        <v>626</v>
      </c>
      <c r="B36" s="413">
        <v>433153</v>
      </c>
      <c r="C36" s="413">
        <v>175966</v>
      </c>
      <c r="D36" s="106">
        <v>40.62444448035683</v>
      </c>
      <c r="E36" s="413">
        <v>36334</v>
      </c>
    </row>
    <row r="37" spans="1:5" ht="25.5">
      <c r="A37" s="506" t="s">
        <v>627</v>
      </c>
      <c r="B37" s="413">
        <v>395471</v>
      </c>
      <c r="C37" s="413">
        <v>160471</v>
      </c>
      <c r="D37" s="106">
        <v>40.577185179191396</v>
      </c>
      <c r="E37" s="413">
        <v>33727</v>
      </c>
    </row>
    <row r="38" spans="1:5" ht="25.5">
      <c r="A38" s="505" t="s">
        <v>628</v>
      </c>
      <c r="B38" s="413">
        <v>35707</v>
      </c>
      <c r="C38" s="413">
        <v>14420</v>
      </c>
      <c r="D38" s="106">
        <v>40.384238384630464</v>
      </c>
      <c r="E38" s="413">
        <v>2934</v>
      </c>
    </row>
    <row r="39" spans="1:5" ht="25.5">
      <c r="A39" s="69" t="s">
        <v>629</v>
      </c>
      <c r="B39" s="413">
        <v>359764</v>
      </c>
      <c r="C39" s="413">
        <v>146051</v>
      </c>
      <c r="D39" s="106">
        <v>40.59633537541277</v>
      </c>
      <c r="E39" s="413">
        <v>30793</v>
      </c>
    </row>
    <row r="40" spans="1:5" ht="17.25" customHeight="1">
      <c r="A40" s="69" t="s">
        <v>630</v>
      </c>
      <c r="B40" s="407">
        <v>19375</v>
      </c>
      <c r="C40" s="407">
        <v>6066</v>
      </c>
      <c r="D40" s="106">
        <v>31.308387096774194</v>
      </c>
      <c r="E40" s="407">
        <v>1485</v>
      </c>
    </row>
    <row r="41" spans="1:5" ht="17.25" customHeight="1">
      <c r="A41" s="259" t="s">
        <v>631</v>
      </c>
      <c r="B41" s="407">
        <v>54014</v>
      </c>
      <c r="C41" s="407">
        <v>23849</v>
      </c>
      <c r="D41" s="106">
        <v>44.15336764542526</v>
      </c>
      <c r="E41" s="407">
        <v>4056</v>
      </c>
    </row>
    <row r="42" spans="1:5" ht="38.25">
      <c r="A42" s="76" t="s">
        <v>632</v>
      </c>
      <c r="B42" s="413">
        <v>-29416</v>
      </c>
      <c r="C42" s="413">
        <v>-3090</v>
      </c>
      <c r="D42" s="106">
        <v>10.50448735382105</v>
      </c>
      <c r="E42" s="413">
        <v>412</v>
      </c>
    </row>
    <row r="43" spans="1:5" ht="12.75">
      <c r="A43" s="76" t="s">
        <v>633</v>
      </c>
      <c r="B43" s="407">
        <v>-624</v>
      </c>
      <c r="C43" s="407">
        <v>-642</v>
      </c>
      <c r="D43" s="106">
        <v>102.88461538461537</v>
      </c>
      <c r="E43" s="407">
        <v>-496</v>
      </c>
    </row>
    <row r="44" spans="1:5" ht="12.75">
      <c r="A44" s="69" t="s">
        <v>634</v>
      </c>
      <c r="B44" s="407">
        <v>193</v>
      </c>
      <c r="C44" s="407">
        <v>54</v>
      </c>
      <c r="D44" s="106">
        <v>27.979274611398964</v>
      </c>
      <c r="E44" s="407">
        <v>7</v>
      </c>
    </row>
    <row r="45" spans="1:5" ht="12.75">
      <c r="A45" s="69" t="s">
        <v>635</v>
      </c>
      <c r="B45" s="407">
        <v>817</v>
      </c>
      <c r="C45" s="407">
        <v>696</v>
      </c>
      <c r="D45" s="106">
        <v>85.18971848225215</v>
      </c>
      <c r="E45" s="407">
        <v>503</v>
      </c>
    </row>
    <row r="46" spans="1:5" ht="25.5">
      <c r="A46" s="76" t="s">
        <v>636</v>
      </c>
      <c r="B46" s="413">
        <v>-28792</v>
      </c>
      <c r="C46" s="413">
        <v>-2448</v>
      </c>
      <c r="D46" s="106">
        <v>8.502361767157545</v>
      </c>
      <c r="E46" s="413">
        <v>908</v>
      </c>
    </row>
    <row r="47" spans="1:5" ht="25.5">
      <c r="A47" s="76" t="s">
        <v>637</v>
      </c>
      <c r="B47" s="407">
        <v>51066</v>
      </c>
      <c r="C47" s="407">
        <v>12692</v>
      </c>
      <c r="D47" s="106">
        <v>24.85411036697607</v>
      </c>
      <c r="E47" s="407">
        <v>3193</v>
      </c>
    </row>
    <row r="48" spans="1:5" ht="24.75" customHeight="1">
      <c r="A48" s="69" t="s">
        <v>638</v>
      </c>
      <c r="B48" s="407">
        <v>39415</v>
      </c>
      <c r="C48" s="407">
        <v>9719</v>
      </c>
      <c r="D48" s="106">
        <v>24.658125079284538</v>
      </c>
      <c r="E48" s="407">
        <v>2478</v>
      </c>
    </row>
    <row r="49" spans="1:5" ht="17.25" customHeight="1">
      <c r="A49" s="69" t="s">
        <v>639</v>
      </c>
      <c r="B49" s="407">
        <v>8367</v>
      </c>
      <c r="C49" s="407">
        <v>2183</v>
      </c>
      <c r="D49" s="106">
        <v>26.090594000239037</v>
      </c>
      <c r="E49" s="407">
        <v>526</v>
      </c>
    </row>
    <row r="50" spans="1:5" ht="12.75">
      <c r="A50" s="259" t="s">
        <v>640</v>
      </c>
      <c r="B50" s="407">
        <v>3284</v>
      </c>
      <c r="C50" s="407">
        <v>790</v>
      </c>
      <c r="D50" s="106">
        <v>24.056029232643116</v>
      </c>
      <c r="E50" s="407">
        <v>189</v>
      </c>
    </row>
    <row r="51" spans="1:5" ht="25.5">
      <c r="A51" s="76" t="s">
        <v>641</v>
      </c>
      <c r="B51" s="407">
        <v>-22582</v>
      </c>
      <c r="C51" s="407">
        <v>-1691</v>
      </c>
      <c r="D51" s="106">
        <v>7.488264989814897</v>
      </c>
      <c r="E51" s="407">
        <v>-693</v>
      </c>
    </row>
    <row r="52" spans="1:5" ht="17.25" customHeight="1">
      <c r="A52" s="76" t="s">
        <v>642</v>
      </c>
      <c r="B52" s="407">
        <v>-1936</v>
      </c>
      <c r="C52" s="407">
        <v>-920</v>
      </c>
      <c r="D52" s="106">
        <v>47.5206611570248</v>
      </c>
      <c r="E52" s="407">
        <v>-102</v>
      </c>
    </row>
    <row r="53" spans="1:5" ht="12.75">
      <c r="A53" s="69" t="s">
        <v>643</v>
      </c>
      <c r="B53" s="407">
        <v>695</v>
      </c>
      <c r="C53" s="407">
        <v>377</v>
      </c>
      <c r="D53" s="106">
        <v>54.24460431654676</v>
      </c>
      <c r="E53" s="407">
        <v>-2</v>
      </c>
    </row>
    <row r="54" spans="1:5" ht="12.75">
      <c r="A54" s="69" t="s">
        <v>644</v>
      </c>
      <c r="B54" s="407">
        <v>2631</v>
      </c>
      <c r="C54" s="407">
        <v>1297</v>
      </c>
      <c r="D54" s="106">
        <v>49.29684530596731</v>
      </c>
      <c r="E54" s="407">
        <v>100</v>
      </c>
    </row>
    <row r="55" spans="1:5" ht="25.5">
      <c r="A55" s="76" t="s">
        <v>645</v>
      </c>
      <c r="B55" s="407">
        <v>-20646</v>
      </c>
      <c r="C55" s="407">
        <v>-771</v>
      </c>
      <c r="D55" s="106">
        <v>3.7343795408311538</v>
      </c>
      <c r="E55" s="407">
        <v>-591</v>
      </c>
    </row>
    <row r="56" spans="1:5" ht="17.25" customHeight="1">
      <c r="A56" s="512"/>
      <c r="B56" s="513"/>
      <c r="C56" s="513"/>
      <c r="D56" s="514"/>
      <c r="E56" s="513"/>
    </row>
    <row r="57" spans="1:5" ht="17.25" customHeight="1">
      <c r="A57" s="299"/>
      <c r="B57" s="515"/>
      <c r="C57" s="515"/>
      <c r="D57" s="516"/>
      <c r="E57" s="515"/>
    </row>
    <row r="58" spans="1:5" ht="17.25" customHeight="1">
      <c r="A58" s="49"/>
      <c r="B58" s="49"/>
      <c r="C58" s="49"/>
      <c r="D58" s="49"/>
      <c r="E58" s="1"/>
    </row>
    <row r="59" spans="1:5" ht="17.25" customHeight="1">
      <c r="A59" s="299"/>
      <c r="B59" s="49"/>
      <c r="C59" s="49"/>
      <c r="D59" s="49"/>
      <c r="E59" s="49"/>
    </row>
    <row r="60" spans="1:5" ht="17.25" customHeight="1">
      <c r="A60" s="299"/>
      <c r="B60" s="49"/>
      <c r="C60" s="49"/>
      <c r="D60" s="49"/>
      <c r="E60" s="49"/>
    </row>
    <row r="61" spans="1:5" ht="17.25" customHeight="1">
      <c r="A61" s="240" t="s">
        <v>17</v>
      </c>
      <c r="B61" s="241"/>
      <c r="C61" s="241"/>
      <c r="D61" s="239"/>
      <c r="E61" s="239" t="s">
        <v>215</v>
      </c>
    </row>
    <row r="62" spans="1:5" ht="17.25" customHeight="1">
      <c r="A62" s="732"/>
      <c r="B62" s="239"/>
      <c r="C62" s="239"/>
      <c r="D62" s="239"/>
      <c r="E62" s="239"/>
    </row>
    <row r="63" spans="1:5" ht="17.25" customHeight="1">
      <c r="A63" s="733"/>
      <c r="B63" s="239"/>
      <c r="C63" s="239"/>
      <c r="D63" s="239"/>
      <c r="E63" s="239"/>
    </row>
    <row r="64" spans="1:5" ht="17.25" customHeight="1">
      <c r="A64" s="733"/>
      <c r="B64" s="239"/>
      <c r="C64" s="239"/>
      <c r="D64" s="239"/>
      <c r="E64" s="239"/>
    </row>
    <row r="65" spans="1:5" ht="17.25" customHeight="1">
      <c r="A65" s="744" t="s">
        <v>459</v>
      </c>
      <c r="B65" s="744"/>
      <c r="C65" s="744"/>
      <c r="D65" s="744"/>
      <c r="E65" s="744"/>
    </row>
    <row r="66" spans="1:5" ht="17.25" customHeight="1">
      <c r="A66" s="745" t="s">
        <v>19</v>
      </c>
      <c r="B66" s="745"/>
      <c r="C66" s="745"/>
      <c r="D66" s="239"/>
      <c r="E66" s="239"/>
    </row>
    <row r="67" spans="1:5" ht="17.25" customHeight="1">
      <c r="A67" s="7"/>
      <c r="B67" s="49"/>
      <c r="C67" s="49"/>
      <c r="D67" s="49"/>
      <c r="E67" s="49"/>
    </row>
    <row r="68" spans="1:5" ht="17.25" customHeight="1">
      <c r="A68" s="299"/>
      <c r="B68" s="49"/>
      <c r="C68" s="49"/>
      <c r="D68" s="49"/>
      <c r="E68" s="49"/>
    </row>
    <row r="69" spans="1:5" ht="17.25" customHeight="1">
      <c r="A69" s="299"/>
      <c r="B69" s="49"/>
      <c r="C69" s="49"/>
      <c r="D69" s="49"/>
      <c r="E69" s="49"/>
    </row>
    <row r="70" spans="1:5" ht="17.25" customHeight="1">
      <c r="A70" s="299"/>
      <c r="B70" s="49"/>
      <c r="C70" s="49"/>
      <c r="D70" s="49"/>
      <c r="E70" s="49"/>
    </row>
    <row r="71" spans="1:5" ht="17.25" customHeight="1">
      <c r="A71" s="49"/>
      <c r="B71" s="49"/>
      <c r="C71" s="49"/>
      <c r="D71" s="49"/>
      <c r="E71" s="49"/>
    </row>
    <row r="72" spans="1:5" ht="17.25" customHeight="1">
      <c r="A72" s="49"/>
      <c r="B72" s="49"/>
      <c r="C72" s="49"/>
      <c r="D72" s="49"/>
      <c r="E72" s="49"/>
    </row>
    <row r="73" spans="1:5" ht="17.25" customHeight="1">
      <c r="A73" s="49"/>
      <c r="B73" s="49"/>
      <c r="C73" s="49"/>
      <c r="D73" s="49"/>
      <c r="E73" s="49"/>
    </row>
    <row r="74" spans="1:5" ht="17.25" customHeight="1">
      <c r="A74" s="299"/>
      <c r="B74" s="49"/>
      <c r="C74" s="49"/>
      <c r="D74" s="49"/>
      <c r="E74" s="49"/>
    </row>
    <row r="75" spans="1:5" ht="17.25" customHeight="1">
      <c r="A75" s="517"/>
      <c r="B75" s="49"/>
      <c r="C75" s="49"/>
      <c r="D75" s="49"/>
      <c r="E75" s="49"/>
    </row>
    <row r="76" spans="2:5" ht="17.25" customHeight="1">
      <c r="B76" s="49"/>
      <c r="C76" s="49"/>
      <c r="D76" s="49"/>
      <c r="E76" s="49"/>
    </row>
    <row r="79" spans="1:5" ht="17.25" customHeight="1">
      <c r="A79" s="49"/>
      <c r="B79" s="49"/>
      <c r="C79" s="49"/>
      <c r="D79" s="49"/>
      <c r="E79" s="49"/>
    </row>
    <row r="80" spans="1:5" ht="17.25" customHeight="1">
      <c r="A80" s="299"/>
      <c r="B80" s="49"/>
      <c r="C80" s="49"/>
      <c r="D80" s="49"/>
      <c r="E80" s="49"/>
    </row>
    <row r="81" spans="1:5" ht="17.25" customHeight="1">
      <c r="A81" s="49"/>
      <c r="B81" s="49"/>
      <c r="C81" s="49"/>
      <c r="D81" s="49"/>
      <c r="E81" s="49"/>
    </row>
    <row r="82" spans="1:5" ht="17.25" customHeight="1">
      <c r="A82" s="49"/>
      <c r="B82" s="49"/>
      <c r="C82" s="49"/>
      <c r="D82" s="49"/>
      <c r="E82" s="49"/>
    </row>
    <row r="83" spans="1:5" ht="17.25" customHeight="1">
      <c r="A83" s="299"/>
      <c r="B83" s="49"/>
      <c r="C83" s="49"/>
      <c r="D83" s="49"/>
      <c r="E83" s="49"/>
    </row>
    <row r="84" spans="1:5" ht="17.25" customHeight="1">
      <c r="A84" s="299"/>
      <c r="B84" s="49"/>
      <c r="C84" s="49"/>
      <c r="D84" s="49"/>
      <c r="E84" s="49"/>
    </row>
    <row r="85" spans="1:5" ht="17.25" customHeight="1">
      <c r="A85" s="519"/>
      <c r="B85" s="49"/>
      <c r="C85" s="49"/>
      <c r="D85" s="49"/>
      <c r="E85" s="49"/>
    </row>
    <row r="86" ht="17.25" customHeight="1">
      <c r="A86" s="519"/>
    </row>
    <row r="87" ht="17.25" customHeight="1">
      <c r="A87" s="519"/>
    </row>
    <row r="88" ht="17.25" customHeight="1">
      <c r="A88" s="519"/>
    </row>
    <row r="89" ht="17.25" customHeight="1">
      <c r="A89" s="519"/>
    </row>
    <row r="90" ht="17.25" customHeight="1">
      <c r="A90" s="519"/>
    </row>
    <row r="91" ht="17.25" customHeight="1">
      <c r="A91" s="519"/>
    </row>
    <row r="97" ht="17.25" customHeight="1">
      <c r="A97" s="519"/>
    </row>
    <row r="98" ht="17.25" customHeight="1">
      <c r="A98" s="519"/>
    </row>
    <row r="99" ht="17.25" customHeight="1">
      <c r="A99" s="519"/>
    </row>
    <row r="100" ht="17.25" customHeight="1">
      <c r="A100" s="519"/>
    </row>
    <row r="103" ht="17.25" customHeight="1">
      <c r="A103" s="519"/>
    </row>
    <row r="104" ht="17.25" customHeight="1">
      <c r="A104" s="519"/>
    </row>
    <row r="107" ht="17.25" customHeight="1">
      <c r="A107" s="519"/>
    </row>
    <row r="108" ht="17.25" customHeight="1">
      <c r="A108" s="519"/>
    </row>
    <row r="109" ht="17.25" customHeight="1">
      <c r="A109" s="519"/>
    </row>
    <row r="110" ht="17.25" customHeight="1">
      <c r="A110" s="519"/>
    </row>
    <row r="111" ht="17.25" customHeight="1">
      <c r="A111" s="519"/>
    </row>
    <row r="112" ht="17.25" customHeight="1">
      <c r="A112" s="519"/>
    </row>
    <row r="113" ht="17.25" customHeight="1">
      <c r="A113" s="519"/>
    </row>
    <row r="114" ht="17.25" customHeight="1">
      <c r="A114" s="519"/>
    </row>
    <row r="115" ht="17.25" customHeight="1">
      <c r="A115" s="519"/>
    </row>
    <row r="116" ht="17.25" customHeight="1">
      <c r="A116" s="519"/>
    </row>
    <row r="117" ht="17.25" customHeight="1">
      <c r="A117" s="519"/>
    </row>
    <row r="118" ht="17.25" customHeight="1">
      <c r="A118" s="519"/>
    </row>
    <row r="119" ht="17.25" customHeight="1">
      <c r="A119" s="519"/>
    </row>
    <row r="120" ht="17.25" customHeight="1">
      <c r="A120" s="519"/>
    </row>
    <row r="121" ht="17.25" customHeight="1">
      <c r="A121" s="519"/>
    </row>
    <row r="122" ht="17.25" customHeight="1">
      <c r="A122" s="519"/>
    </row>
    <row r="123" ht="17.25" customHeight="1">
      <c r="A123" s="519"/>
    </row>
    <row r="124" ht="17.25" customHeight="1">
      <c r="A124" s="519"/>
    </row>
    <row r="125" ht="17.25" customHeight="1">
      <c r="A125" s="519"/>
    </row>
    <row r="126" ht="17.25" customHeight="1">
      <c r="A126" s="519"/>
    </row>
    <row r="127" ht="17.25" customHeight="1">
      <c r="A127" s="519"/>
    </row>
    <row r="128" ht="17.25" customHeight="1">
      <c r="A128" s="519"/>
    </row>
    <row r="129" ht="17.25" customHeight="1">
      <c r="A129" s="519"/>
    </row>
    <row r="130" ht="17.25" customHeight="1">
      <c r="A130" s="519"/>
    </row>
    <row r="131" ht="17.25" customHeight="1">
      <c r="A131" s="519"/>
    </row>
  </sheetData>
  <mergeCells count="4">
    <mergeCell ref="A2:E2"/>
    <mergeCell ref="A5:E5"/>
    <mergeCell ref="A65:E65"/>
    <mergeCell ref="A66:C66"/>
  </mergeCells>
  <printOptions/>
  <pageMargins left="0.75" right="0.75" top="1" bottom="1" header="0.5" footer="0.5"/>
  <pageSetup firstPageNumber="31" useFirstPageNumber="1" horizontalDpi="600" verticalDpi="600" orientation="portrait" paperSize="9" r:id="rId1"/>
  <headerFooter alignWithMargins="0">
    <oddFooter>&amp;R&amp;9&amp;P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"/>
  <sheetViews>
    <sheetView workbookViewId="0" topLeftCell="F29">
      <selection activeCell="K52" sqref="K52"/>
    </sheetView>
  </sheetViews>
  <sheetFormatPr defaultColWidth="9.140625" defaultRowHeight="17.25" customHeight="1"/>
  <cols>
    <col min="1" max="1" width="39.7109375" style="520" hidden="1" customWidth="1"/>
    <col min="2" max="2" width="8.8515625" style="498" hidden="1" customWidth="1"/>
    <col min="3" max="3" width="11.28125" style="498" hidden="1" customWidth="1"/>
    <col min="4" max="4" width="12.140625" style="498" hidden="1" customWidth="1"/>
    <col min="5" max="5" width="0.13671875" style="498" hidden="1" customWidth="1"/>
    <col min="6" max="6" width="39.7109375" style="520" customWidth="1"/>
    <col min="7" max="7" width="8.8515625" style="498" customWidth="1"/>
    <col min="8" max="8" width="11.28125" style="498" customWidth="1"/>
    <col min="9" max="9" width="12.140625" style="498" customWidth="1"/>
    <col min="10" max="10" width="11.57421875" style="498" customWidth="1"/>
    <col min="11" max="16384" width="7.421875" style="498" customWidth="1"/>
  </cols>
  <sheetData>
    <row r="1" spans="2:10" ht="17.25" customHeight="1">
      <c r="B1" s="521"/>
      <c r="C1" s="51"/>
      <c r="D1" s="51"/>
      <c r="E1" s="51" t="s">
        <v>646</v>
      </c>
      <c r="G1" s="521"/>
      <c r="H1" s="51"/>
      <c r="I1" s="51"/>
      <c r="J1" s="51" t="s">
        <v>646</v>
      </c>
    </row>
    <row r="2" spans="1:10" s="51" customFormat="1" ht="17.25" customHeight="1">
      <c r="A2" s="521" t="s">
        <v>647</v>
      </c>
      <c r="B2" s="521"/>
      <c r="E2" s="41"/>
      <c r="F2" s="521" t="s">
        <v>647</v>
      </c>
      <c r="G2" s="521"/>
      <c r="J2" s="41"/>
    </row>
    <row r="4" spans="1:10" s="524" customFormat="1" ht="17.25" customHeight="1">
      <c r="A4" s="522" t="s">
        <v>648</v>
      </c>
      <c r="B4" s="523"/>
      <c r="C4" s="470"/>
      <c r="D4" s="470"/>
      <c r="E4" s="470"/>
      <c r="F4" s="522" t="s">
        <v>648</v>
      </c>
      <c r="G4" s="523"/>
      <c r="H4" s="470"/>
      <c r="I4" s="470"/>
      <c r="J4" s="470"/>
    </row>
    <row r="5" spans="1:10" s="524" customFormat="1" ht="13.5" customHeight="1">
      <c r="A5" s="522" t="s">
        <v>649</v>
      </c>
      <c r="B5" s="523"/>
      <c r="C5" s="525"/>
      <c r="D5" s="525"/>
      <c r="E5" s="525"/>
      <c r="F5" s="730" t="s">
        <v>30</v>
      </c>
      <c r="G5" s="523"/>
      <c r="H5" s="470"/>
      <c r="I5" s="470"/>
      <c r="J5" s="470"/>
    </row>
    <row r="6" spans="1:10" s="38" customFormat="1" ht="17.25" customHeight="1">
      <c r="A6" s="526"/>
      <c r="B6" s="527"/>
      <c r="C6" s="528"/>
      <c r="D6" s="528"/>
      <c r="E6" s="529" t="s">
        <v>385</v>
      </c>
      <c r="F6" s="526"/>
      <c r="G6" s="527"/>
      <c r="H6" s="528"/>
      <c r="I6" s="528"/>
      <c r="J6" s="529" t="s">
        <v>458</v>
      </c>
    </row>
    <row r="7" spans="1:10" s="38" customFormat="1" ht="26.25" customHeight="1">
      <c r="A7" s="530" t="s">
        <v>47</v>
      </c>
      <c r="B7" s="531" t="s">
        <v>598</v>
      </c>
      <c r="C7" s="531" t="s">
        <v>96</v>
      </c>
      <c r="D7" s="531" t="s">
        <v>650</v>
      </c>
      <c r="E7" s="9" t="s">
        <v>307</v>
      </c>
      <c r="F7" s="530" t="s">
        <v>47</v>
      </c>
      <c r="G7" s="531" t="s">
        <v>598</v>
      </c>
      <c r="H7" s="531" t="s">
        <v>96</v>
      </c>
      <c r="I7" s="531" t="s">
        <v>650</v>
      </c>
      <c r="J7" s="9" t="s">
        <v>40</v>
      </c>
    </row>
    <row r="8" spans="1:10" s="38" customFormat="1" ht="12.75">
      <c r="A8" s="532" t="s">
        <v>651</v>
      </c>
      <c r="B8" s="533">
        <v>2</v>
      </c>
      <c r="C8" s="533">
        <v>3</v>
      </c>
      <c r="D8" s="533">
        <v>4</v>
      </c>
      <c r="E8" s="533" t="s">
        <v>652</v>
      </c>
      <c r="F8" s="532" t="s">
        <v>651</v>
      </c>
      <c r="G8" s="533">
        <v>2</v>
      </c>
      <c r="H8" s="533">
        <v>3</v>
      </c>
      <c r="I8" s="533">
        <v>4</v>
      </c>
      <c r="J8" s="533" t="s">
        <v>652</v>
      </c>
    </row>
    <row r="9" spans="1:10" s="49" customFormat="1" ht="12.75">
      <c r="A9" s="534" t="s">
        <v>653</v>
      </c>
      <c r="B9" s="193"/>
      <c r="C9" s="185">
        <f>SUM(C10,C30)</f>
        <v>0</v>
      </c>
      <c r="D9" s="185"/>
      <c r="E9" s="185">
        <f>SUM(E10,E30)</f>
        <v>0</v>
      </c>
      <c r="F9" s="534" t="s">
        <v>653</v>
      </c>
      <c r="G9" s="185">
        <v>439444</v>
      </c>
      <c r="H9" s="185">
        <v>187296</v>
      </c>
      <c r="I9" s="215">
        <v>42.62113033742638</v>
      </c>
      <c r="J9" s="185">
        <v>39918</v>
      </c>
    </row>
    <row r="10" spans="1:10" ht="25.5">
      <c r="A10" s="535" t="s">
        <v>654</v>
      </c>
      <c r="B10" s="193"/>
      <c r="C10" s="185">
        <f>C11+C22+C29</f>
        <v>0</v>
      </c>
      <c r="D10" s="185"/>
      <c r="E10" s="185">
        <f>E11+E22+E29</f>
        <v>0</v>
      </c>
      <c r="F10" s="535" t="s">
        <v>654</v>
      </c>
      <c r="G10" s="185">
        <v>286829</v>
      </c>
      <c r="H10" s="185">
        <v>123561</v>
      </c>
      <c r="I10" s="215">
        <v>43.07828009022798</v>
      </c>
      <c r="J10" s="185">
        <v>25850</v>
      </c>
    </row>
    <row r="11" spans="1:10" s="49" customFormat="1" ht="12.75">
      <c r="A11" s="536" t="s">
        <v>655</v>
      </c>
      <c r="B11" s="193"/>
      <c r="C11" s="185">
        <f>SUM(C12,C20,)</f>
        <v>0</v>
      </c>
      <c r="D11" s="185"/>
      <c r="E11" s="185">
        <f>SUM(E12,E20,)</f>
        <v>0</v>
      </c>
      <c r="F11" s="536" t="s">
        <v>655</v>
      </c>
      <c r="G11" s="185">
        <v>243912</v>
      </c>
      <c r="H11" s="185">
        <v>104495</v>
      </c>
      <c r="I11" s="215">
        <v>42.841270622191615</v>
      </c>
      <c r="J11" s="185">
        <v>21858</v>
      </c>
    </row>
    <row r="12" spans="1:10" s="49" customFormat="1" ht="12.75">
      <c r="A12" s="536" t="s">
        <v>183</v>
      </c>
      <c r="B12" s="193"/>
      <c r="C12" s="185">
        <f>SUM(C13,C15,C18,C19)</f>
        <v>0</v>
      </c>
      <c r="D12" s="185"/>
      <c r="E12" s="185">
        <f>SUM(E13,E15,E18,E19)</f>
        <v>0</v>
      </c>
      <c r="F12" s="536" t="s">
        <v>183</v>
      </c>
      <c r="G12" s="185">
        <v>242881</v>
      </c>
      <c r="H12" s="185">
        <v>103970</v>
      </c>
      <c r="I12" s="215">
        <v>42.806971315170806</v>
      </c>
      <c r="J12" s="185">
        <v>21745</v>
      </c>
    </row>
    <row r="13" spans="1:10" s="38" customFormat="1" ht="12.75">
      <c r="A13" s="253" t="s">
        <v>656</v>
      </c>
      <c r="B13" s="193"/>
      <c r="C13" s="193"/>
      <c r="D13" s="195"/>
      <c r="E13" s="193">
        <f>C13-'[12]Marts'!C13</f>
        <v>0</v>
      </c>
      <c r="F13" s="253" t="s">
        <v>657</v>
      </c>
      <c r="G13" s="193">
        <v>203575</v>
      </c>
      <c r="H13" s="193">
        <v>81618</v>
      </c>
      <c r="I13" s="195">
        <v>40.09234925703058</v>
      </c>
      <c r="J13" s="193">
        <v>16336</v>
      </c>
    </row>
    <row r="14" spans="1:10" s="38" customFormat="1" ht="12.75">
      <c r="A14" s="294" t="s">
        <v>658</v>
      </c>
      <c r="B14" s="193"/>
      <c r="C14" s="193"/>
      <c r="D14" s="195"/>
      <c r="E14" s="193"/>
      <c r="F14" s="294" t="s">
        <v>658</v>
      </c>
      <c r="G14" s="193">
        <v>1055</v>
      </c>
      <c r="H14" s="193">
        <v>1055</v>
      </c>
      <c r="I14" s="195">
        <v>100</v>
      </c>
      <c r="J14" s="193">
        <v>0</v>
      </c>
    </row>
    <row r="15" spans="1:10" s="38" customFormat="1" ht="12.75">
      <c r="A15" s="253" t="s">
        <v>659</v>
      </c>
      <c r="B15" s="193"/>
      <c r="C15" s="193">
        <f>SUM(C16:C17)</f>
        <v>0</v>
      </c>
      <c r="D15" s="195"/>
      <c r="E15" s="193">
        <f>C15-'[12]Marts'!C15</f>
        <v>0</v>
      </c>
      <c r="F15" s="253" t="s">
        <v>659</v>
      </c>
      <c r="G15" s="193">
        <v>38069</v>
      </c>
      <c r="H15" s="193">
        <v>20896</v>
      </c>
      <c r="I15" s="195">
        <v>54.88980535343718</v>
      </c>
      <c r="J15" s="193">
        <v>5212</v>
      </c>
    </row>
    <row r="16" spans="1:10" s="38" customFormat="1" ht="25.5">
      <c r="A16" s="537" t="s">
        <v>660</v>
      </c>
      <c r="B16" s="193"/>
      <c r="C16" s="193"/>
      <c r="D16" s="195"/>
      <c r="E16" s="193">
        <f>C16-'[12]Marts'!C16</f>
        <v>0</v>
      </c>
      <c r="F16" s="537" t="s">
        <v>660</v>
      </c>
      <c r="G16" s="193">
        <v>22341</v>
      </c>
      <c r="H16" s="193">
        <v>11071</v>
      </c>
      <c r="I16" s="195">
        <v>49.55463049997762</v>
      </c>
      <c r="J16" s="193">
        <v>3309</v>
      </c>
    </row>
    <row r="17" spans="1:10" s="38" customFormat="1" ht="26.25" customHeight="1">
      <c r="A17" s="537" t="s">
        <v>661</v>
      </c>
      <c r="B17" s="193"/>
      <c r="C17" s="193"/>
      <c r="D17" s="195"/>
      <c r="E17" s="193">
        <f>C17-'[12]Marts'!C17</f>
        <v>0</v>
      </c>
      <c r="F17" s="537" t="s">
        <v>661</v>
      </c>
      <c r="G17" s="193">
        <v>15728</v>
      </c>
      <c r="H17" s="193">
        <v>9825</v>
      </c>
      <c r="I17" s="195">
        <v>62.46820956256358</v>
      </c>
      <c r="J17" s="193">
        <v>1903</v>
      </c>
    </row>
    <row r="18" spans="1:10" s="38" customFormat="1" ht="12.75">
      <c r="A18" s="253" t="s">
        <v>662</v>
      </c>
      <c r="B18" s="193"/>
      <c r="C18" s="193"/>
      <c r="D18" s="195"/>
      <c r="E18" s="193">
        <f>C18-'[12]Marts'!C18</f>
        <v>0</v>
      </c>
      <c r="F18" s="253" t="s">
        <v>662</v>
      </c>
      <c r="G18" s="193">
        <v>234</v>
      </c>
      <c r="H18" s="193">
        <v>940</v>
      </c>
      <c r="I18" s="195">
        <v>401.70940170940173</v>
      </c>
      <c r="J18" s="193">
        <v>90</v>
      </c>
    </row>
    <row r="19" spans="1:10" s="38" customFormat="1" ht="12.75">
      <c r="A19" s="253" t="s">
        <v>663</v>
      </c>
      <c r="B19" s="193"/>
      <c r="C19" s="193"/>
      <c r="D19" s="195"/>
      <c r="E19" s="193">
        <f>C19-'[12]Marts'!C19</f>
        <v>0</v>
      </c>
      <c r="F19" s="253" t="s">
        <v>663</v>
      </c>
      <c r="G19" s="193">
        <v>1003</v>
      </c>
      <c r="H19" s="193">
        <v>516</v>
      </c>
      <c r="I19" s="195">
        <v>51.4456630109671</v>
      </c>
      <c r="J19" s="193">
        <v>107</v>
      </c>
    </row>
    <row r="20" spans="1:10" s="49" customFormat="1" ht="12.75">
      <c r="A20" s="536" t="s">
        <v>185</v>
      </c>
      <c r="B20" s="193"/>
      <c r="C20" s="185">
        <f>C21</f>
        <v>0</v>
      </c>
      <c r="D20" s="215"/>
      <c r="E20" s="185">
        <f>E21</f>
        <v>0</v>
      </c>
      <c r="F20" s="536" t="s">
        <v>185</v>
      </c>
      <c r="G20" s="185">
        <v>1031</v>
      </c>
      <c r="H20" s="185">
        <v>525</v>
      </c>
      <c r="I20" s="215">
        <v>50.921435499515034</v>
      </c>
      <c r="J20" s="185">
        <v>113</v>
      </c>
    </row>
    <row r="21" spans="1:10" ht="25.5">
      <c r="A21" s="538" t="s">
        <v>664</v>
      </c>
      <c r="B21" s="193"/>
      <c r="C21" s="193"/>
      <c r="D21" s="195"/>
      <c r="E21" s="193">
        <f>C21-'[12]Marts'!C21</f>
        <v>0</v>
      </c>
      <c r="F21" s="538" t="s">
        <v>664</v>
      </c>
      <c r="G21" s="193">
        <v>1031</v>
      </c>
      <c r="H21" s="193">
        <v>525</v>
      </c>
      <c r="I21" s="195">
        <v>50.921435499515034</v>
      </c>
      <c r="J21" s="193">
        <v>113</v>
      </c>
    </row>
    <row r="22" spans="1:10" s="49" customFormat="1" ht="12.75">
      <c r="A22" s="536" t="s">
        <v>665</v>
      </c>
      <c r="B22" s="193"/>
      <c r="C22" s="185">
        <f>SUM(C23:C28)</f>
        <v>0</v>
      </c>
      <c r="D22" s="215"/>
      <c r="E22" s="185">
        <f>SUM(E23:E28)</f>
        <v>0</v>
      </c>
      <c r="F22" s="536" t="s">
        <v>665</v>
      </c>
      <c r="G22" s="185">
        <v>17566</v>
      </c>
      <c r="H22" s="185">
        <v>7706</v>
      </c>
      <c r="I22" s="215">
        <v>43.868837527040874</v>
      </c>
      <c r="J22" s="185">
        <v>1489</v>
      </c>
    </row>
    <row r="23" spans="1:10" ht="12.75">
      <c r="A23" s="253" t="s">
        <v>666</v>
      </c>
      <c r="B23" s="193"/>
      <c r="C23" s="193"/>
      <c r="D23" s="195"/>
      <c r="E23" s="193">
        <f>C23-'[12]Marts'!C23</f>
        <v>0</v>
      </c>
      <c r="F23" s="253" t="s">
        <v>666</v>
      </c>
      <c r="G23" s="193">
        <v>498</v>
      </c>
      <c r="H23" s="193">
        <v>194</v>
      </c>
      <c r="I23" s="195">
        <v>38.95582329317269</v>
      </c>
      <c r="J23" s="193">
        <v>12</v>
      </c>
    </row>
    <row r="24" spans="1:10" ht="12.75">
      <c r="A24" s="253" t="s">
        <v>667</v>
      </c>
      <c r="B24" s="193"/>
      <c r="C24" s="193"/>
      <c r="D24" s="195"/>
      <c r="E24" s="193">
        <f>C24-'[12]Marts'!C24</f>
        <v>0</v>
      </c>
      <c r="F24" s="253" t="s">
        <v>667</v>
      </c>
      <c r="G24" s="193">
        <v>3084</v>
      </c>
      <c r="H24" s="193">
        <v>1378</v>
      </c>
      <c r="I24" s="195">
        <v>44.6822308690013</v>
      </c>
      <c r="J24" s="193">
        <v>322</v>
      </c>
    </row>
    <row r="25" spans="1:10" ht="12.75">
      <c r="A25" s="253" t="s">
        <v>668</v>
      </c>
      <c r="B25" s="193"/>
      <c r="C25" s="193"/>
      <c r="D25" s="195"/>
      <c r="E25" s="193">
        <f>C25-'[12]Marts'!C25</f>
        <v>0</v>
      </c>
      <c r="F25" s="253" t="s">
        <v>668</v>
      </c>
      <c r="G25" s="193">
        <v>238</v>
      </c>
      <c r="H25" s="193">
        <v>91</v>
      </c>
      <c r="I25" s="195">
        <v>38.23529411764706</v>
      </c>
      <c r="J25" s="193">
        <v>21</v>
      </c>
    </row>
    <row r="26" spans="1:10" ht="12.75">
      <c r="A26" s="253" t="s">
        <v>669</v>
      </c>
      <c r="B26" s="193"/>
      <c r="C26" s="193"/>
      <c r="D26" s="195"/>
      <c r="E26" s="193">
        <f>C26-'[12]Marts'!C26</f>
        <v>0</v>
      </c>
      <c r="F26" s="253" t="s">
        <v>669</v>
      </c>
      <c r="G26" s="193">
        <v>13024</v>
      </c>
      <c r="H26" s="193">
        <v>5714</v>
      </c>
      <c r="I26" s="195">
        <v>43.872850122850124</v>
      </c>
      <c r="J26" s="193">
        <v>1109</v>
      </c>
    </row>
    <row r="27" spans="1:10" ht="25.5">
      <c r="A27" s="539" t="s">
        <v>670</v>
      </c>
      <c r="B27" s="193"/>
      <c r="C27" s="193"/>
      <c r="D27" s="195"/>
      <c r="E27" s="193">
        <f>C27-'[12]Marts'!C27</f>
        <v>0</v>
      </c>
      <c r="F27" s="539" t="s">
        <v>670</v>
      </c>
      <c r="G27" s="193">
        <v>578</v>
      </c>
      <c r="H27" s="193">
        <v>270</v>
      </c>
      <c r="I27" s="195">
        <v>46.71280276816609</v>
      </c>
      <c r="J27" s="193">
        <v>21</v>
      </c>
    </row>
    <row r="28" spans="1:10" ht="12.75">
      <c r="A28" s="253" t="s">
        <v>671</v>
      </c>
      <c r="B28" s="193"/>
      <c r="C28" s="193"/>
      <c r="D28" s="195"/>
      <c r="E28" s="193">
        <f>C28-'[12]Marts'!C28</f>
        <v>0</v>
      </c>
      <c r="F28" s="253" t="s">
        <v>671</v>
      </c>
      <c r="G28" s="193">
        <v>144</v>
      </c>
      <c r="H28" s="193">
        <v>59</v>
      </c>
      <c r="I28" s="195">
        <v>40.97222222222222</v>
      </c>
      <c r="J28" s="193">
        <v>4</v>
      </c>
    </row>
    <row r="29" spans="1:10" ht="38.25">
      <c r="A29" s="540" t="s">
        <v>672</v>
      </c>
      <c r="B29" s="193"/>
      <c r="C29" s="185"/>
      <c r="D29" s="215"/>
      <c r="E29" s="185">
        <f>C29-'[12]Marts'!C29</f>
        <v>0</v>
      </c>
      <c r="F29" s="540" t="s">
        <v>672</v>
      </c>
      <c r="G29" s="185">
        <v>25351</v>
      </c>
      <c r="H29" s="185">
        <v>11360</v>
      </c>
      <c r="I29" s="215">
        <v>44.81085558755078</v>
      </c>
      <c r="J29" s="185">
        <v>2503</v>
      </c>
    </row>
    <row r="30" spans="1:10" ht="12.75">
      <c r="A30" s="536" t="s">
        <v>673</v>
      </c>
      <c r="B30" s="193"/>
      <c r="C30" s="185">
        <f>SUM(C31,C35,C39,C43)</f>
        <v>0</v>
      </c>
      <c r="D30" s="215"/>
      <c r="E30" s="185">
        <f>SUM(E31,E35,E39,E43)</f>
        <v>0</v>
      </c>
      <c r="F30" s="536" t="s">
        <v>673</v>
      </c>
      <c r="G30" s="185">
        <v>152615</v>
      </c>
      <c r="H30" s="185">
        <v>63735</v>
      </c>
      <c r="I30" s="215">
        <v>41.761950004914326</v>
      </c>
      <c r="J30" s="185">
        <v>14068</v>
      </c>
    </row>
    <row r="31" spans="1:10" ht="12.75">
      <c r="A31" s="534" t="s">
        <v>674</v>
      </c>
      <c r="B31" s="193"/>
      <c r="C31" s="185">
        <f>SUM(C32:C34)</f>
        <v>0</v>
      </c>
      <c r="D31" s="215"/>
      <c r="E31" s="185">
        <f>SUM(E32:E34)</f>
        <v>0</v>
      </c>
      <c r="F31" s="534" t="s">
        <v>674</v>
      </c>
      <c r="G31" s="185">
        <v>8499</v>
      </c>
      <c r="H31" s="185">
        <v>3218</v>
      </c>
      <c r="I31" s="215">
        <v>37.86327803270973</v>
      </c>
      <c r="J31" s="185">
        <v>913</v>
      </c>
    </row>
    <row r="32" spans="1:10" ht="25.5">
      <c r="A32" s="539" t="s">
        <v>675</v>
      </c>
      <c r="B32" s="193"/>
      <c r="C32" s="193"/>
      <c r="D32" s="195"/>
      <c r="E32" s="193">
        <f>C32-'[12]Marts'!C32</f>
        <v>0</v>
      </c>
      <c r="F32" s="539" t="s">
        <v>675</v>
      </c>
      <c r="G32" s="193">
        <v>6878</v>
      </c>
      <c r="H32" s="193">
        <v>2493</v>
      </c>
      <c r="I32" s="195">
        <v>36.246001744693224</v>
      </c>
      <c r="J32" s="193">
        <v>757</v>
      </c>
    </row>
    <row r="33" spans="1:10" ht="38.25">
      <c r="A33" s="539" t="s">
        <v>676</v>
      </c>
      <c r="B33" s="193"/>
      <c r="C33" s="193"/>
      <c r="D33" s="195"/>
      <c r="E33" s="193">
        <f>C33-'[12]Marts'!C33</f>
        <v>0</v>
      </c>
      <c r="F33" s="539" t="s">
        <v>676</v>
      </c>
      <c r="G33" s="193">
        <v>503</v>
      </c>
      <c r="H33" s="193">
        <v>194</v>
      </c>
      <c r="I33" s="195">
        <v>38.56858846918489</v>
      </c>
      <c r="J33" s="193">
        <v>36</v>
      </c>
    </row>
    <row r="34" spans="1:10" ht="12.75">
      <c r="A34" s="253" t="s">
        <v>677</v>
      </c>
      <c r="B34" s="193"/>
      <c r="C34" s="193"/>
      <c r="D34" s="195"/>
      <c r="E34" s="193">
        <f>C34-'[12]Marts'!C34</f>
        <v>0</v>
      </c>
      <c r="F34" s="253" t="s">
        <v>677</v>
      </c>
      <c r="G34" s="193">
        <v>1118</v>
      </c>
      <c r="H34" s="193">
        <v>531</v>
      </c>
      <c r="I34" s="195">
        <v>47.49552772808587</v>
      </c>
      <c r="J34" s="193">
        <v>120</v>
      </c>
    </row>
    <row r="35" spans="1:10" ht="12.75">
      <c r="A35" s="534" t="s">
        <v>678</v>
      </c>
      <c r="B35" s="193"/>
      <c r="C35" s="185">
        <f>SUM(C36:C38)</f>
        <v>0</v>
      </c>
      <c r="D35" s="215"/>
      <c r="E35" s="185">
        <f>SUM(E36:E38)</f>
        <v>0</v>
      </c>
      <c r="F35" s="534" t="s">
        <v>678</v>
      </c>
      <c r="G35" s="185">
        <v>108713</v>
      </c>
      <c r="H35" s="185">
        <v>45619</v>
      </c>
      <c r="I35" s="215">
        <v>41.96278273987472</v>
      </c>
      <c r="J35" s="185">
        <v>10168</v>
      </c>
    </row>
    <row r="36" spans="1:10" ht="12.75">
      <c r="A36" s="253" t="s">
        <v>679</v>
      </c>
      <c r="B36" s="193"/>
      <c r="C36" s="193"/>
      <c r="D36" s="195"/>
      <c r="E36" s="193">
        <f>C36-'[12]Marts'!C36</f>
        <v>0</v>
      </c>
      <c r="F36" s="253" t="s">
        <v>679</v>
      </c>
      <c r="G36" s="193">
        <v>574</v>
      </c>
      <c r="H36" s="193">
        <v>107</v>
      </c>
      <c r="I36" s="195">
        <v>18.641114982578397</v>
      </c>
      <c r="J36" s="193">
        <v>-131</v>
      </c>
    </row>
    <row r="37" spans="1:10" ht="12.75">
      <c r="A37" s="253" t="s">
        <v>680</v>
      </c>
      <c r="B37" s="193"/>
      <c r="C37" s="193"/>
      <c r="D37" s="195"/>
      <c r="E37" s="193">
        <f>C37-'[12]Marts'!C37</f>
        <v>0</v>
      </c>
      <c r="F37" s="253" t="s">
        <v>680</v>
      </c>
      <c r="G37" s="193">
        <v>108139</v>
      </c>
      <c r="H37" s="193">
        <v>45512</v>
      </c>
      <c r="I37" s="195">
        <v>42.08657376154763</v>
      </c>
      <c r="J37" s="193">
        <v>10299</v>
      </c>
    </row>
    <row r="38" spans="1:10" ht="21.75" customHeight="1">
      <c r="A38" s="538" t="s">
        <v>681</v>
      </c>
      <c r="B38" s="193"/>
      <c r="C38" s="193"/>
      <c r="D38" s="195"/>
      <c r="E38" s="193">
        <f>C38-'[12]Marts'!C38</f>
        <v>0</v>
      </c>
      <c r="F38" s="541" t="s">
        <v>681</v>
      </c>
      <c r="G38" s="193"/>
      <c r="H38" s="193"/>
      <c r="I38" s="215"/>
      <c r="J38" s="193"/>
    </row>
    <row r="39" spans="1:10" ht="38.25">
      <c r="A39" s="535" t="s">
        <v>682</v>
      </c>
      <c r="B39" s="193"/>
      <c r="C39" s="185">
        <f>SUM(C40:C42)</f>
        <v>0</v>
      </c>
      <c r="D39" s="185"/>
      <c r="E39" s="185">
        <f>SUM(E40:E42)</f>
        <v>0</v>
      </c>
      <c r="F39" s="542" t="s">
        <v>682</v>
      </c>
      <c r="G39" s="185">
        <v>34369</v>
      </c>
      <c r="H39" s="185">
        <v>14318</v>
      </c>
      <c r="I39" s="215">
        <v>41.659635136314705</v>
      </c>
      <c r="J39" s="185">
        <v>2864</v>
      </c>
    </row>
    <row r="40" spans="1:10" ht="12.75" customHeight="1">
      <c r="A40" s="253" t="s">
        <v>679</v>
      </c>
      <c r="B40" s="193"/>
      <c r="C40" s="193"/>
      <c r="D40" s="195"/>
      <c r="E40" s="193">
        <f>C40-'[12]Marts'!C40</f>
        <v>0</v>
      </c>
      <c r="F40" s="253" t="s">
        <v>679</v>
      </c>
      <c r="G40" s="193">
        <v>34360</v>
      </c>
      <c r="H40" s="193">
        <v>14300</v>
      </c>
      <c r="I40" s="195">
        <v>41.61816065192084</v>
      </c>
      <c r="J40" s="193">
        <v>2861</v>
      </c>
    </row>
    <row r="41" spans="1:10" ht="12.75" customHeight="1" hidden="1">
      <c r="A41" s="253" t="s">
        <v>683</v>
      </c>
      <c r="B41" s="193"/>
      <c r="C41" s="193"/>
      <c r="D41" s="195"/>
      <c r="E41" s="193">
        <f>C41-'[12]Marts'!C41</f>
        <v>0</v>
      </c>
      <c r="F41" s="253" t="s">
        <v>683</v>
      </c>
      <c r="G41" s="193"/>
      <c r="H41" s="193">
        <v>0</v>
      </c>
      <c r="I41" s="195" t="e">
        <v>#DIV/0!</v>
      </c>
      <c r="J41" s="193">
        <v>0</v>
      </c>
    </row>
    <row r="42" spans="1:10" ht="12.75" customHeight="1">
      <c r="A42" s="253" t="s">
        <v>684</v>
      </c>
      <c r="B42" s="193"/>
      <c r="C42" s="193"/>
      <c r="D42" s="195"/>
      <c r="E42" s="193">
        <f>C42-'[12]Marts'!C42</f>
        <v>0</v>
      </c>
      <c r="F42" s="253" t="s">
        <v>685</v>
      </c>
      <c r="G42" s="193">
        <v>9</v>
      </c>
      <c r="H42" s="193">
        <v>18</v>
      </c>
      <c r="I42" s="195">
        <v>200</v>
      </c>
      <c r="J42" s="193">
        <v>3</v>
      </c>
    </row>
    <row r="43" spans="1:10" ht="12.75">
      <c r="A43" s="534" t="s">
        <v>686</v>
      </c>
      <c r="B43" s="543"/>
      <c r="C43" s="193"/>
      <c r="D43" s="195"/>
      <c r="E43" s="193">
        <f>C43-'[12]Marts'!C43</f>
        <v>0</v>
      </c>
      <c r="F43" s="534" t="s">
        <v>686</v>
      </c>
      <c r="G43" s="185">
        <v>1034</v>
      </c>
      <c r="H43" s="185">
        <v>580</v>
      </c>
      <c r="I43" s="215">
        <v>56.09284332688588</v>
      </c>
      <c r="J43" s="185">
        <v>123</v>
      </c>
    </row>
    <row r="44" spans="1:10" ht="12.75">
      <c r="A44" s="544" t="s">
        <v>687</v>
      </c>
      <c r="B44" s="545"/>
      <c r="C44" s="3" t="s">
        <v>688</v>
      </c>
      <c r="D44" s="546"/>
      <c r="E44" s="193"/>
      <c r="F44" s="735" t="s">
        <v>42</v>
      </c>
      <c r="G44" s="736"/>
      <c r="H44" s="736"/>
      <c r="I44" s="546"/>
      <c r="J44" s="547"/>
    </row>
    <row r="45" spans="1:10" ht="12.75">
      <c r="A45" s="544"/>
      <c r="B45" s="520"/>
      <c r="C45" s="520"/>
      <c r="D45" s="520"/>
      <c r="E45" s="547"/>
      <c r="F45" s="780" t="s">
        <v>43</v>
      </c>
      <c r="G45" s="780"/>
      <c r="H45" s="780"/>
      <c r="I45" s="520"/>
      <c r="J45" s="547"/>
    </row>
    <row r="47" s="1" customFormat="1" ht="17.25" customHeight="1">
      <c r="A47" s="49"/>
    </row>
    <row r="48" spans="1:10" ht="17.25" customHeight="1">
      <c r="A48" s="41" t="s">
        <v>298</v>
      </c>
      <c r="B48" s="39"/>
      <c r="C48" s="39"/>
      <c r="D48" s="39" t="s">
        <v>299</v>
      </c>
      <c r="E48" s="1"/>
      <c r="F48" s="240" t="s">
        <v>17</v>
      </c>
      <c r="G48" s="241"/>
      <c r="H48" s="241"/>
      <c r="I48" s="239"/>
      <c r="J48" s="239" t="s">
        <v>215</v>
      </c>
    </row>
    <row r="49" spans="1:10" s="1" customFormat="1" ht="17.25" customHeight="1">
      <c r="A49" s="520"/>
      <c r="B49" s="520"/>
      <c r="C49" s="520"/>
      <c r="D49" s="520"/>
      <c r="E49" s="518"/>
      <c r="F49" s="732"/>
      <c r="G49" s="239"/>
      <c r="H49" s="239"/>
      <c r="I49" s="239"/>
      <c r="J49" s="239"/>
    </row>
    <row r="50" spans="2:10" ht="17.25" customHeight="1">
      <c r="B50" s="520"/>
      <c r="C50" s="520"/>
      <c r="D50" s="520"/>
      <c r="F50" s="733"/>
      <c r="G50" s="239"/>
      <c r="H50" s="239"/>
      <c r="I50" s="239"/>
      <c r="J50" s="239"/>
    </row>
    <row r="51" spans="1:10" s="546" customFormat="1" ht="12.75">
      <c r="A51" s="548"/>
      <c r="C51" s="33"/>
      <c r="D51" s="498"/>
      <c r="F51" s="733"/>
      <c r="G51" s="239"/>
      <c r="H51" s="239"/>
      <c r="I51" s="239"/>
      <c r="J51" s="239"/>
    </row>
    <row r="52" spans="2:10" ht="12.75">
      <c r="B52" s="546"/>
      <c r="C52" s="546"/>
      <c r="D52" s="546"/>
      <c r="F52" s="744" t="s">
        <v>459</v>
      </c>
      <c r="G52" s="744"/>
      <c r="H52" s="744"/>
      <c r="I52" s="744"/>
      <c r="J52" s="744"/>
    </row>
    <row r="53" spans="1:10" s="546" customFormat="1" ht="17.25" customHeight="1">
      <c r="A53" s="548"/>
      <c r="C53" s="33"/>
      <c r="D53" s="498"/>
      <c r="F53" s="745" t="s">
        <v>19</v>
      </c>
      <c r="G53" s="745"/>
      <c r="H53" s="745"/>
      <c r="I53" s="239"/>
      <c r="J53" s="239"/>
    </row>
    <row r="54" spans="2:9" ht="17.25" customHeight="1">
      <c r="B54" s="546"/>
      <c r="C54" s="546"/>
      <c r="D54" s="546"/>
      <c r="G54" s="546"/>
      <c r="H54" s="546"/>
      <c r="I54" s="546"/>
    </row>
    <row r="55" spans="2:8" ht="17.25" customHeight="1">
      <c r="B55" s="549"/>
      <c r="C55" s="33"/>
      <c r="G55" s="549"/>
      <c r="H55" s="33"/>
    </row>
    <row r="56" spans="2:8" ht="17.25" customHeight="1">
      <c r="B56" s="549"/>
      <c r="C56" s="38"/>
      <c r="G56" s="549"/>
      <c r="H56" s="38"/>
    </row>
    <row r="58" spans="2:8" ht="17.25" customHeight="1">
      <c r="B58" s="549"/>
      <c r="C58" s="1"/>
      <c r="G58" s="549"/>
      <c r="H58" s="1"/>
    </row>
    <row r="59" spans="2:8" ht="17.25" customHeight="1">
      <c r="B59" s="549"/>
      <c r="C59" s="1"/>
      <c r="G59" s="549"/>
      <c r="H59" s="1"/>
    </row>
  </sheetData>
  <mergeCells count="4">
    <mergeCell ref="F44:H44"/>
    <mergeCell ref="F45:H45"/>
    <mergeCell ref="F52:J52"/>
    <mergeCell ref="F53:H53"/>
  </mergeCells>
  <printOptions/>
  <pageMargins left="0.75" right="0.75" top="0.25" bottom="0.2" header="0.5" footer="0.5"/>
  <pageSetup firstPageNumber="33" useFirstPageNumber="1" fitToHeight="1" fitToWidth="1" horizontalDpi="600" verticalDpi="600" orientation="portrait" paperSize="9" scale="93" r:id="rId1"/>
  <headerFooter alignWithMargins="0">
    <oddFooter>&amp;R&amp;9&amp;P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J47"/>
  <sheetViews>
    <sheetView workbookViewId="0" topLeftCell="F24">
      <selection activeCell="K52" sqref="K52"/>
    </sheetView>
  </sheetViews>
  <sheetFormatPr defaultColWidth="9.140625" defaultRowHeight="17.25" customHeight="1"/>
  <cols>
    <col min="1" max="1" width="45.57421875" style="520" hidden="1" customWidth="1"/>
    <col min="2" max="2" width="10.8515625" style="565" hidden="1" customWidth="1"/>
    <col min="3" max="3" width="11.28125" style="498" hidden="1" customWidth="1"/>
    <col min="4" max="4" width="12.140625" style="498" hidden="1" customWidth="1"/>
    <col min="5" max="5" width="12.8515625" style="498" hidden="1" customWidth="1"/>
    <col min="6" max="6" width="45.57421875" style="520" customWidth="1"/>
    <col min="7" max="7" width="10.8515625" style="565" customWidth="1"/>
    <col min="8" max="8" width="11.28125" style="498" customWidth="1"/>
    <col min="9" max="9" width="12.140625" style="498" customWidth="1"/>
    <col min="10" max="10" width="12.8515625" style="498" customWidth="1"/>
    <col min="11" max="16384" width="9.140625" style="498" customWidth="1"/>
  </cols>
  <sheetData>
    <row r="1" spans="2:10" ht="17.25" customHeight="1">
      <c r="B1" s="521"/>
      <c r="C1" s="51"/>
      <c r="D1" s="51"/>
      <c r="E1" s="51" t="s">
        <v>689</v>
      </c>
      <c r="G1" s="521"/>
      <c r="H1" s="51"/>
      <c r="I1" s="51"/>
      <c r="J1" s="51" t="s">
        <v>689</v>
      </c>
    </row>
    <row r="2" spans="1:10" ht="17.25" customHeight="1">
      <c r="A2" s="781" t="s">
        <v>690</v>
      </c>
      <c r="B2" s="781"/>
      <c r="C2" s="781"/>
      <c r="D2" s="781"/>
      <c r="E2" s="781"/>
      <c r="F2" s="781" t="s">
        <v>174</v>
      </c>
      <c r="G2" s="781"/>
      <c r="H2" s="781"/>
      <c r="I2" s="781"/>
      <c r="J2" s="781"/>
    </row>
    <row r="3" spans="1:10" s="38" customFormat="1" ht="17.25" customHeight="1">
      <c r="A3" s="521"/>
      <c r="B3" s="551"/>
      <c r="C3" s="89"/>
      <c r="D3" s="89"/>
      <c r="E3" s="89"/>
      <c r="F3" s="521"/>
      <c r="G3" s="551"/>
      <c r="H3" s="89"/>
      <c r="I3" s="89"/>
      <c r="J3" s="89"/>
    </row>
    <row r="4" spans="1:10" ht="17.25" customHeight="1">
      <c r="A4" s="782" t="s">
        <v>691</v>
      </c>
      <c r="B4" s="782"/>
      <c r="C4" s="782"/>
      <c r="D4" s="782"/>
      <c r="E4" s="782"/>
      <c r="F4" s="782" t="s">
        <v>691</v>
      </c>
      <c r="G4" s="782"/>
      <c r="H4" s="782"/>
      <c r="I4" s="782"/>
      <c r="J4" s="782"/>
    </row>
    <row r="5" spans="1:10" s="524" customFormat="1" ht="14.25" customHeight="1">
      <c r="A5" s="782" t="s">
        <v>692</v>
      </c>
      <c r="B5" s="782"/>
      <c r="C5" s="782"/>
      <c r="D5" s="782"/>
      <c r="E5" s="782"/>
      <c r="F5" s="781" t="s">
        <v>28</v>
      </c>
      <c r="G5" s="781"/>
      <c r="H5" s="781"/>
      <c r="I5" s="781"/>
      <c r="J5" s="781"/>
    </row>
    <row r="6" spans="2:10" ht="17.25" customHeight="1">
      <c r="B6" s="553"/>
      <c r="C6" s="38"/>
      <c r="D6" s="89"/>
      <c r="E6" s="51" t="s">
        <v>385</v>
      </c>
      <c r="G6" s="553"/>
      <c r="H6" s="38"/>
      <c r="I6" s="89" t="s">
        <v>693</v>
      </c>
      <c r="J6" s="51"/>
    </row>
    <row r="7" spans="1:10" s="38" customFormat="1" ht="33.75">
      <c r="A7" s="554" t="s">
        <v>47</v>
      </c>
      <c r="B7" s="531" t="s">
        <v>598</v>
      </c>
      <c r="C7" s="531" t="s">
        <v>96</v>
      </c>
      <c r="D7" s="531" t="s">
        <v>650</v>
      </c>
      <c r="E7" s="9" t="s">
        <v>307</v>
      </c>
      <c r="F7" s="554" t="s">
        <v>47</v>
      </c>
      <c r="G7" s="531" t="s">
        <v>598</v>
      </c>
      <c r="H7" s="531" t="s">
        <v>96</v>
      </c>
      <c r="I7" s="531" t="s">
        <v>650</v>
      </c>
      <c r="J7" s="9" t="s">
        <v>38</v>
      </c>
    </row>
    <row r="8" spans="1:10" ht="17.25" customHeight="1">
      <c r="A8" s="532" t="s">
        <v>651</v>
      </c>
      <c r="B8" s="533" t="s">
        <v>694</v>
      </c>
      <c r="C8" s="533" t="s">
        <v>695</v>
      </c>
      <c r="D8" s="533" t="s">
        <v>696</v>
      </c>
      <c r="E8" s="533" t="s">
        <v>652</v>
      </c>
      <c r="F8" s="532" t="s">
        <v>651</v>
      </c>
      <c r="G8" s="533" t="s">
        <v>694</v>
      </c>
      <c r="H8" s="533" t="s">
        <v>695</v>
      </c>
      <c r="I8" s="533" t="s">
        <v>696</v>
      </c>
      <c r="J8" s="533" t="s">
        <v>652</v>
      </c>
    </row>
    <row r="9" spans="1:10" ht="17.25" customHeight="1">
      <c r="A9" s="535" t="s">
        <v>697</v>
      </c>
      <c r="B9" s="185">
        <f>SUM(B10,B29)</f>
        <v>0</v>
      </c>
      <c r="C9" s="185">
        <f>SUM(C10,C29)</f>
        <v>0</v>
      </c>
      <c r="D9" s="215"/>
      <c r="E9" s="185">
        <f>SUM(E10,E29)</f>
        <v>0</v>
      </c>
      <c r="F9" s="535" t="s">
        <v>697</v>
      </c>
      <c r="G9" s="185">
        <v>468236</v>
      </c>
      <c r="H9" s="185">
        <v>189744</v>
      </c>
      <c r="I9" s="215">
        <v>40.52315499021861</v>
      </c>
      <c r="J9" s="185">
        <v>38772</v>
      </c>
    </row>
    <row r="10" spans="1:10" s="49" customFormat="1" ht="17.25" customHeight="1">
      <c r="A10" s="555" t="s">
        <v>698</v>
      </c>
      <c r="B10" s="185">
        <f>SUM(B11:B27)</f>
        <v>0</v>
      </c>
      <c r="C10" s="185">
        <f>SUM(C11:C27)</f>
        <v>0</v>
      </c>
      <c r="D10" s="215"/>
      <c r="E10" s="185">
        <f>SUM(E11:E27)</f>
        <v>0</v>
      </c>
      <c r="F10" s="555" t="s">
        <v>698</v>
      </c>
      <c r="G10" s="185">
        <v>431242</v>
      </c>
      <c r="H10" s="185">
        <v>175068</v>
      </c>
      <c r="I10" s="215">
        <v>40.59623135037867</v>
      </c>
      <c r="J10" s="185">
        <v>35582</v>
      </c>
    </row>
    <row r="11" spans="1:10" s="1" customFormat="1" ht="17.25" customHeight="1">
      <c r="A11" s="539" t="s">
        <v>699</v>
      </c>
      <c r="B11" s="193"/>
      <c r="C11" s="193"/>
      <c r="D11" s="195"/>
      <c r="E11" s="193">
        <f>C11-'[13]Marts'!C11</f>
        <v>0</v>
      </c>
      <c r="F11" s="539" t="s">
        <v>699</v>
      </c>
      <c r="G11" s="193">
        <v>46980</v>
      </c>
      <c r="H11" s="193">
        <v>19338</v>
      </c>
      <c r="I11" s="215">
        <v>41.162196679438054</v>
      </c>
      <c r="J11" s="193">
        <v>3461</v>
      </c>
    </row>
    <row r="12" spans="1:10" s="1" customFormat="1" ht="17.25" customHeight="1">
      <c r="A12" s="539" t="s">
        <v>366</v>
      </c>
      <c r="B12" s="193"/>
      <c r="C12" s="193"/>
      <c r="D12" s="195"/>
      <c r="E12" s="193">
        <f>C12-'[13]Marts'!C12</f>
        <v>0</v>
      </c>
      <c r="F12" s="539" t="s">
        <v>366</v>
      </c>
      <c r="G12" s="193">
        <v>143</v>
      </c>
      <c r="H12" s="193">
        <v>54</v>
      </c>
      <c r="I12" s="215">
        <v>37.76223776223776</v>
      </c>
      <c r="J12" s="193">
        <v>17</v>
      </c>
    </row>
    <row r="13" spans="1:10" s="1" customFormat="1" ht="17.25" customHeight="1">
      <c r="A13" s="539" t="s">
        <v>367</v>
      </c>
      <c r="B13" s="193"/>
      <c r="C13" s="193"/>
      <c r="D13" s="195"/>
      <c r="E13" s="193">
        <f>C13-'[13]Marts'!C13</f>
        <v>0</v>
      </c>
      <c r="F13" s="539" t="s">
        <v>367</v>
      </c>
      <c r="G13" s="193">
        <v>6242</v>
      </c>
      <c r="H13" s="193">
        <v>2443</v>
      </c>
      <c r="I13" s="215">
        <v>39.13809676385774</v>
      </c>
      <c r="J13" s="193">
        <v>626</v>
      </c>
    </row>
    <row r="14" spans="1:10" s="1" customFormat="1" ht="17.25" customHeight="1">
      <c r="A14" s="539" t="s">
        <v>368</v>
      </c>
      <c r="B14" s="193"/>
      <c r="C14" s="193"/>
      <c r="D14" s="195"/>
      <c r="E14" s="193">
        <f>C14-'[13]Marts'!C14</f>
        <v>0</v>
      </c>
      <c r="F14" s="539" t="s">
        <v>368</v>
      </c>
      <c r="G14" s="193">
        <v>217523</v>
      </c>
      <c r="H14" s="193">
        <v>82973</v>
      </c>
      <c r="I14" s="215">
        <v>38.14447207881466</v>
      </c>
      <c r="J14" s="193">
        <v>17940</v>
      </c>
    </row>
    <row r="15" spans="1:10" s="1" customFormat="1" ht="17.25" customHeight="1">
      <c r="A15" s="539" t="s">
        <v>369</v>
      </c>
      <c r="B15" s="193"/>
      <c r="C15" s="193"/>
      <c r="D15" s="195"/>
      <c r="E15" s="193">
        <f>C15-'[13]Marts'!C15</f>
        <v>0</v>
      </c>
      <c r="F15" s="539" t="s">
        <v>369</v>
      </c>
      <c r="G15" s="193">
        <v>5049</v>
      </c>
      <c r="H15" s="193">
        <v>2740</v>
      </c>
      <c r="I15" s="215">
        <v>54.26817191523073</v>
      </c>
      <c r="J15" s="193">
        <v>509</v>
      </c>
    </row>
    <row r="16" spans="1:10" s="1" customFormat="1" ht="17.25" customHeight="1">
      <c r="A16" s="539" t="s">
        <v>370</v>
      </c>
      <c r="B16" s="193"/>
      <c r="C16" s="193"/>
      <c r="D16" s="195"/>
      <c r="E16" s="193">
        <f>C16-'[13]Marts'!C16</f>
        <v>0</v>
      </c>
      <c r="F16" s="539" t="s">
        <v>370</v>
      </c>
      <c r="G16" s="193">
        <v>36534</v>
      </c>
      <c r="H16" s="193">
        <v>15716</v>
      </c>
      <c r="I16" s="215">
        <v>43.017463184978375</v>
      </c>
      <c r="J16" s="193">
        <v>3127</v>
      </c>
    </row>
    <row r="17" spans="1:10" s="1" customFormat="1" ht="17.25" customHeight="1">
      <c r="A17" s="539" t="s">
        <v>371</v>
      </c>
      <c r="B17" s="193"/>
      <c r="C17" s="193"/>
      <c r="D17" s="195"/>
      <c r="E17" s="193">
        <f>C17-'[13]Marts'!C17</f>
        <v>0</v>
      </c>
      <c r="F17" s="539" t="s">
        <v>371</v>
      </c>
      <c r="G17" s="193">
        <v>60463</v>
      </c>
      <c r="H17" s="193">
        <v>28974</v>
      </c>
      <c r="I17" s="215">
        <v>47.92021566908688</v>
      </c>
      <c r="J17" s="193">
        <v>5176</v>
      </c>
    </row>
    <row r="18" spans="1:10" s="1" customFormat="1" ht="17.25" customHeight="1">
      <c r="A18" s="539" t="s">
        <v>564</v>
      </c>
      <c r="B18" s="193"/>
      <c r="C18" s="193"/>
      <c r="D18" s="195"/>
      <c r="E18" s="193">
        <f>C18-'[13]Marts'!C18</f>
        <v>0</v>
      </c>
      <c r="F18" s="539" t="s">
        <v>564</v>
      </c>
      <c r="G18" s="193">
        <v>37532</v>
      </c>
      <c r="H18" s="193">
        <v>13566</v>
      </c>
      <c r="I18" s="215">
        <v>36.145156133432806</v>
      </c>
      <c r="J18" s="193">
        <v>3060</v>
      </c>
    </row>
    <row r="19" spans="1:10" s="1" customFormat="1" ht="17.25" customHeight="1">
      <c r="A19" s="539" t="s">
        <v>373</v>
      </c>
      <c r="B19" s="193"/>
      <c r="C19" s="193"/>
      <c r="D19" s="195"/>
      <c r="E19" s="193">
        <f>C19-'[13]Marts'!C19</f>
        <v>0</v>
      </c>
      <c r="F19" s="539" t="s">
        <v>373</v>
      </c>
      <c r="G19" s="193">
        <v>725</v>
      </c>
      <c r="H19" s="193">
        <v>246</v>
      </c>
      <c r="I19" s="215">
        <v>33.93103448275862</v>
      </c>
      <c r="J19" s="193">
        <v>54</v>
      </c>
    </row>
    <row r="20" spans="1:10" s="1" customFormat="1" ht="25.5">
      <c r="A20" s="539" t="s">
        <v>567</v>
      </c>
      <c r="B20" s="193"/>
      <c r="C20" s="193"/>
      <c r="D20" s="195"/>
      <c r="E20" s="193">
        <f>C20-'[13]Marts'!C20</f>
        <v>0</v>
      </c>
      <c r="F20" s="539" t="s">
        <v>567</v>
      </c>
      <c r="G20" s="193">
        <v>1741</v>
      </c>
      <c r="H20" s="193">
        <v>602</v>
      </c>
      <c r="I20" s="215">
        <v>34.57782883400345</v>
      </c>
      <c r="J20" s="193">
        <v>138</v>
      </c>
    </row>
    <row r="21" spans="1:10" s="1" customFormat="1" ht="25.5">
      <c r="A21" s="539" t="s">
        <v>375</v>
      </c>
      <c r="B21" s="193"/>
      <c r="C21" s="193"/>
      <c r="D21" s="195"/>
      <c r="E21" s="193">
        <f>C21-'[13]Marts'!C21</f>
        <v>0</v>
      </c>
      <c r="F21" s="539" t="s">
        <v>375</v>
      </c>
      <c r="G21" s="193">
        <v>38</v>
      </c>
      <c r="H21" s="193">
        <v>15</v>
      </c>
      <c r="I21" s="215">
        <v>39.473684210526315</v>
      </c>
      <c r="J21" s="193">
        <v>4</v>
      </c>
    </row>
    <row r="22" spans="1:10" s="1" customFormat="1" ht="17.25" customHeight="1">
      <c r="A22" s="539" t="s">
        <v>700</v>
      </c>
      <c r="B22" s="66"/>
      <c r="C22" s="193"/>
      <c r="D22" s="195"/>
      <c r="E22" s="193">
        <f>C22-'[13]Marts'!C22</f>
        <v>0</v>
      </c>
      <c r="F22" s="539" t="s">
        <v>700</v>
      </c>
      <c r="G22" s="66">
        <v>8409</v>
      </c>
      <c r="H22" s="193">
        <v>5060</v>
      </c>
      <c r="I22" s="215">
        <v>60.17362349863242</v>
      </c>
      <c r="J22" s="193">
        <v>886</v>
      </c>
    </row>
    <row r="23" spans="1:10" s="1" customFormat="1" ht="17.25" customHeight="1">
      <c r="A23" s="539" t="s">
        <v>377</v>
      </c>
      <c r="B23" s="193"/>
      <c r="C23" s="193"/>
      <c r="D23" s="195"/>
      <c r="E23" s="193">
        <f>C23-'[13]Marts'!C23</f>
        <v>0</v>
      </c>
      <c r="F23" s="539" t="s">
        <v>377</v>
      </c>
      <c r="G23" s="193">
        <v>1324</v>
      </c>
      <c r="H23" s="193">
        <v>531</v>
      </c>
      <c r="I23" s="215">
        <v>40.105740181268885</v>
      </c>
      <c r="J23" s="193">
        <v>124</v>
      </c>
    </row>
    <row r="24" spans="1:10" s="1" customFormat="1" ht="17.25" customHeight="1">
      <c r="A24" s="539" t="s">
        <v>701</v>
      </c>
      <c r="B24" s="193"/>
      <c r="C24" s="193"/>
      <c r="D24" s="195"/>
      <c r="E24" s="193">
        <f>C24-'[13]Marts'!C24</f>
        <v>0</v>
      </c>
      <c r="F24" s="539" t="s">
        <v>701</v>
      </c>
      <c r="G24" s="193">
        <v>3461</v>
      </c>
      <c r="H24" s="193">
        <v>1684</v>
      </c>
      <c r="I24" s="215">
        <v>48.6564576711933</v>
      </c>
      <c r="J24" s="193">
        <v>209</v>
      </c>
    </row>
    <row r="25" spans="1:10" s="1" customFormat="1" ht="17.25" customHeight="1">
      <c r="A25" s="539" t="s">
        <v>702</v>
      </c>
      <c r="B25" s="193"/>
      <c r="C25" s="193"/>
      <c r="D25" s="195"/>
      <c r="E25" s="193">
        <f>C25-'[13]Marts'!C25</f>
        <v>0</v>
      </c>
      <c r="F25" s="539" t="s">
        <v>702</v>
      </c>
      <c r="G25" s="193">
        <v>969</v>
      </c>
      <c r="H25" s="193">
        <v>340</v>
      </c>
      <c r="I25" s="215">
        <v>35.08771929824561</v>
      </c>
      <c r="J25" s="193">
        <v>48</v>
      </c>
    </row>
    <row r="26" spans="1:10" s="1" customFormat="1" ht="17.25" customHeight="1">
      <c r="A26" s="539" t="s">
        <v>703</v>
      </c>
      <c r="B26" s="193"/>
      <c r="C26" s="193"/>
      <c r="D26" s="195"/>
      <c r="E26" s="193">
        <f>C26-'[13]Marts'!C26</f>
        <v>0</v>
      </c>
      <c r="F26" s="539" t="s">
        <v>703</v>
      </c>
      <c r="G26" s="193">
        <v>2508</v>
      </c>
      <c r="H26" s="193">
        <v>10</v>
      </c>
      <c r="I26" s="215">
        <v>0.3987240829346092</v>
      </c>
      <c r="J26" s="193">
        <v>2</v>
      </c>
    </row>
    <row r="27" spans="1:10" s="1" customFormat="1" ht="18.75" customHeight="1">
      <c r="A27" s="69" t="s">
        <v>378</v>
      </c>
      <c r="B27" s="252"/>
      <c r="C27" s="253"/>
      <c r="D27" s="253"/>
      <c r="E27" s="193">
        <f>C27-'[13]Marts'!C27</f>
        <v>0</v>
      </c>
      <c r="F27" s="69" t="s">
        <v>378</v>
      </c>
      <c r="G27" s="193">
        <v>1601</v>
      </c>
      <c r="H27" s="193">
        <v>776</v>
      </c>
      <c r="I27" s="215">
        <v>48.469706433479075</v>
      </c>
      <c r="J27" s="193">
        <v>201</v>
      </c>
    </row>
    <row r="28" spans="1:10" s="1" customFormat="1" ht="17.25" customHeight="1" hidden="1">
      <c r="A28" s="60" t="s">
        <v>236</v>
      </c>
      <c r="B28" s="258"/>
      <c r="C28" s="259"/>
      <c r="D28" s="259"/>
      <c r="E28" s="193">
        <f>C28-'[13]Marts'!C28</f>
        <v>0</v>
      </c>
      <c r="F28" s="60" t="s">
        <v>236</v>
      </c>
      <c r="G28" s="258"/>
      <c r="H28" s="259"/>
      <c r="I28" s="215" t="e">
        <v>#DIV/0!</v>
      </c>
      <c r="J28" s="193">
        <v>0</v>
      </c>
    </row>
    <row r="29" spans="1:10" s="1" customFormat="1" ht="12.75">
      <c r="A29" s="555" t="s">
        <v>704</v>
      </c>
      <c r="B29" s="185">
        <f>SUM(B30,B34)</f>
        <v>0</v>
      </c>
      <c r="C29" s="185">
        <f>SUM(C30,C34)</f>
        <v>0</v>
      </c>
      <c r="D29" s="215"/>
      <c r="E29" s="193">
        <f>SUM(E30,E34)</f>
        <v>0</v>
      </c>
      <c r="F29" s="555" t="s">
        <v>704</v>
      </c>
      <c r="G29" s="185">
        <v>36994</v>
      </c>
      <c r="H29" s="185">
        <v>14676</v>
      </c>
      <c r="I29" s="215">
        <v>39.67129804833216</v>
      </c>
      <c r="J29" s="185">
        <v>3190</v>
      </c>
    </row>
    <row r="30" spans="1:10" s="1" customFormat="1" ht="12.75">
      <c r="A30" s="535" t="s">
        <v>674</v>
      </c>
      <c r="B30" s="193">
        <f>SUM(B31:B33)</f>
        <v>0</v>
      </c>
      <c r="C30" s="193">
        <f>SUM(C31:C33)</f>
        <v>0</v>
      </c>
      <c r="D30" s="195"/>
      <c r="E30" s="193">
        <f>SUM(E31:E33)</f>
        <v>0</v>
      </c>
      <c r="F30" s="535" t="s">
        <v>674</v>
      </c>
      <c r="G30" s="185">
        <v>9786</v>
      </c>
      <c r="H30" s="185">
        <v>3474</v>
      </c>
      <c r="I30" s="215">
        <v>35.499693439607604</v>
      </c>
      <c r="J30" s="185">
        <v>931</v>
      </c>
    </row>
    <row r="31" spans="1:10" s="1" customFormat="1" ht="25.5">
      <c r="A31" s="556" t="s">
        <v>705</v>
      </c>
      <c r="B31" s="193"/>
      <c r="C31" s="193"/>
      <c r="D31" s="195"/>
      <c r="E31" s="193">
        <f>C31-'[13]Marts'!C31</f>
        <v>0</v>
      </c>
      <c r="F31" s="556" t="s">
        <v>705</v>
      </c>
      <c r="G31" s="193">
        <v>8321</v>
      </c>
      <c r="H31" s="193">
        <v>2902</v>
      </c>
      <c r="I31" s="215">
        <v>34.87561591154909</v>
      </c>
      <c r="J31" s="193">
        <v>822</v>
      </c>
    </row>
    <row r="32" spans="1:10" s="1" customFormat="1" ht="25.5">
      <c r="A32" s="556" t="s">
        <v>706</v>
      </c>
      <c r="B32" s="193"/>
      <c r="C32" s="193"/>
      <c r="D32" s="195"/>
      <c r="E32" s="193">
        <f>C32-'[13]Marts'!C32</f>
        <v>0</v>
      </c>
      <c r="F32" s="556" t="s">
        <v>706</v>
      </c>
      <c r="G32" s="193">
        <v>748</v>
      </c>
      <c r="H32" s="193">
        <v>274</v>
      </c>
      <c r="I32" s="215">
        <v>36.63101604278075</v>
      </c>
      <c r="J32" s="193">
        <v>58</v>
      </c>
    </row>
    <row r="33" spans="1:10" s="1" customFormat="1" ht="12.75">
      <c r="A33" s="556" t="s">
        <v>677</v>
      </c>
      <c r="B33" s="193"/>
      <c r="C33" s="193"/>
      <c r="D33" s="195"/>
      <c r="E33" s="193">
        <f>C33-'[13]Marts'!C33</f>
        <v>0</v>
      </c>
      <c r="F33" s="556" t="s">
        <v>677</v>
      </c>
      <c r="G33" s="193">
        <v>717</v>
      </c>
      <c r="H33" s="193">
        <v>298</v>
      </c>
      <c r="I33" s="215">
        <v>41.56206415620641</v>
      </c>
      <c r="J33" s="193">
        <v>51</v>
      </c>
    </row>
    <row r="34" spans="1:10" s="1" customFormat="1" ht="25.5">
      <c r="A34" s="535" t="s">
        <v>707</v>
      </c>
      <c r="B34" s="185">
        <f>SUM(B35:B36)</f>
        <v>0</v>
      </c>
      <c r="C34" s="185">
        <f>SUM(C35:C36)</f>
        <v>0</v>
      </c>
      <c r="D34" s="215"/>
      <c r="E34" s="185">
        <f>SUM(E35:E36)</f>
        <v>0</v>
      </c>
      <c r="F34" s="535" t="s">
        <v>707</v>
      </c>
      <c r="G34" s="185">
        <v>27208</v>
      </c>
      <c r="H34" s="185">
        <v>11202</v>
      </c>
      <c r="I34" s="215">
        <v>41.17171420170538</v>
      </c>
      <c r="J34" s="185">
        <v>2259</v>
      </c>
    </row>
    <row r="35" spans="1:10" s="1" customFormat="1" ht="12.75">
      <c r="A35" s="539" t="s">
        <v>708</v>
      </c>
      <c r="B35" s="193"/>
      <c r="C35" s="193"/>
      <c r="D35" s="195"/>
      <c r="E35" s="193">
        <f>C35-'[13]Marts'!C35</f>
        <v>0</v>
      </c>
      <c r="F35" s="539" t="s">
        <v>708</v>
      </c>
      <c r="G35" s="193">
        <v>27208</v>
      </c>
      <c r="H35" s="193">
        <v>11202</v>
      </c>
      <c r="I35" s="215">
        <v>41.17171420170538</v>
      </c>
      <c r="J35" s="193">
        <v>2259</v>
      </c>
    </row>
    <row r="36" spans="1:10" s="88" customFormat="1" ht="12.75">
      <c r="A36" s="556" t="s">
        <v>709</v>
      </c>
      <c r="B36" s="110"/>
      <c r="C36" s="557"/>
      <c r="D36" s="558"/>
      <c r="E36" s="193">
        <f>C36-'[13]Marts'!C36</f>
        <v>0</v>
      </c>
      <c r="F36" s="556" t="s">
        <v>709</v>
      </c>
      <c r="G36" s="110"/>
      <c r="H36" s="193"/>
      <c r="I36" s="215"/>
      <c r="J36" s="193"/>
    </row>
    <row r="37" spans="1:10" s="88" customFormat="1" ht="17.25" customHeight="1">
      <c r="A37" s="559"/>
      <c r="B37" s="139"/>
      <c r="C37" s="139"/>
      <c r="D37" s="139"/>
      <c r="E37" s="139"/>
      <c r="F37" s="559"/>
      <c r="G37" s="139"/>
      <c r="H37" s="139"/>
      <c r="I37" s="139"/>
      <c r="J37" s="139"/>
    </row>
    <row r="38" spans="1:10" s="1" customFormat="1" ht="17.25" customHeight="1">
      <c r="A38" s="49"/>
      <c r="C38" s="560"/>
      <c r="E38" s="498"/>
      <c r="F38" s="49"/>
      <c r="H38" s="560"/>
      <c r="J38" s="498"/>
    </row>
    <row r="39" spans="1:10" s="1" customFormat="1" ht="17.25" customHeight="1">
      <c r="A39" s="41" t="s">
        <v>298</v>
      </c>
      <c r="B39" s="39"/>
      <c r="C39" s="39"/>
      <c r="D39" s="39" t="s">
        <v>299</v>
      </c>
      <c r="F39" s="240" t="s">
        <v>17</v>
      </c>
      <c r="G39" s="241"/>
      <c r="H39" s="241"/>
      <c r="I39" s="239"/>
      <c r="J39" s="239" t="s">
        <v>215</v>
      </c>
    </row>
    <row r="40" spans="1:10" s="1" customFormat="1" ht="17.25" customHeight="1">
      <c r="A40" s="561"/>
      <c r="B40" s="562"/>
      <c r="C40" s="560"/>
      <c r="D40" s="139"/>
      <c r="E40" s="498"/>
      <c r="F40" s="732"/>
      <c r="G40" s="239"/>
      <c r="H40" s="239"/>
      <c r="I40" s="239"/>
      <c r="J40" s="239"/>
    </row>
    <row r="41" spans="1:10" s="1" customFormat="1" ht="17.25" customHeight="1">
      <c r="A41" s="520"/>
      <c r="B41" s="560"/>
      <c r="C41" s="139"/>
      <c r="E41" s="498"/>
      <c r="F41" s="733"/>
      <c r="G41" s="239"/>
      <c r="H41" s="239"/>
      <c r="I41" s="239"/>
      <c r="J41" s="239"/>
    </row>
    <row r="42" spans="6:10" ht="17.25" customHeight="1">
      <c r="F42" s="733"/>
      <c r="G42" s="239"/>
      <c r="H42" s="239"/>
      <c r="I42" s="239"/>
      <c r="J42" s="239"/>
    </row>
    <row r="43" spans="1:10" s="1" customFormat="1" ht="17.25" customHeight="1">
      <c r="A43" s="520"/>
      <c r="B43" s="563"/>
      <c r="C43" s="306"/>
      <c r="D43" s="306"/>
      <c r="E43" s="498"/>
      <c r="F43" s="744" t="s">
        <v>459</v>
      </c>
      <c r="G43" s="744"/>
      <c r="H43" s="744"/>
      <c r="I43" s="744"/>
      <c r="J43" s="744"/>
    </row>
    <row r="44" spans="1:10" s="1" customFormat="1" ht="17.25" customHeight="1">
      <c r="A44" s="520"/>
      <c r="B44" s="560"/>
      <c r="E44" s="498"/>
      <c r="F44" s="745" t="s">
        <v>19</v>
      </c>
      <c r="G44" s="745"/>
      <c r="H44" s="745"/>
      <c r="I44" s="239"/>
      <c r="J44" s="239"/>
    </row>
    <row r="45" spans="1:10" s="1" customFormat="1" ht="17.25" customHeight="1">
      <c r="A45" s="520"/>
      <c r="B45" s="563"/>
      <c r="C45" s="306"/>
      <c r="D45" s="306"/>
      <c r="E45" s="498"/>
      <c r="F45" s="520"/>
      <c r="G45" s="563"/>
      <c r="H45" s="306"/>
      <c r="I45" s="306"/>
      <c r="J45" s="498"/>
    </row>
    <row r="46" spans="1:10" s="1" customFormat="1" ht="17.25" customHeight="1">
      <c r="A46" s="520"/>
      <c r="B46" s="563"/>
      <c r="C46" s="306"/>
      <c r="E46" s="498"/>
      <c r="F46" s="520"/>
      <c r="G46" s="563"/>
      <c r="H46" s="306"/>
      <c r="J46" s="498"/>
    </row>
    <row r="47" spans="2:9" ht="17.25" customHeight="1">
      <c r="B47" s="564"/>
      <c r="C47" s="549"/>
      <c r="D47" s="306"/>
      <c r="G47" s="564"/>
      <c r="H47" s="549"/>
      <c r="I47" s="306"/>
    </row>
  </sheetData>
  <mergeCells count="8">
    <mergeCell ref="F43:J43"/>
    <mergeCell ref="F44:H44"/>
    <mergeCell ref="A5:E5"/>
    <mergeCell ref="F5:J5"/>
    <mergeCell ref="A2:E2"/>
    <mergeCell ref="F2:J2"/>
    <mergeCell ref="A4:E4"/>
    <mergeCell ref="F4:J4"/>
  </mergeCells>
  <printOptions/>
  <pageMargins left="0.75" right="0.27" top="0.77" bottom="0.2" header="0.5" footer="0.5"/>
  <pageSetup firstPageNumber="34" useFirstPageNumber="1" horizontalDpi="600" verticalDpi="600" orientation="portrait" paperSize="9" r:id="rId1"/>
  <headerFooter alignWithMargins="0">
    <oddFooter>&amp;R&amp;9&amp;P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O45"/>
  <sheetViews>
    <sheetView workbookViewId="0" topLeftCell="F18">
      <selection activeCell="K52" sqref="K52"/>
    </sheetView>
  </sheetViews>
  <sheetFormatPr defaultColWidth="9.140625" defaultRowHeight="17.25" customHeight="1"/>
  <cols>
    <col min="1" max="1" width="40.28125" style="520" hidden="1" customWidth="1"/>
    <col min="2" max="2" width="8.8515625" style="498" hidden="1" customWidth="1"/>
    <col min="3" max="3" width="12.28125" style="498" hidden="1" customWidth="1"/>
    <col min="4" max="4" width="10.7109375" style="498" hidden="1" customWidth="1"/>
    <col min="5" max="5" width="0.42578125" style="498" hidden="1" customWidth="1"/>
    <col min="6" max="6" width="40.28125" style="520" customWidth="1"/>
    <col min="7" max="7" width="8.8515625" style="498" customWidth="1"/>
    <col min="8" max="8" width="12.28125" style="498" customWidth="1"/>
    <col min="9" max="9" width="10.7109375" style="498" customWidth="1"/>
    <col min="10" max="10" width="11.57421875" style="498" customWidth="1"/>
    <col min="11" max="16384" width="9.140625" style="498" customWidth="1"/>
  </cols>
  <sheetData>
    <row r="1" spans="1:10" s="38" customFormat="1" ht="17.25" customHeight="1">
      <c r="A1" s="49"/>
      <c r="B1" s="51"/>
      <c r="C1" s="51"/>
      <c r="D1" s="51"/>
      <c r="E1" s="313" t="s">
        <v>710</v>
      </c>
      <c r="F1" s="49"/>
      <c r="G1" s="51"/>
      <c r="H1" s="51"/>
      <c r="I1" s="51"/>
      <c r="J1" s="313" t="s">
        <v>710</v>
      </c>
    </row>
    <row r="2" spans="1:10" s="49" customFormat="1" ht="17.25" customHeight="1">
      <c r="A2" s="521" t="s">
        <v>711</v>
      </c>
      <c r="B2" s="51"/>
      <c r="C2" s="51"/>
      <c r="D2" s="51"/>
      <c r="E2" s="566"/>
      <c r="F2" s="521" t="s">
        <v>711</v>
      </c>
      <c r="G2" s="51"/>
      <c r="H2" s="51"/>
      <c r="I2" s="51"/>
      <c r="J2" s="566"/>
    </row>
    <row r="3" spans="1:10" s="38" customFormat="1" ht="17.25" customHeight="1">
      <c r="A3" s="520"/>
      <c r="D3" s="89"/>
      <c r="E3" s="89"/>
      <c r="F3" s="520"/>
      <c r="I3" s="89"/>
      <c r="J3" s="89"/>
    </row>
    <row r="4" spans="1:10" s="524" customFormat="1" ht="17.25" customHeight="1">
      <c r="A4" s="782" t="s">
        <v>712</v>
      </c>
      <c r="B4" s="782"/>
      <c r="C4" s="782"/>
      <c r="D4" s="782"/>
      <c r="E4" s="782"/>
      <c r="F4" s="782" t="s">
        <v>712</v>
      </c>
      <c r="G4" s="782"/>
      <c r="H4" s="782"/>
      <c r="I4" s="782"/>
      <c r="J4" s="782"/>
    </row>
    <row r="5" spans="1:10" s="524" customFormat="1" ht="14.25" customHeight="1">
      <c r="A5" s="782" t="s">
        <v>713</v>
      </c>
      <c r="B5" s="782"/>
      <c r="C5" s="782"/>
      <c r="D5" s="782"/>
      <c r="E5" s="782"/>
      <c r="F5" s="781" t="s">
        <v>28</v>
      </c>
      <c r="G5" s="781"/>
      <c r="H5" s="781"/>
      <c r="I5" s="781"/>
      <c r="J5" s="781"/>
    </row>
    <row r="6" spans="1:10" s="38" customFormat="1" ht="17.25" customHeight="1">
      <c r="A6" s="520"/>
      <c r="C6" s="89" t="s">
        <v>714</v>
      </c>
      <c r="D6" s="89"/>
      <c r="E6" s="51" t="s">
        <v>385</v>
      </c>
      <c r="F6" s="520"/>
      <c r="I6" s="89"/>
      <c r="J6" s="2" t="s">
        <v>94</v>
      </c>
    </row>
    <row r="7" spans="1:10" s="38" customFormat="1" ht="57.75" customHeight="1">
      <c r="A7" s="554" t="s">
        <v>47</v>
      </c>
      <c r="B7" s="531" t="s">
        <v>598</v>
      </c>
      <c r="C7" s="531" t="s">
        <v>96</v>
      </c>
      <c r="D7" s="531" t="s">
        <v>650</v>
      </c>
      <c r="E7" s="9" t="s">
        <v>715</v>
      </c>
      <c r="F7" s="554" t="s">
        <v>47</v>
      </c>
      <c r="G7" s="531" t="s">
        <v>598</v>
      </c>
      <c r="H7" s="531" t="s">
        <v>96</v>
      </c>
      <c r="I7" s="531" t="s">
        <v>650</v>
      </c>
      <c r="J7" s="9" t="s">
        <v>38</v>
      </c>
    </row>
    <row r="8" spans="1:10" s="49" customFormat="1" ht="17.25" customHeight="1">
      <c r="A8" s="532" t="s">
        <v>651</v>
      </c>
      <c r="B8" s="533" t="s">
        <v>694</v>
      </c>
      <c r="C8" s="533" t="s">
        <v>695</v>
      </c>
      <c r="D8" s="533" t="s">
        <v>696</v>
      </c>
      <c r="E8" s="533" t="s">
        <v>652</v>
      </c>
      <c r="F8" s="532" t="s">
        <v>651</v>
      </c>
      <c r="G8" s="533" t="s">
        <v>694</v>
      </c>
      <c r="H8" s="533" t="s">
        <v>695</v>
      </c>
      <c r="I8" s="533" t="s">
        <v>696</v>
      </c>
      <c r="J8" s="533" t="s">
        <v>652</v>
      </c>
    </row>
    <row r="9" spans="1:10" s="49" customFormat="1" ht="17.25" customHeight="1">
      <c r="A9" s="535" t="s">
        <v>308</v>
      </c>
      <c r="B9" s="193"/>
      <c r="C9" s="185">
        <f>'[12]Marts'!$C$9</f>
        <v>0</v>
      </c>
      <c r="D9" s="195"/>
      <c r="E9" s="185">
        <f>C9-'[14]Marts'!C9</f>
        <v>0</v>
      </c>
      <c r="F9" s="535" t="s">
        <v>308</v>
      </c>
      <c r="G9" s="185">
        <v>439444</v>
      </c>
      <c r="H9" s="185">
        <v>187296</v>
      </c>
      <c r="I9" s="215">
        <v>42.62113033742638</v>
      </c>
      <c r="J9" s="185">
        <v>39918</v>
      </c>
    </row>
    <row r="10" spans="1:10" s="49" customFormat="1" ht="17.25" customHeight="1">
      <c r="A10" s="535" t="s">
        <v>716</v>
      </c>
      <c r="B10" s="193"/>
      <c r="C10" s="185">
        <f>SUM(C11,C26)</f>
        <v>0</v>
      </c>
      <c r="D10" s="215"/>
      <c r="E10" s="185">
        <f>SUM(E11,E26)</f>
        <v>0</v>
      </c>
      <c r="F10" s="535" t="s">
        <v>716</v>
      </c>
      <c r="G10" s="185">
        <v>468860</v>
      </c>
      <c r="H10" s="185">
        <v>190386</v>
      </c>
      <c r="I10" s="215">
        <v>40.60615108987757</v>
      </c>
      <c r="J10" s="185">
        <v>39268</v>
      </c>
    </row>
    <row r="11" spans="1:10" s="546" customFormat="1" ht="17.25" customHeight="1">
      <c r="A11" s="555" t="s">
        <v>315</v>
      </c>
      <c r="B11" s="193"/>
      <c r="C11" s="185">
        <f>SUM(C12,C18,C19)</f>
        <v>0</v>
      </c>
      <c r="D11" s="215"/>
      <c r="E11" s="185">
        <f>SUM(E12,E18,E19)</f>
        <v>0</v>
      </c>
      <c r="F11" s="555" t="s">
        <v>315</v>
      </c>
      <c r="G11" s="185">
        <v>395471</v>
      </c>
      <c r="H11" s="185">
        <v>160471</v>
      </c>
      <c r="I11" s="215">
        <v>40.577185179191396</v>
      </c>
      <c r="J11" s="185">
        <v>33727</v>
      </c>
    </row>
    <row r="12" spans="1:10" s="546" customFormat="1" ht="17.25" customHeight="1">
      <c r="A12" s="555" t="s">
        <v>316</v>
      </c>
      <c r="B12" s="193"/>
      <c r="C12" s="185">
        <f>SUM(C13,C14,C15)</f>
        <v>0</v>
      </c>
      <c r="D12" s="215"/>
      <c r="E12" s="185">
        <f>SUM(E13,E14,E15)</f>
        <v>0</v>
      </c>
      <c r="F12" s="555" t="s">
        <v>316</v>
      </c>
      <c r="G12" s="185">
        <v>314072</v>
      </c>
      <c r="H12" s="185">
        <v>125953</v>
      </c>
      <c r="I12" s="215">
        <v>40.10322473827657</v>
      </c>
      <c r="J12" s="185">
        <v>26726</v>
      </c>
    </row>
    <row r="13" spans="1:10" ht="12.75">
      <c r="A13" s="556" t="s">
        <v>717</v>
      </c>
      <c r="B13" s="193"/>
      <c r="C13" s="193"/>
      <c r="D13" s="195"/>
      <c r="E13" s="193">
        <f>C13-'[14]Marts'!C13</f>
        <v>0</v>
      </c>
      <c r="F13" s="556" t="s">
        <v>717</v>
      </c>
      <c r="G13" s="193">
        <v>161173</v>
      </c>
      <c r="H13" s="193">
        <v>63963</v>
      </c>
      <c r="I13" s="195">
        <v>39.68592754369528</v>
      </c>
      <c r="J13" s="193">
        <v>13512</v>
      </c>
    </row>
    <row r="14" spans="1:10" ht="25.5">
      <c r="A14" s="556" t="s">
        <v>718</v>
      </c>
      <c r="B14" s="193"/>
      <c r="C14" s="193"/>
      <c r="D14" s="195"/>
      <c r="E14" s="193">
        <f>C14-'[14]Marts'!C14</f>
        <v>0</v>
      </c>
      <c r="F14" s="556" t="s">
        <v>718</v>
      </c>
      <c r="G14" s="193">
        <v>42347</v>
      </c>
      <c r="H14" s="193">
        <v>16043</v>
      </c>
      <c r="I14" s="195">
        <v>37.88461992585071</v>
      </c>
      <c r="J14" s="193">
        <v>3198</v>
      </c>
    </row>
    <row r="15" spans="1:10" ht="17.25" customHeight="1">
      <c r="A15" s="556" t="s">
        <v>719</v>
      </c>
      <c r="B15" s="193"/>
      <c r="C15" s="193">
        <f>SUM(C16:C17)</f>
        <v>0</v>
      </c>
      <c r="D15" s="195"/>
      <c r="E15" s="193">
        <f>SUM(E16:E17)</f>
        <v>0</v>
      </c>
      <c r="F15" s="556" t="s">
        <v>719</v>
      </c>
      <c r="G15" s="193">
        <v>110552</v>
      </c>
      <c r="H15" s="193">
        <v>45947</v>
      </c>
      <c r="I15" s="195">
        <v>41.56143715174759</v>
      </c>
      <c r="J15" s="193">
        <v>10016</v>
      </c>
    </row>
    <row r="16" spans="1:10" ht="25.5">
      <c r="A16" s="567" t="s">
        <v>720</v>
      </c>
      <c r="B16" s="193"/>
      <c r="C16" s="193"/>
      <c r="D16" s="195"/>
      <c r="E16" s="193">
        <f>C16-'[14]Marts'!C16</f>
        <v>0</v>
      </c>
      <c r="F16" s="567" t="s">
        <v>720</v>
      </c>
      <c r="G16" s="193">
        <v>106748</v>
      </c>
      <c r="H16" s="193">
        <v>44639</v>
      </c>
      <c r="I16" s="195">
        <v>41.817176902611756</v>
      </c>
      <c r="J16" s="193">
        <v>9558</v>
      </c>
    </row>
    <row r="17" spans="1:10" ht="12.75">
      <c r="A17" s="567" t="s">
        <v>721</v>
      </c>
      <c r="B17" s="193"/>
      <c r="C17" s="193"/>
      <c r="D17" s="195"/>
      <c r="E17" s="193">
        <f>C17-'[14]Marts'!C17</f>
        <v>0</v>
      </c>
      <c r="F17" s="567" t="s">
        <v>721</v>
      </c>
      <c r="G17" s="193">
        <v>3804</v>
      </c>
      <c r="H17" s="193">
        <v>1308</v>
      </c>
      <c r="I17" s="195">
        <v>34.38485804416404</v>
      </c>
      <c r="J17" s="193">
        <v>458</v>
      </c>
    </row>
    <row r="18" spans="1:10" ht="25.5">
      <c r="A18" s="555" t="s">
        <v>722</v>
      </c>
      <c r="B18" s="193"/>
      <c r="C18" s="185"/>
      <c r="D18" s="195"/>
      <c r="E18" s="193">
        <f>C18-'[14]Marts'!C18</f>
        <v>0</v>
      </c>
      <c r="F18" s="555" t="s">
        <v>722</v>
      </c>
      <c r="G18" s="185">
        <v>4529</v>
      </c>
      <c r="H18" s="185">
        <v>2102</v>
      </c>
      <c r="I18" s="215">
        <v>46.41201148156326</v>
      </c>
      <c r="J18" s="185">
        <v>266</v>
      </c>
    </row>
    <row r="19" spans="1:10" ht="12.75">
      <c r="A19" s="555" t="s">
        <v>324</v>
      </c>
      <c r="B19" s="193"/>
      <c r="C19" s="185">
        <f>SUM(C20:C25)</f>
        <v>0</v>
      </c>
      <c r="D19" s="195"/>
      <c r="E19" s="193">
        <f>SUM(E20:E24)</f>
        <v>0</v>
      </c>
      <c r="F19" s="555" t="s">
        <v>324</v>
      </c>
      <c r="G19" s="185">
        <v>76870</v>
      </c>
      <c r="H19" s="185">
        <v>32416</v>
      </c>
      <c r="I19" s="215">
        <v>42.16989722908807</v>
      </c>
      <c r="J19" s="185">
        <v>6735</v>
      </c>
    </row>
    <row r="20" spans="1:10" ht="12.75">
      <c r="A20" s="556" t="s">
        <v>723</v>
      </c>
      <c r="B20" s="193"/>
      <c r="C20" s="193"/>
      <c r="D20" s="195"/>
      <c r="E20" s="193">
        <f>C20-'[14]Marts'!C20</f>
        <v>0</v>
      </c>
      <c r="F20" s="556" t="s">
        <v>723</v>
      </c>
      <c r="G20" s="193">
        <v>306</v>
      </c>
      <c r="H20" s="193">
        <v>90</v>
      </c>
      <c r="I20" s="195">
        <v>29.411764705882355</v>
      </c>
      <c r="J20" s="193">
        <v>21</v>
      </c>
    </row>
    <row r="21" spans="1:10" ht="12.75">
      <c r="A21" s="556" t="s">
        <v>724</v>
      </c>
      <c r="B21" s="193"/>
      <c r="C21" s="193"/>
      <c r="D21" s="195"/>
      <c r="E21" s="193">
        <f>C21-'[14]Marts'!C21</f>
        <v>0</v>
      </c>
      <c r="F21" s="556" t="s">
        <v>724</v>
      </c>
      <c r="G21" s="193">
        <v>4998</v>
      </c>
      <c r="H21" s="193">
        <v>2048</v>
      </c>
      <c r="I21" s="195">
        <v>40.97639055622249</v>
      </c>
      <c r="J21" s="193">
        <v>450</v>
      </c>
    </row>
    <row r="22" spans="1:10" ht="12.75">
      <c r="A22" s="556" t="s">
        <v>725</v>
      </c>
      <c r="B22" s="193"/>
      <c r="C22" s="193"/>
      <c r="D22" s="195"/>
      <c r="E22" s="193">
        <f>C22-'[14]Marts'!C22</f>
        <v>0</v>
      </c>
      <c r="F22" s="556" t="s">
        <v>725</v>
      </c>
      <c r="G22" s="193">
        <v>27208</v>
      </c>
      <c r="H22" s="193">
        <v>11202</v>
      </c>
      <c r="I22" s="195">
        <v>41.17171420170538</v>
      </c>
      <c r="J22" s="193">
        <v>2259</v>
      </c>
    </row>
    <row r="23" spans="1:10" ht="25.5">
      <c r="A23" s="556" t="s">
        <v>726</v>
      </c>
      <c r="B23" s="193"/>
      <c r="C23" s="193"/>
      <c r="D23" s="195"/>
      <c r="E23" s="193">
        <f>C23-'[14]Marts'!C23</f>
        <v>0</v>
      </c>
      <c r="F23" s="556" t="s">
        <v>726</v>
      </c>
      <c r="G23" s="193">
        <v>17748</v>
      </c>
      <c r="H23" s="193">
        <v>7765</v>
      </c>
      <c r="I23" s="195">
        <v>43.75140860942078</v>
      </c>
      <c r="J23" s="193">
        <v>1587</v>
      </c>
    </row>
    <row r="24" spans="1:10" ht="12.75">
      <c r="A24" s="556" t="s">
        <v>727</v>
      </c>
      <c r="B24" s="193"/>
      <c r="C24" s="193"/>
      <c r="D24" s="195"/>
      <c r="E24" s="193">
        <f>C24-'[14]Marts'!C24</f>
        <v>0</v>
      </c>
      <c r="F24" s="556" t="s">
        <v>727</v>
      </c>
      <c r="G24" s="193">
        <v>16855</v>
      </c>
      <c r="H24" s="193">
        <v>7837</v>
      </c>
      <c r="I24" s="195">
        <v>46.49658854939187</v>
      </c>
      <c r="J24" s="193">
        <v>1487</v>
      </c>
    </row>
    <row r="25" spans="1:10" ht="15.75" customHeight="1">
      <c r="A25" s="556" t="s">
        <v>728</v>
      </c>
      <c r="B25" s="193"/>
      <c r="C25" s="193"/>
      <c r="D25" s="195"/>
      <c r="E25" s="193">
        <f>C25-'[14]Marts'!C25</f>
        <v>0</v>
      </c>
      <c r="F25" s="556" t="s">
        <v>728</v>
      </c>
      <c r="G25" s="193">
        <v>9755</v>
      </c>
      <c r="H25" s="193">
        <v>3474</v>
      </c>
      <c r="I25" s="195">
        <v>35.61250640697079</v>
      </c>
      <c r="J25" s="193">
        <v>931</v>
      </c>
    </row>
    <row r="26" spans="1:10" s="546" customFormat="1" ht="12.75">
      <c r="A26" s="555" t="s">
        <v>339</v>
      </c>
      <c r="B26" s="193"/>
      <c r="C26" s="185">
        <f>SUM(C27:C28)</f>
        <v>0</v>
      </c>
      <c r="D26" s="195"/>
      <c r="E26" s="193">
        <f>SUM(E27:E28)</f>
        <v>0</v>
      </c>
      <c r="F26" s="555" t="s">
        <v>339</v>
      </c>
      <c r="G26" s="185">
        <v>73389</v>
      </c>
      <c r="H26" s="185">
        <v>29915</v>
      </c>
      <c r="I26" s="215">
        <v>40.762239572688</v>
      </c>
      <c r="J26" s="185">
        <v>5541</v>
      </c>
    </row>
    <row r="27" spans="1:10" s="546" customFormat="1" ht="12.75">
      <c r="A27" s="556" t="s">
        <v>729</v>
      </c>
      <c r="B27" s="193"/>
      <c r="C27" s="193"/>
      <c r="D27" s="195"/>
      <c r="E27" s="193">
        <f>C27-'[14]Marts'!C27</f>
        <v>0</v>
      </c>
      <c r="F27" s="556" t="s">
        <v>729</v>
      </c>
      <c r="G27" s="193">
        <v>19375</v>
      </c>
      <c r="H27" s="193">
        <v>6066</v>
      </c>
      <c r="I27" s="195">
        <v>31.308387096774194</v>
      </c>
      <c r="J27" s="193">
        <v>1485</v>
      </c>
    </row>
    <row r="28" spans="1:10" ht="17.25" customHeight="1">
      <c r="A28" s="556" t="s">
        <v>549</v>
      </c>
      <c r="B28" s="193"/>
      <c r="C28" s="193"/>
      <c r="D28" s="195"/>
      <c r="E28" s="193">
        <f>C28-'[14]Marts'!C28</f>
        <v>0</v>
      </c>
      <c r="F28" s="556" t="s">
        <v>549</v>
      </c>
      <c r="G28" s="193">
        <v>54014</v>
      </c>
      <c r="H28" s="193">
        <v>23849</v>
      </c>
      <c r="I28" s="195">
        <v>44.15336764542526</v>
      </c>
      <c r="J28" s="193">
        <v>4056</v>
      </c>
    </row>
    <row r="29" spans="1:10" s="546" customFormat="1" ht="12.75">
      <c r="A29" s="555" t="s">
        <v>730</v>
      </c>
      <c r="B29" s="193"/>
      <c r="C29" s="185">
        <f>C30-C31</f>
        <v>0</v>
      </c>
      <c r="D29" s="195"/>
      <c r="E29" s="193">
        <f>E30-E31</f>
        <v>0</v>
      </c>
      <c r="F29" s="555" t="s">
        <v>730</v>
      </c>
      <c r="G29" s="185">
        <v>-624</v>
      </c>
      <c r="H29" s="185">
        <v>-642</v>
      </c>
      <c r="I29" s="215">
        <v>102.88461538461537</v>
      </c>
      <c r="J29" s="185">
        <v>-496</v>
      </c>
    </row>
    <row r="30" spans="1:10" ht="12.75">
      <c r="A30" s="556" t="s">
        <v>731</v>
      </c>
      <c r="B30" s="193"/>
      <c r="C30" s="193"/>
      <c r="D30" s="195"/>
      <c r="E30" s="193">
        <f>C30-'[14]Marts'!C30</f>
        <v>0</v>
      </c>
      <c r="F30" s="556" t="s">
        <v>731</v>
      </c>
      <c r="G30" s="193">
        <v>193</v>
      </c>
      <c r="H30" s="193">
        <v>54</v>
      </c>
      <c r="I30" s="195">
        <v>27.979274611398964</v>
      </c>
      <c r="J30" s="193">
        <v>7</v>
      </c>
    </row>
    <row r="31" spans="1:10" ht="12.75">
      <c r="A31" s="556" t="s">
        <v>732</v>
      </c>
      <c r="B31" s="193"/>
      <c r="C31" s="193"/>
      <c r="D31" s="195"/>
      <c r="E31" s="193">
        <f>C31-'[14]Marts'!C31</f>
        <v>0</v>
      </c>
      <c r="F31" s="556" t="s">
        <v>732</v>
      </c>
      <c r="G31" s="193">
        <v>817</v>
      </c>
      <c r="H31" s="193">
        <v>696</v>
      </c>
      <c r="I31" s="195">
        <v>85.18971848225215</v>
      </c>
      <c r="J31" s="193">
        <v>503</v>
      </c>
    </row>
    <row r="32" spans="1:10" ht="12.75">
      <c r="A32" s="555" t="s">
        <v>505</v>
      </c>
      <c r="B32" s="193"/>
      <c r="C32" s="193">
        <f>C9-C10-C25-C29</f>
        <v>0</v>
      </c>
      <c r="D32" s="195"/>
      <c r="E32" s="193">
        <f>C32-'[14]Marts'!C32</f>
        <v>0</v>
      </c>
      <c r="F32" s="555" t="s">
        <v>505</v>
      </c>
      <c r="G32" s="185">
        <v>-28792</v>
      </c>
      <c r="H32" s="185">
        <v>-2448</v>
      </c>
      <c r="I32" s="215">
        <v>8.502361767157545</v>
      </c>
      <c r="J32" s="185">
        <v>1146</v>
      </c>
    </row>
    <row r="33" spans="1:10" s="1" customFormat="1" ht="17.25" customHeight="1">
      <c r="A33" s="548"/>
      <c r="B33" s="560"/>
      <c r="C33"/>
      <c r="D33" s="560"/>
      <c r="E33" s="560"/>
      <c r="F33" s="548"/>
      <c r="G33" s="560"/>
      <c r="H33"/>
      <c r="I33" s="560"/>
      <c r="J33" s="560"/>
    </row>
    <row r="34" spans="1:10" s="1" customFormat="1" ht="17.25" customHeight="1">
      <c r="A34" s="548"/>
      <c r="B34" s="560"/>
      <c r="C34"/>
      <c r="D34" s="560"/>
      <c r="E34" s="560"/>
      <c r="F34" s="548"/>
      <c r="G34" s="560"/>
      <c r="H34"/>
      <c r="I34" s="560"/>
      <c r="J34" s="560"/>
    </row>
    <row r="35" spans="1:10" ht="17.25" customHeight="1">
      <c r="A35" s="550"/>
      <c r="B35" s="560"/>
      <c r="C35"/>
      <c r="D35" s="560"/>
      <c r="E35" s="560"/>
      <c r="F35" s="550"/>
      <c r="G35" s="560"/>
      <c r="H35"/>
      <c r="I35" s="560"/>
      <c r="J35" s="560"/>
    </row>
    <row r="36" spans="1:14" s="1" customFormat="1" ht="17.25" customHeight="1">
      <c r="A36" s="41" t="s">
        <v>298</v>
      </c>
      <c r="B36" s="39"/>
      <c r="C36"/>
      <c r="D36" s="39" t="s">
        <v>299</v>
      </c>
      <c r="E36" s="550"/>
      <c r="F36" s="240" t="s">
        <v>17</v>
      </c>
      <c r="G36" s="241"/>
      <c r="H36" s="241"/>
      <c r="I36" s="239"/>
      <c r="J36" s="239" t="s">
        <v>215</v>
      </c>
      <c r="K36" s="5"/>
      <c r="L36" s="6"/>
      <c r="M36" s="5"/>
      <c r="N36" s="498"/>
    </row>
    <row r="37" spans="1:15" s="1" customFormat="1" ht="17.25" customHeight="1">
      <c r="A37" s="49"/>
      <c r="C37"/>
      <c r="D37" s="560"/>
      <c r="E37" s="560"/>
      <c r="F37" s="732"/>
      <c r="G37" s="239"/>
      <c r="H37" s="239"/>
      <c r="I37" s="239"/>
      <c r="J37" s="239"/>
      <c r="K37" s="498"/>
      <c r="L37" s="498"/>
      <c r="M37" s="498"/>
      <c r="N37" s="498"/>
      <c r="O37" s="498"/>
    </row>
    <row r="38" spans="1:15" s="1" customFormat="1" ht="17.25" customHeight="1">
      <c r="A38" s="550"/>
      <c r="B38" s="306"/>
      <c r="C38"/>
      <c r="D38" s="560"/>
      <c r="E38" s="560"/>
      <c r="F38" s="733"/>
      <c r="G38" s="239"/>
      <c r="H38" s="239"/>
      <c r="I38" s="239"/>
      <c r="J38" s="239"/>
      <c r="K38" s="498"/>
      <c r="L38" s="498"/>
      <c r="M38" s="498"/>
      <c r="N38" s="498"/>
      <c r="O38" s="498"/>
    </row>
    <row r="39" spans="1:15" s="1" customFormat="1" ht="17.25" customHeight="1">
      <c r="A39" s="550"/>
      <c r="B39" s="306"/>
      <c r="C39"/>
      <c r="D39" s="560"/>
      <c r="E39" s="560"/>
      <c r="F39" s="733"/>
      <c r="G39" s="239"/>
      <c r="H39" s="239"/>
      <c r="I39" s="239"/>
      <c r="J39" s="239"/>
      <c r="K39" s="498"/>
      <c r="L39" s="498"/>
      <c r="M39" s="498"/>
      <c r="N39" s="498"/>
      <c r="O39" s="498"/>
    </row>
    <row r="40" spans="1:10" ht="17.25" customHeight="1">
      <c r="A40" s="550"/>
      <c r="B40" s="549"/>
      <c r="C40"/>
      <c r="D40" s="560"/>
      <c r="E40" s="560"/>
      <c r="F40" s="744" t="s">
        <v>459</v>
      </c>
      <c r="G40" s="744"/>
      <c r="H40" s="744"/>
      <c r="I40" s="744"/>
      <c r="J40" s="744"/>
    </row>
    <row r="41" spans="3:10" ht="17.25" customHeight="1">
      <c r="C41"/>
      <c r="D41" s="560"/>
      <c r="E41" s="560"/>
      <c r="F41" s="745" t="s">
        <v>19</v>
      </c>
      <c r="G41" s="745"/>
      <c r="H41" s="745"/>
      <c r="I41" s="239"/>
      <c r="J41" s="239"/>
    </row>
    <row r="42" spans="3:10" ht="17.25" customHeight="1">
      <c r="C42"/>
      <c r="D42" s="560"/>
      <c r="E42" s="560"/>
      <c r="H42"/>
      <c r="I42" s="560"/>
      <c r="J42" s="560"/>
    </row>
    <row r="43" spans="3:8" ht="17.25" customHeight="1">
      <c r="C43"/>
      <c r="H43"/>
    </row>
    <row r="44" spans="3:8" ht="17.25" customHeight="1">
      <c r="C44"/>
      <c r="H44"/>
    </row>
    <row r="45" spans="3:8" ht="17.25" customHeight="1">
      <c r="C45"/>
      <c r="H45"/>
    </row>
  </sheetData>
  <mergeCells count="6">
    <mergeCell ref="F40:J40"/>
    <mergeCell ref="F41:H41"/>
    <mergeCell ref="A4:E4"/>
    <mergeCell ref="F4:J4"/>
    <mergeCell ref="A5:E5"/>
    <mergeCell ref="F5:J5"/>
  </mergeCells>
  <printOptions/>
  <pageMargins left="0.75" right="0.75" top="1" bottom="0.72" header="0.5" footer="0.5"/>
  <pageSetup firstPageNumber="35" useFirstPageNumber="1" horizontalDpi="600" verticalDpi="600" orientation="portrait" paperSize="9" r:id="rId1"/>
  <headerFooter alignWithMargins="0">
    <oddFooter>&amp;R&amp;9&amp;P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F33"/>
  <sheetViews>
    <sheetView workbookViewId="0" topLeftCell="A14">
      <selection activeCell="K52" sqref="K52"/>
    </sheetView>
  </sheetViews>
  <sheetFormatPr defaultColWidth="9.140625" defaultRowHeight="12.75"/>
  <cols>
    <col min="1" max="1" width="37.57421875" style="0" customWidth="1"/>
    <col min="7" max="7" width="11.421875" style="0" customWidth="1"/>
  </cols>
  <sheetData>
    <row r="1" spans="1:5" ht="12.75">
      <c r="A1" s="49"/>
      <c r="B1" s="51"/>
      <c r="C1" s="51"/>
      <c r="D1" s="51"/>
      <c r="E1" s="313" t="s">
        <v>733</v>
      </c>
    </row>
    <row r="2" spans="1:5" ht="12.75">
      <c r="A2" s="755" t="s">
        <v>218</v>
      </c>
      <c r="B2" s="755"/>
      <c r="C2" s="755"/>
      <c r="D2" s="755"/>
      <c r="E2" s="755"/>
    </row>
    <row r="3" spans="1:5" ht="12.75">
      <c r="A3" s="49"/>
      <c r="B3" s="498"/>
      <c r="C3" s="498"/>
      <c r="D3" s="568"/>
      <c r="E3" s="568"/>
    </row>
    <row r="4" spans="1:5" ht="12.75">
      <c r="A4" s="782" t="s">
        <v>734</v>
      </c>
      <c r="B4" s="782"/>
      <c r="C4" s="782"/>
      <c r="D4" s="782"/>
      <c r="E4" s="782"/>
    </row>
    <row r="5" spans="1:5" ht="12.75">
      <c r="A5" s="781" t="s">
        <v>28</v>
      </c>
      <c r="B5" s="781"/>
      <c r="C5" s="781"/>
      <c r="D5" s="781"/>
      <c r="E5" s="781"/>
    </row>
    <row r="6" spans="1:5" ht="12.75">
      <c r="A6" s="49"/>
      <c r="B6" s="89"/>
      <c r="C6" s="89"/>
      <c r="D6" s="38"/>
      <c r="E6" s="502" t="s">
        <v>386</v>
      </c>
    </row>
    <row r="7" spans="1:5" ht="33.75">
      <c r="A7" s="569" t="s">
        <v>47</v>
      </c>
      <c r="B7" s="531" t="s">
        <v>598</v>
      </c>
      <c r="C7" s="531" t="s">
        <v>96</v>
      </c>
      <c r="D7" s="531" t="s">
        <v>650</v>
      </c>
      <c r="E7" s="9" t="s">
        <v>38</v>
      </c>
    </row>
    <row r="8" spans="1:5" ht="12.75">
      <c r="A8" s="258">
        <v>1</v>
      </c>
      <c r="B8" s="570">
        <v>2</v>
      </c>
      <c r="C8" s="570">
        <v>3</v>
      </c>
      <c r="D8" s="571">
        <v>4</v>
      </c>
      <c r="E8" s="571">
        <v>5</v>
      </c>
    </row>
    <row r="9" spans="1:5" ht="24.75" customHeight="1">
      <c r="A9" s="572" t="s">
        <v>735</v>
      </c>
      <c r="B9" s="185">
        <v>37601</v>
      </c>
      <c r="C9" s="185">
        <v>14915</v>
      </c>
      <c r="D9" s="573">
        <v>39.66649823143001</v>
      </c>
      <c r="E9" s="185">
        <v>2931</v>
      </c>
    </row>
    <row r="10" spans="1:5" ht="24.75" customHeight="1">
      <c r="A10" s="574" t="s">
        <v>736</v>
      </c>
      <c r="B10" s="193">
        <v>9117</v>
      </c>
      <c r="C10" s="193">
        <v>3914</v>
      </c>
      <c r="D10" s="575">
        <v>42.930788636612924</v>
      </c>
      <c r="E10" s="193">
        <v>431</v>
      </c>
    </row>
    <row r="11" spans="1:5" ht="21.75" customHeight="1">
      <c r="A11" s="574" t="s">
        <v>737</v>
      </c>
      <c r="B11" s="193">
        <v>2006</v>
      </c>
      <c r="C11" s="193">
        <v>859</v>
      </c>
      <c r="D11" s="575">
        <v>42.82153539381854</v>
      </c>
      <c r="E11" s="193">
        <v>442</v>
      </c>
    </row>
    <row r="12" spans="1:5" ht="30" customHeight="1">
      <c r="A12" s="576" t="s">
        <v>738</v>
      </c>
      <c r="B12" s="193">
        <v>13860</v>
      </c>
      <c r="C12" s="193">
        <v>4235</v>
      </c>
      <c r="D12" s="575">
        <v>30.555555555555557</v>
      </c>
      <c r="E12" s="193">
        <v>724</v>
      </c>
    </row>
    <row r="13" spans="1:5" ht="39" customHeight="1">
      <c r="A13" s="576" t="s">
        <v>739</v>
      </c>
      <c r="B13" s="193">
        <v>2818</v>
      </c>
      <c r="C13" s="193">
        <v>1085</v>
      </c>
      <c r="D13" s="575">
        <v>38.50248403122782</v>
      </c>
      <c r="E13" s="193">
        <v>288</v>
      </c>
    </row>
    <row r="14" spans="1:5" ht="19.5" customHeight="1">
      <c r="A14" s="574" t="s">
        <v>740</v>
      </c>
      <c r="B14" s="193">
        <v>9800</v>
      </c>
      <c r="C14" s="193">
        <v>4822</v>
      </c>
      <c r="D14" s="575">
        <v>49.204081632653065</v>
      </c>
      <c r="E14" s="193">
        <v>1046</v>
      </c>
    </row>
    <row r="15" spans="1:5" ht="19.5" customHeight="1">
      <c r="A15" s="577" t="s">
        <v>741</v>
      </c>
      <c r="B15" s="185">
        <v>49130</v>
      </c>
      <c r="C15" s="185">
        <v>11772</v>
      </c>
      <c r="D15" s="575">
        <v>23.960920008141663</v>
      </c>
      <c r="E15" s="185">
        <v>3091</v>
      </c>
    </row>
    <row r="16" spans="1:5" ht="19.5" customHeight="1">
      <c r="A16" s="574" t="s">
        <v>742</v>
      </c>
      <c r="B16" s="193">
        <v>16872</v>
      </c>
      <c r="C16" s="193">
        <v>2880</v>
      </c>
      <c r="D16" s="575">
        <v>17.069701280227594</v>
      </c>
      <c r="E16" s="193">
        <v>506</v>
      </c>
    </row>
    <row r="17" spans="1:5" ht="19.5" customHeight="1">
      <c r="A17" s="574" t="s">
        <v>737</v>
      </c>
      <c r="B17" s="193">
        <v>3059</v>
      </c>
      <c r="C17" s="193">
        <v>554</v>
      </c>
      <c r="D17" s="575">
        <v>18.11049362536777</v>
      </c>
      <c r="E17" s="193">
        <v>178</v>
      </c>
    </row>
    <row r="18" spans="1:5" ht="19.5" customHeight="1">
      <c r="A18" s="574" t="s">
        <v>743</v>
      </c>
      <c r="B18" s="193">
        <v>14710</v>
      </c>
      <c r="C18" s="193">
        <v>3535</v>
      </c>
      <c r="D18" s="575">
        <v>24.031271244051666</v>
      </c>
      <c r="E18" s="193">
        <v>976</v>
      </c>
    </row>
    <row r="19" spans="1:5" ht="19.5" customHeight="1">
      <c r="A19" s="578" t="s">
        <v>744</v>
      </c>
      <c r="B19" s="193">
        <v>2942</v>
      </c>
      <c r="C19" s="193">
        <v>1155</v>
      </c>
      <c r="D19" s="575">
        <v>39.25900747790619</v>
      </c>
      <c r="E19" s="193">
        <v>293</v>
      </c>
    </row>
    <row r="20" spans="1:5" ht="19.5" customHeight="1">
      <c r="A20" s="578" t="s">
        <v>745</v>
      </c>
      <c r="B20" s="193">
        <v>11547</v>
      </c>
      <c r="C20" s="193">
        <v>3648</v>
      </c>
      <c r="D20" s="575">
        <v>31.592621460119513</v>
      </c>
      <c r="E20" s="193">
        <v>1138</v>
      </c>
    </row>
    <row r="21" spans="1:5" ht="12.75">
      <c r="A21" s="579"/>
      <c r="B21" s="580"/>
      <c r="C21" s="580"/>
      <c r="D21" s="514"/>
      <c r="E21" s="580"/>
    </row>
    <row r="22" spans="1:5" ht="12.75">
      <c r="A22" s="140"/>
      <c r="B22" s="140"/>
      <c r="C22" s="140"/>
      <c r="D22" s="140"/>
      <c r="E22" s="140"/>
    </row>
    <row r="23" spans="1:6" ht="12.75">
      <c r="A23" s="559"/>
      <c r="B23" s="139"/>
      <c r="C23" s="139"/>
      <c r="D23" s="516"/>
      <c r="E23" s="139"/>
      <c r="F23" s="140"/>
    </row>
    <row r="24" spans="1:6" ht="14.25">
      <c r="A24" s="731" t="s">
        <v>17</v>
      </c>
      <c r="B24" s="731"/>
      <c r="C24" s="731"/>
      <c r="D24" s="731" t="s">
        <v>215</v>
      </c>
      <c r="F24" s="140"/>
    </row>
    <row r="25" spans="1:6" ht="14.25">
      <c r="A25" s="731"/>
      <c r="B25" s="731"/>
      <c r="C25" s="731"/>
      <c r="D25" s="731"/>
      <c r="F25" s="140"/>
    </row>
    <row r="26" spans="1:6" ht="14.25">
      <c r="A26" s="731"/>
      <c r="B26" s="731"/>
      <c r="C26" s="731"/>
      <c r="D26" s="731"/>
      <c r="F26" s="140"/>
    </row>
    <row r="27" spans="1:6" ht="14.25">
      <c r="A27" s="731"/>
      <c r="B27" s="731"/>
      <c r="C27" s="731"/>
      <c r="D27" s="731"/>
      <c r="F27" s="140"/>
    </row>
    <row r="28" spans="1:6" ht="14.25">
      <c r="A28" s="731"/>
      <c r="B28" s="731"/>
      <c r="C28" s="731"/>
      <c r="D28" s="731"/>
      <c r="F28" s="140"/>
    </row>
    <row r="29" spans="1:6" ht="14.25">
      <c r="A29" s="731"/>
      <c r="B29" s="731"/>
      <c r="C29" s="731"/>
      <c r="D29" s="731"/>
      <c r="F29" s="140"/>
    </row>
    <row r="30" spans="1:6" ht="14.25">
      <c r="A30" s="731"/>
      <c r="B30" s="731"/>
      <c r="C30" s="731"/>
      <c r="D30" s="731"/>
      <c r="F30" s="140"/>
    </row>
    <row r="31" spans="1:6" ht="14.25">
      <c r="A31" s="731"/>
      <c r="B31" s="731"/>
      <c r="C31" s="731"/>
      <c r="D31" s="731"/>
      <c r="F31" s="140"/>
    </row>
    <row r="32" spans="1:6" ht="14.25">
      <c r="A32" s="731" t="s">
        <v>216</v>
      </c>
      <c r="B32" s="731"/>
      <c r="C32" s="731"/>
      <c r="D32" s="731"/>
      <c r="F32" s="140"/>
    </row>
    <row r="33" spans="1:6" ht="14.25">
      <c r="A33" s="731" t="s">
        <v>19</v>
      </c>
      <c r="B33" s="731"/>
      <c r="C33" s="731"/>
      <c r="D33" s="731"/>
      <c r="F33" s="140"/>
    </row>
  </sheetData>
  <mergeCells count="3">
    <mergeCell ref="A2:E2"/>
    <mergeCell ref="A4:E4"/>
    <mergeCell ref="A5:E5"/>
  </mergeCells>
  <printOptions/>
  <pageMargins left="0.75" right="0.75" top="1" bottom="1" header="0.5" footer="0.5"/>
  <pageSetup firstPageNumber="36" useFirstPageNumber="1" horizontalDpi="600" verticalDpi="600" orientation="portrait" paperSize="9" r:id="rId1"/>
  <headerFooter alignWithMargins="0">
    <oddFooter>&amp;R&amp;9&amp;P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E45"/>
  <sheetViews>
    <sheetView workbookViewId="0" topLeftCell="A19">
      <selection activeCell="K52" sqref="K52"/>
    </sheetView>
  </sheetViews>
  <sheetFormatPr defaultColWidth="9.140625" defaultRowHeight="17.25" customHeight="1"/>
  <cols>
    <col min="1" max="1" width="40.00390625" style="49" customWidth="1"/>
    <col min="2" max="2" width="8.8515625" style="498" customWidth="1"/>
    <col min="3" max="3" width="11.28125" style="498" customWidth="1"/>
    <col min="4" max="4" width="12.57421875" style="498" customWidth="1"/>
    <col min="5" max="5" width="11.57421875" style="498" customWidth="1"/>
  </cols>
  <sheetData>
    <row r="1" spans="2:5" ht="17.25" customHeight="1">
      <c r="B1" s="51"/>
      <c r="C1" s="51"/>
      <c r="D1" s="51"/>
      <c r="E1" s="313" t="s">
        <v>746</v>
      </c>
    </row>
    <row r="2" spans="1:5" ht="17.25" customHeight="1">
      <c r="A2" s="755" t="s">
        <v>747</v>
      </c>
      <c r="B2" s="755"/>
      <c r="C2" s="755"/>
      <c r="D2" s="755"/>
      <c r="E2" s="755"/>
    </row>
    <row r="3" spans="4:5" ht="17.25" customHeight="1">
      <c r="D3" s="568"/>
      <c r="E3" s="568"/>
    </row>
    <row r="4" spans="1:5" ht="17.25" customHeight="1">
      <c r="A4" s="782" t="s">
        <v>748</v>
      </c>
      <c r="B4" s="782"/>
      <c r="C4" s="782"/>
      <c r="D4" s="782"/>
      <c r="E4" s="782"/>
    </row>
    <row r="5" spans="1:5" ht="12.75" customHeight="1">
      <c r="A5" s="781" t="s">
        <v>28</v>
      </c>
      <c r="B5" s="781"/>
      <c r="C5" s="781"/>
      <c r="D5" s="781"/>
      <c r="E5" s="781"/>
    </row>
    <row r="6" spans="1:5" ht="12.75" customHeight="1">
      <c r="A6" s="552"/>
      <c r="B6" s="552"/>
      <c r="C6" s="552"/>
      <c r="D6" s="552"/>
      <c r="E6" s="552"/>
    </row>
    <row r="7" spans="2:5" ht="10.5" customHeight="1">
      <c r="B7" s="89"/>
      <c r="C7" s="89"/>
      <c r="D7" s="38"/>
      <c r="E7" s="502" t="s">
        <v>386</v>
      </c>
    </row>
    <row r="8" spans="1:5" ht="22.5">
      <c r="A8" s="569" t="s">
        <v>47</v>
      </c>
      <c r="B8" s="531" t="s">
        <v>598</v>
      </c>
      <c r="C8" s="531" t="s">
        <v>96</v>
      </c>
      <c r="D8" s="531" t="s">
        <v>650</v>
      </c>
      <c r="E8" s="9" t="s">
        <v>38</v>
      </c>
    </row>
    <row r="9" spans="1:5" ht="12.75">
      <c r="A9" s="258">
        <v>1</v>
      </c>
      <c r="B9" s="570">
        <v>2</v>
      </c>
      <c r="C9" s="570">
        <v>3</v>
      </c>
      <c r="D9" s="571">
        <v>4</v>
      </c>
      <c r="E9" s="571">
        <v>5</v>
      </c>
    </row>
    <row r="10" spans="1:5" ht="12.75">
      <c r="A10" s="535" t="s">
        <v>308</v>
      </c>
      <c r="B10" s="185">
        <v>37601</v>
      </c>
      <c r="C10" s="185">
        <v>14915</v>
      </c>
      <c r="D10" s="573">
        <v>39.66649823143001</v>
      </c>
      <c r="E10" s="185">
        <v>2931</v>
      </c>
    </row>
    <row r="11" spans="1:5" ht="12.75">
      <c r="A11" s="535" t="s">
        <v>716</v>
      </c>
      <c r="B11" s="185">
        <v>51066</v>
      </c>
      <c r="C11" s="185">
        <v>12692</v>
      </c>
      <c r="D11" s="573">
        <v>24.85411036697607</v>
      </c>
      <c r="E11" s="185">
        <v>3193</v>
      </c>
    </row>
    <row r="12" spans="1:5" ht="12.75">
      <c r="A12" s="555" t="s">
        <v>315</v>
      </c>
      <c r="B12" s="185">
        <v>39415</v>
      </c>
      <c r="C12" s="185">
        <v>9719</v>
      </c>
      <c r="D12" s="573">
        <v>24.658125079284538</v>
      </c>
      <c r="E12" s="185">
        <v>2478</v>
      </c>
    </row>
    <row r="13" spans="1:5" ht="12.75">
      <c r="A13" s="555" t="s">
        <v>316</v>
      </c>
      <c r="B13" s="185">
        <v>22656</v>
      </c>
      <c r="C13" s="185">
        <v>6218</v>
      </c>
      <c r="D13" s="573">
        <v>27.44526836158192</v>
      </c>
      <c r="E13" s="185">
        <v>1749</v>
      </c>
    </row>
    <row r="14" spans="1:5" ht="17.25" customHeight="1">
      <c r="A14" s="556" t="s">
        <v>717</v>
      </c>
      <c r="B14" s="193">
        <v>2463</v>
      </c>
      <c r="C14" s="193">
        <v>891</v>
      </c>
      <c r="D14" s="575">
        <v>36.17539585870889</v>
      </c>
      <c r="E14" s="193">
        <v>179</v>
      </c>
    </row>
    <row r="15" spans="1:5" ht="25.5">
      <c r="A15" s="556" t="s">
        <v>718</v>
      </c>
      <c r="B15" s="193">
        <v>615</v>
      </c>
      <c r="C15" s="193">
        <v>221</v>
      </c>
      <c r="D15" s="575">
        <v>35.9349593495935</v>
      </c>
      <c r="E15" s="193">
        <v>42</v>
      </c>
    </row>
    <row r="16" spans="1:5" ht="12.75">
      <c r="A16" s="556" t="s">
        <v>719</v>
      </c>
      <c r="B16" s="193">
        <v>19578</v>
      </c>
      <c r="C16" s="193">
        <v>5106</v>
      </c>
      <c r="D16" s="575">
        <v>26.08029420778425</v>
      </c>
      <c r="E16" s="193">
        <v>1528</v>
      </c>
    </row>
    <row r="17" spans="1:5" ht="25.5">
      <c r="A17" s="567" t="s">
        <v>720</v>
      </c>
      <c r="B17" s="193">
        <v>19391</v>
      </c>
      <c r="C17" s="193">
        <v>5054</v>
      </c>
      <c r="D17" s="575">
        <v>26.06363777009953</v>
      </c>
      <c r="E17" s="193">
        <v>1513</v>
      </c>
    </row>
    <row r="18" spans="1:5" ht="12.75">
      <c r="A18" s="567" t="s">
        <v>749</v>
      </c>
      <c r="B18" s="193">
        <v>187</v>
      </c>
      <c r="C18" s="193">
        <v>52</v>
      </c>
      <c r="D18" s="575">
        <v>27.807486631016044</v>
      </c>
      <c r="E18" s="193">
        <v>15</v>
      </c>
    </row>
    <row r="19" spans="1:5" ht="25.5">
      <c r="A19" s="555" t="s">
        <v>722</v>
      </c>
      <c r="B19" s="185">
        <v>52</v>
      </c>
      <c r="C19" s="185">
        <v>42</v>
      </c>
      <c r="D19" s="573">
        <v>80.76923076923077</v>
      </c>
      <c r="E19" s="185">
        <v>15</v>
      </c>
    </row>
    <row r="20" spans="1:5" ht="12.75">
      <c r="A20" s="555" t="s">
        <v>324</v>
      </c>
      <c r="B20" s="185">
        <v>16707</v>
      </c>
      <c r="C20" s="185">
        <v>3459</v>
      </c>
      <c r="D20" s="573">
        <v>20.703896570299875</v>
      </c>
      <c r="E20" s="185">
        <v>714</v>
      </c>
    </row>
    <row r="21" spans="1:5" ht="12.75">
      <c r="A21" s="556" t="s">
        <v>723</v>
      </c>
      <c r="B21" s="193">
        <v>201</v>
      </c>
      <c r="C21" s="193">
        <v>105</v>
      </c>
      <c r="D21" s="575">
        <v>52.23880597014925</v>
      </c>
      <c r="E21" s="193">
        <v>31</v>
      </c>
    </row>
    <row r="22" spans="1:5" ht="12.75">
      <c r="A22" s="556" t="s">
        <v>724</v>
      </c>
      <c r="B22" s="193">
        <v>1192</v>
      </c>
      <c r="C22" s="193">
        <v>348</v>
      </c>
      <c r="D22" s="575">
        <v>29.194630872483224</v>
      </c>
      <c r="E22" s="193">
        <v>58</v>
      </c>
    </row>
    <row r="23" spans="1:5" ht="12.75">
      <c r="A23" s="556" t="s">
        <v>725</v>
      </c>
      <c r="B23" s="193">
        <v>73</v>
      </c>
      <c r="C23" s="193">
        <v>46</v>
      </c>
      <c r="D23" s="575">
        <v>63.013698630136986</v>
      </c>
      <c r="E23" s="193">
        <v>-10</v>
      </c>
    </row>
    <row r="24" spans="1:5" ht="25.5">
      <c r="A24" s="556" t="s">
        <v>726</v>
      </c>
      <c r="B24" s="193">
        <v>12301</v>
      </c>
      <c r="C24" s="193">
        <v>1707</v>
      </c>
      <c r="D24" s="575">
        <v>13.876920575562963</v>
      </c>
      <c r="E24" s="193">
        <v>299</v>
      </c>
    </row>
    <row r="25" spans="1:5" ht="12.75">
      <c r="A25" s="556" t="s">
        <v>727</v>
      </c>
      <c r="B25" s="193">
        <v>2661</v>
      </c>
      <c r="C25" s="193">
        <v>1009</v>
      </c>
      <c r="D25" s="575">
        <v>37.91807591131154</v>
      </c>
      <c r="E25" s="193">
        <v>243</v>
      </c>
    </row>
    <row r="26" spans="1:5" ht="12.75">
      <c r="A26" s="556" t="s">
        <v>750</v>
      </c>
      <c r="B26" s="193">
        <v>279</v>
      </c>
      <c r="C26" s="193">
        <v>244</v>
      </c>
      <c r="D26" s="575">
        <v>87.45519713261649</v>
      </c>
      <c r="E26" s="193">
        <v>93</v>
      </c>
    </row>
    <row r="27" spans="1:5" ht="12.75">
      <c r="A27" s="555" t="s">
        <v>339</v>
      </c>
      <c r="B27" s="185">
        <v>11651</v>
      </c>
      <c r="C27" s="185">
        <v>2973</v>
      </c>
      <c r="D27" s="573">
        <v>25.517122993734443</v>
      </c>
      <c r="E27" s="185">
        <v>715</v>
      </c>
    </row>
    <row r="28" spans="1:5" ht="17.25" customHeight="1">
      <c r="A28" s="556" t="s">
        <v>729</v>
      </c>
      <c r="B28" s="193">
        <v>8367</v>
      </c>
      <c r="C28" s="193">
        <v>2183</v>
      </c>
      <c r="D28" s="575">
        <v>26.090594000239037</v>
      </c>
      <c r="E28" s="193">
        <v>526</v>
      </c>
    </row>
    <row r="29" spans="1:5" ht="12.75">
      <c r="A29" s="253" t="s">
        <v>549</v>
      </c>
      <c r="B29" s="193">
        <v>3284</v>
      </c>
      <c r="C29" s="193">
        <v>790</v>
      </c>
      <c r="D29" s="575">
        <v>24.056029232643116</v>
      </c>
      <c r="E29" s="193">
        <v>189</v>
      </c>
    </row>
    <row r="30" spans="1:5" ht="12.75">
      <c r="A30" s="555" t="s">
        <v>730</v>
      </c>
      <c r="B30" s="185">
        <v>-1936</v>
      </c>
      <c r="C30" s="185">
        <v>-920</v>
      </c>
      <c r="D30" s="573">
        <v>47.5206611570248</v>
      </c>
      <c r="E30" s="185">
        <v>-102</v>
      </c>
    </row>
    <row r="31" spans="1:5" ht="12.75">
      <c r="A31" s="556" t="s">
        <v>731</v>
      </c>
      <c r="B31" s="193">
        <v>695</v>
      </c>
      <c r="C31" s="193">
        <v>377</v>
      </c>
      <c r="D31" s="575">
        <v>54.24460431654676</v>
      </c>
      <c r="E31" s="193">
        <v>-2</v>
      </c>
    </row>
    <row r="32" spans="1:5" ht="12.75">
      <c r="A32" s="556" t="s">
        <v>732</v>
      </c>
      <c r="B32" s="193">
        <v>2631</v>
      </c>
      <c r="C32" s="193">
        <v>1297</v>
      </c>
      <c r="D32" s="575">
        <v>49.29684530596731</v>
      </c>
      <c r="E32" s="193">
        <v>100</v>
      </c>
    </row>
    <row r="33" spans="1:5" ht="12.75">
      <c r="A33" s="555" t="s">
        <v>505</v>
      </c>
      <c r="B33" s="185">
        <v>-11529</v>
      </c>
      <c r="C33" s="185">
        <v>3143</v>
      </c>
      <c r="D33" s="573">
        <v>-27.26168791742562</v>
      </c>
      <c r="E33" s="185">
        <v>-160</v>
      </c>
    </row>
    <row r="34" spans="1:4" ht="17.25" customHeight="1">
      <c r="A34" s="548"/>
      <c r="B34" s="139"/>
      <c r="C34" s="139"/>
      <c r="D34" s="581"/>
    </row>
    <row r="35" ht="17.25" customHeight="1">
      <c r="A35" s="550"/>
    </row>
    <row r="36" ht="17.25" customHeight="1">
      <c r="A36" s="550"/>
    </row>
    <row r="37" ht="17.25" customHeight="1">
      <c r="A37" s="548"/>
    </row>
    <row r="38" spans="1:5" ht="12.75" customHeight="1">
      <c r="A38" s="41" t="s">
        <v>17</v>
      </c>
      <c r="B38" s="39"/>
      <c r="C38" s="39"/>
      <c r="D38" s="39" t="s">
        <v>215</v>
      </c>
      <c r="E38" s="582"/>
    </row>
    <row r="39" spans="1:3" ht="17.25" customHeight="1">
      <c r="A39" s="520"/>
      <c r="B39" s="91"/>
      <c r="C39" s="91"/>
    </row>
    <row r="40" spans="1:3" ht="17.25" customHeight="1">
      <c r="A40" s="550"/>
      <c r="B40" s="265"/>
      <c r="C40" s="265"/>
    </row>
    <row r="41" spans="1:3" ht="17.25" customHeight="1">
      <c r="A41" s="550"/>
      <c r="B41" s="49"/>
      <c r="C41" s="49"/>
    </row>
    <row r="42" spans="1:3" ht="17.25" customHeight="1">
      <c r="A42" s="520"/>
      <c r="B42" s="520"/>
      <c r="C42" s="520"/>
    </row>
    <row r="44" ht="12.75" customHeight="1">
      <c r="A44" s="1" t="s">
        <v>459</v>
      </c>
    </row>
    <row r="45" ht="12.75" customHeight="1">
      <c r="A45" s="1" t="s">
        <v>19</v>
      </c>
    </row>
  </sheetData>
  <mergeCells count="3">
    <mergeCell ref="A2:E2"/>
    <mergeCell ref="A4:E4"/>
    <mergeCell ref="A5:E5"/>
  </mergeCells>
  <printOptions/>
  <pageMargins left="0.75" right="0.75" top="1" bottom="1" header="0.5" footer="0.5"/>
  <pageSetup firstPageNumber="37" useFirstPageNumber="1" horizontalDpi="600" verticalDpi="600" orientation="portrait" paperSize="9" r:id="rId1"/>
  <headerFooter alignWithMargins="0">
    <oddFooter>&amp;R&amp;9&amp;P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93"/>
  <sheetViews>
    <sheetView workbookViewId="0" topLeftCell="F61">
      <selection activeCell="F89" sqref="F89"/>
    </sheetView>
  </sheetViews>
  <sheetFormatPr defaultColWidth="9.140625" defaultRowHeight="12.75"/>
  <cols>
    <col min="1" max="1" width="33.8515625" style="49" hidden="1" customWidth="1"/>
    <col min="2" max="2" width="12.7109375" style="50" hidden="1" customWidth="1"/>
    <col min="3" max="3" width="2.57421875" style="49" hidden="1" customWidth="1"/>
    <col min="4" max="4" width="3.57421875" style="49" hidden="1" customWidth="1"/>
    <col min="5" max="5" width="2.8515625" style="49" hidden="1" customWidth="1"/>
    <col min="6" max="6" width="51.421875" style="0" customWidth="1"/>
    <col min="7" max="7" width="10.7109375" style="0" customWidth="1"/>
    <col min="8" max="8" width="8.8515625" style="0" customWidth="1"/>
    <col min="9" max="9" width="9.00390625" style="0" customWidth="1"/>
    <col min="10" max="10" width="9.421875" style="0" customWidth="1"/>
    <col min="11" max="11" width="9.7109375" style="0" customWidth="1"/>
    <col min="12" max="12" width="0.13671875" style="0" customWidth="1"/>
    <col min="13" max="13" width="0" style="0" hidden="1" customWidth="1"/>
    <col min="14" max="14" width="0.13671875" style="0" customWidth="1"/>
    <col min="15" max="16" width="0" style="0" hidden="1" customWidth="1"/>
    <col min="17" max="17" width="0.13671875" style="0" hidden="1" customWidth="1"/>
    <col min="18" max="18" width="0" style="0" hidden="1" customWidth="1"/>
    <col min="19" max="19" width="0.13671875" style="0" hidden="1" customWidth="1"/>
  </cols>
  <sheetData>
    <row r="1" spans="1:10" ht="18.75" customHeight="1">
      <c r="A1" s="48"/>
      <c r="B1" s="48"/>
      <c r="C1" s="48"/>
      <c r="D1" s="48"/>
      <c r="E1" s="48"/>
      <c r="F1" s="49"/>
      <c r="G1" s="50"/>
      <c r="H1" s="49"/>
      <c r="I1" s="49"/>
      <c r="J1" s="49" t="s">
        <v>91</v>
      </c>
    </row>
    <row r="2" spans="1:10" ht="18.75" customHeight="1">
      <c r="A2" s="48"/>
      <c r="B2" s="48"/>
      <c r="C2" s="48"/>
      <c r="D2" s="48"/>
      <c r="E2" s="48"/>
      <c r="F2" s="51" t="s">
        <v>92</v>
      </c>
      <c r="G2" s="52"/>
      <c r="H2" s="51"/>
      <c r="I2" s="51"/>
      <c r="J2" s="51"/>
    </row>
    <row r="3" spans="1:10" ht="14.25" customHeight="1">
      <c r="A3" s="48"/>
      <c r="B3" s="48"/>
      <c r="C3" s="48"/>
      <c r="D3" s="48"/>
      <c r="E3" s="48"/>
      <c r="F3" s="49"/>
      <c r="G3" s="50"/>
      <c r="H3" s="49"/>
      <c r="I3" s="49"/>
      <c r="J3" s="49"/>
    </row>
    <row r="4" spans="1:10" ht="18.75" customHeight="1">
      <c r="A4" s="48"/>
      <c r="B4" s="48"/>
      <c r="C4" s="48"/>
      <c r="D4" s="48"/>
      <c r="E4" s="48"/>
      <c r="F4" s="756" t="s">
        <v>93</v>
      </c>
      <c r="G4" s="756"/>
      <c r="H4" s="756"/>
      <c r="I4" s="756"/>
      <c r="J4" s="756"/>
    </row>
    <row r="5" spans="1:10" ht="18.75" customHeight="1">
      <c r="A5" s="48"/>
      <c r="B5" s="48"/>
      <c r="C5" s="48"/>
      <c r="D5" s="48"/>
      <c r="E5" s="48"/>
      <c r="F5" s="754" t="s">
        <v>18</v>
      </c>
      <c r="G5" s="754"/>
      <c r="H5" s="754"/>
      <c r="I5" s="754"/>
      <c r="J5" s="754"/>
    </row>
    <row r="6" spans="1:10" ht="14.25" customHeight="1">
      <c r="A6" s="48"/>
      <c r="B6" s="48"/>
      <c r="C6" s="48"/>
      <c r="D6" s="48"/>
      <c r="E6" s="48"/>
      <c r="F6" s="48"/>
      <c r="G6" s="48"/>
      <c r="H6" s="48"/>
      <c r="I6" s="48"/>
      <c r="J6" s="48"/>
    </row>
    <row r="7" spans="1:10" ht="15.75" customHeight="1">
      <c r="A7" s="53"/>
      <c r="B7" s="52"/>
      <c r="C7" s="51"/>
      <c r="D7" s="38"/>
      <c r="E7" s="38"/>
      <c r="F7" s="53"/>
      <c r="G7" s="52"/>
      <c r="H7" s="51"/>
      <c r="I7" s="38"/>
      <c r="J7" s="2" t="s">
        <v>94</v>
      </c>
    </row>
    <row r="8" spans="1:10" ht="49.5" customHeight="1">
      <c r="A8" s="9" t="s">
        <v>47</v>
      </c>
      <c r="B8" s="54" t="s">
        <v>95</v>
      </c>
      <c r="C8" s="9" t="s">
        <v>96</v>
      </c>
      <c r="D8" s="9" t="s">
        <v>97</v>
      </c>
      <c r="E8" s="9" t="s">
        <v>98</v>
      </c>
      <c r="F8" s="9" t="s">
        <v>47</v>
      </c>
      <c r="G8" s="54" t="s">
        <v>95</v>
      </c>
      <c r="H8" s="9" t="s">
        <v>96</v>
      </c>
      <c r="I8" s="9" t="s">
        <v>97</v>
      </c>
      <c r="J8" s="9" t="s">
        <v>20</v>
      </c>
    </row>
    <row r="9" spans="1:10" ht="12.75">
      <c r="A9" s="9">
        <v>1</v>
      </c>
      <c r="B9" s="54">
        <v>2</v>
      </c>
      <c r="C9" s="9">
        <v>3</v>
      </c>
      <c r="D9" s="9">
        <v>4</v>
      </c>
      <c r="E9" s="9">
        <v>5</v>
      </c>
      <c r="F9" s="9">
        <v>1</v>
      </c>
      <c r="G9" s="54">
        <v>2</v>
      </c>
      <c r="H9" s="9">
        <v>3</v>
      </c>
      <c r="I9" s="9">
        <v>4</v>
      </c>
      <c r="J9" s="9">
        <v>5</v>
      </c>
    </row>
    <row r="10" spans="1:10" ht="12.75">
      <c r="A10" s="32" t="s">
        <v>99</v>
      </c>
      <c r="B10" s="55">
        <f>SUM(B24,B33)</f>
        <v>1455956480</v>
      </c>
      <c r="C10" s="55">
        <f>SUM(C24,C33)</f>
        <v>0</v>
      </c>
      <c r="D10" s="56">
        <f aca="true" t="shared" si="0" ref="D10:D21">IF(ISERROR(C10/B10)," ",(C10/B10))</f>
        <v>0</v>
      </c>
      <c r="E10" s="55">
        <f aca="true" t="shared" si="1" ref="E10:E21">C10</f>
        <v>0</v>
      </c>
      <c r="F10" s="32" t="s">
        <v>99</v>
      </c>
      <c r="G10" s="57">
        <v>1455956</v>
      </c>
      <c r="H10" s="57">
        <v>555822</v>
      </c>
      <c r="I10" s="58">
        <v>38.175741574608026</v>
      </c>
      <c r="J10" s="57">
        <v>124250</v>
      </c>
    </row>
    <row r="11" spans="1:10" ht="12.75" customHeight="1">
      <c r="A11" s="59" t="s">
        <v>100</v>
      </c>
      <c r="B11" s="55">
        <f>SUM(B12,B20,B21,B22)</f>
        <v>795383031</v>
      </c>
      <c r="C11" s="55">
        <f>SUM(C12,C20,C21)</f>
        <v>0</v>
      </c>
      <c r="D11" s="56">
        <f t="shared" si="0"/>
        <v>0</v>
      </c>
      <c r="E11" s="55">
        <f t="shared" si="1"/>
        <v>0</v>
      </c>
      <c r="F11" s="59" t="s">
        <v>100</v>
      </c>
      <c r="G11" s="57">
        <v>795383</v>
      </c>
      <c r="H11" s="57">
        <v>297304</v>
      </c>
      <c r="I11" s="58">
        <v>37.37872194904844</v>
      </c>
      <c r="J11" s="57">
        <v>66007</v>
      </c>
    </row>
    <row r="12" spans="1:10" ht="12.75">
      <c r="A12" s="60" t="s">
        <v>101</v>
      </c>
      <c r="B12" s="61">
        <f>SUM(B13,B15,B19)</f>
        <v>611912797</v>
      </c>
      <c r="C12" s="61">
        <f>SUM(C13,C15,C19)</f>
        <v>0</v>
      </c>
      <c r="D12" s="62">
        <f t="shared" si="0"/>
        <v>0</v>
      </c>
      <c r="E12" s="55">
        <f t="shared" si="1"/>
        <v>0</v>
      </c>
      <c r="F12" s="60" t="s">
        <v>101</v>
      </c>
      <c r="G12" s="63">
        <v>611913</v>
      </c>
      <c r="H12" s="63">
        <v>233621</v>
      </c>
      <c r="I12" s="64">
        <v>38.17879339056369</v>
      </c>
      <c r="J12" s="63">
        <v>49627</v>
      </c>
    </row>
    <row r="13" spans="1:10" ht="12.75">
      <c r="A13" s="65" t="s">
        <v>102</v>
      </c>
      <c r="B13" s="61">
        <f>SUM(B14)</f>
        <v>98046000</v>
      </c>
      <c r="C13" s="61">
        <f>SUM(C14)</f>
        <v>0</v>
      </c>
      <c r="D13" s="62">
        <f t="shared" si="0"/>
        <v>0</v>
      </c>
      <c r="E13" s="55">
        <f t="shared" si="1"/>
        <v>0</v>
      </c>
      <c r="F13" s="65" t="s">
        <v>102</v>
      </c>
      <c r="G13" s="61">
        <v>98046</v>
      </c>
      <c r="H13" s="61">
        <v>46208</v>
      </c>
      <c r="I13" s="64">
        <v>47.12889868021133</v>
      </c>
      <c r="J13" s="61">
        <v>11293</v>
      </c>
    </row>
    <row r="14" spans="1:10" ht="12.75">
      <c r="A14" s="66" t="s">
        <v>103</v>
      </c>
      <c r="B14" s="61">
        <v>98046000</v>
      </c>
      <c r="C14" s="61"/>
      <c r="D14" s="62">
        <f t="shared" si="0"/>
        <v>0</v>
      </c>
      <c r="E14" s="55">
        <f t="shared" si="1"/>
        <v>0</v>
      </c>
      <c r="F14" s="66" t="s">
        <v>103</v>
      </c>
      <c r="G14" s="63">
        <v>98046</v>
      </c>
      <c r="H14" s="63">
        <v>46208</v>
      </c>
      <c r="I14" s="64">
        <v>47.12889868021133</v>
      </c>
      <c r="J14" s="63">
        <v>11293</v>
      </c>
    </row>
    <row r="15" spans="1:10" ht="12.75">
      <c r="A15" s="65" t="s">
        <v>104</v>
      </c>
      <c r="B15" s="61">
        <f>SUM(B16:B18)</f>
        <v>513866797</v>
      </c>
      <c r="C15" s="61">
        <f>SUM(C16:C18)</f>
        <v>0</v>
      </c>
      <c r="D15" s="62">
        <f t="shared" si="0"/>
        <v>0</v>
      </c>
      <c r="E15" s="55">
        <f t="shared" si="1"/>
        <v>0</v>
      </c>
      <c r="F15" s="65" t="s">
        <v>104</v>
      </c>
      <c r="G15" s="61">
        <v>513867</v>
      </c>
      <c r="H15" s="61">
        <v>186491</v>
      </c>
      <c r="I15" s="64">
        <v>36.29168637020863</v>
      </c>
      <c r="J15" s="61">
        <v>41753</v>
      </c>
    </row>
    <row r="16" spans="1:10" ht="12.75" customHeight="1">
      <c r="A16" s="67" t="s">
        <v>105</v>
      </c>
      <c r="B16" s="61">
        <v>368947657</v>
      </c>
      <c r="C16" s="61"/>
      <c r="D16" s="62">
        <f t="shared" si="0"/>
        <v>0</v>
      </c>
      <c r="E16" s="55">
        <f t="shared" si="1"/>
        <v>0</v>
      </c>
      <c r="F16" s="67" t="s">
        <v>105</v>
      </c>
      <c r="G16" s="63">
        <v>368948</v>
      </c>
      <c r="H16" s="63">
        <v>135971</v>
      </c>
      <c r="I16" s="64">
        <v>36.85370296085085</v>
      </c>
      <c r="J16" s="63">
        <v>30342</v>
      </c>
    </row>
    <row r="17" spans="1:10" ht="12.75">
      <c r="A17" s="66" t="s">
        <v>106</v>
      </c>
      <c r="B17" s="61">
        <v>132976140</v>
      </c>
      <c r="C17" s="61"/>
      <c r="D17" s="62">
        <f t="shared" si="0"/>
        <v>0</v>
      </c>
      <c r="E17" s="55">
        <f t="shared" si="1"/>
        <v>0</v>
      </c>
      <c r="F17" s="66" t="s">
        <v>106</v>
      </c>
      <c r="G17" s="63">
        <v>132976</v>
      </c>
      <c r="H17" s="63">
        <v>44480</v>
      </c>
      <c r="I17" s="64">
        <v>33.449645048730595</v>
      </c>
      <c r="J17" s="63">
        <v>9942</v>
      </c>
    </row>
    <row r="18" spans="1:10" ht="12.75">
      <c r="A18" s="66" t="s">
        <v>107</v>
      </c>
      <c r="B18" s="61">
        <v>11943000</v>
      </c>
      <c r="C18" s="61"/>
      <c r="D18" s="62">
        <f t="shared" si="0"/>
        <v>0</v>
      </c>
      <c r="E18" s="55">
        <f t="shared" si="1"/>
        <v>0</v>
      </c>
      <c r="F18" s="66" t="s">
        <v>107</v>
      </c>
      <c r="G18" s="63">
        <v>11943</v>
      </c>
      <c r="H18" s="63">
        <v>6040</v>
      </c>
      <c r="I18" s="64">
        <v>50.57355773256301</v>
      </c>
      <c r="J18" s="63">
        <v>1469</v>
      </c>
    </row>
    <row r="19" spans="1:10" ht="12.75">
      <c r="A19" s="65" t="s">
        <v>108</v>
      </c>
      <c r="B19" s="61"/>
      <c r="C19" s="61"/>
      <c r="D19" s="62" t="str">
        <f t="shared" si="0"/>
        <v> </v>
      </c>
      <c r="E19" s="55">
        <f t="shared" si="1"/>
        <v>0</v>
      </c>
      <c r="F19" s="65" t="s">
        <v>108</v>
      </c>
      <c r="G19" s="68" t="s">
        <v>53</v>
      </c>
      <c r="H19" s="61">
        <v>922</v>
      </c>
      <c r="I19" s="64"/>
      <c r="J19" s="61">
        <v>-3419</v>
      </c>
    </row>
    <row r="20" spans="1:10" ht="12.75">
      <c r="A20" s="60" t="s">
        <v>109</v>
      </c>
      <c r="B20" s="61">
        <v>66652153</v>
      </c>
      <c r="C20" s="61"/>
      <c r="D20" s="62">
        <f t="shared" si="0"/>
        <v>0</v>
      </c>
      <c r="E20" s="55">
        <f t="shared" si="1"/>
        <v>0</v>
      </c>
      <c r="F20" s="60" t="s">
        <v>109</v>
      </c>
      <c r="G20" s="63">
        <v>66652</v>
      </c>
      <c r="H20" s="63">
        <v>28597</v>
      </c>
      <c r="I20" s="64">
        <v>42.90493908659905</v>
      </c>
      <c r="J20" s="63">
        <v>5526</v>
      </c>
    </row>
    <row r="21" spans="1:10" ht="12.75" customHeight="1">
      <c r="A21" s="69" t="s">
        <v>110</v>
      </c>
      <c r="B21" s="61">
        <v>60659270</v>
      </c>
      <c r="C21" s="61"/>
      <c r="D21" s="62">
        <f t="shared" si="0"/>
        <v>0</v>
      </c>
      <c r="E21" s="55">
        <f t="shared" si="1"/>
        <v>0</v>
      </c>
      <c r="F21" s="69" t="s">
        <v>110</v>
      </c>
      <c r="G21" s="63">
        <v>60659</v>
      </c>
      <c r="H21" s="63">
        <v>24510</v>
      </c>
      <c r="I21" s="64">
        <v>40.40620517977547</v>
      </c>
      <c r="J21" s="63">
        <v>4502</v>
      </c>
    </row>
    <row r="22" spans="1:10" ht="12" customHeight="1">
      <c r="A22" s="69" t="s">
        <v>111</v>
      </c>
      <c r="B22" s="61">
        <f>45600095+10558716</f>
        <v>56158811</v>
      </c>
      <c r="C22" s="61"/>
      <c r="D22" s="62"/>
      <c r="E22" s="55"/>
      <c r="F22" s="69" t="s">
        <v>112</v>
      </c>
      <c r="G22" s="63">
        <v>56159</v>
      </c>
      <c r="H22" s="63">
        <v>10576</v>
      </c>
      <c r="I22" s="64">
        <v>18.832244163891808</v>
      </c>
      <c r="J22" s="63">
        <v>6352</v>
      </c>
    </row>
    <row r="23" spans="1:10" ht="12.75" customHeight="1">
      <c r="A23" s="70" t="s">
        <v>113</v>
      </c>
      <c r="B23" s="61">
        <v>1201200</v>
      </c>
      <c r="C23" s="61"/>
      <c r="D23" s="62">
        <f aca="true" t="shared" si="2" ref="D23:D41">IF(ISERROR(C23/B23)," ",(C23/B23))</f>
        <v>0</v>
      </c>
      <c r="E23" s="55">
        <f aca="true" t="shared" si="3" ref="E23:E41">C23</f>
        <v>0</v>
      </c>
      <c r="F23" s="70" t="s">
        <v>113</v>
      </c>
      <c r="G23" s="71">
        <v>1201</v>
      </c>
      <c r="H23" s="72">
        <v>501</v>
      </c>
      <c r="I23" s="73">
        <v>41.71523730224813</v>
      </c>
      <c r="J23" s="72">
        <v>101</v>
      </c>
    </row>
    <row r="24" spans="1:10" ht="12.75" customHeight="1">
      <c r="A24" s="59" t="s">
        <v>114</v>
      </c>
      <c r="B24" s="55">
        <f>SUM(B11-B23)</f>
        <v>794181831</v>
      </c>
      <c r="C24" s="55">
        <f>SUM(C11-C23)</f>
        <v>0</v>
      </c>
      <c r="D24" s="56">
        <f t="shared" si="2"/>
        <v>0</v>
      </c>
      <c r="E24" s="55">
        <f t="shared" si="3"/>
        <v>0</v>
      </c>
      <c r="F24" s="59" t="s">
        <v>114</v>
      </c>
      <c r="G24" s="57">
        <v>794182</v>
      </c>
      <c r="H24" s="57">
        <v>296803</v>
      </c>
      <c r="I24" s="58">
        <v>37.372164063149256</v>
      </c>
      <c r="J24" s="57">
        <v>65906</v>
      </c>
    </row>
    <row r="25" spans="1:10" ht="12.75">
      <c r="A25" s="74" t="s">
        <v>115</v>
      </c>
      <c r="B25" s="55">
        <f>SUM(B26)</f>
        <v>725518701</v>
      </c>
      <c r="C25" s="55">
        <f>SUM(C26)</f>
        <v>0</v>
      </c>
      <c r="D25" s="56">
        <f t="shared" si="2"/>
        <v>0</v>
      </c>
      <c r="E25" s="55">
        <f t="shared" si="3"/>
        <v>0</v>
      </c>
      <c r="F25" s="74" t="s">
        <v>115</v>
      </c>
      <c r="G25" s="57">
        <v>725518</v>
      </c>
      <c r="H25" s="57">
        <v>287363</v>
      </c>
      <c r="I25" s="58">
        <v>39.607976645651796</v>
      </c>
      <c r="J25" s="57">
        <v>64715</v>
      </c>
    </row>
    <row r="26" spans="1:10" ht="12.75">
      <c r="A26" s="60" t="s">
        <v>116</v>
      </c>
      <c r="B26" s="61">
        <f>SUM(B27:B31)</f>
        <v>725518701</v>
      </c>
      <c r="C26" s="61">
        <f>SUM(C27:C31)</f>
        <v>0</v>
      </c>
      <c r="D26" s="62">
        <f t="shared" si="2"/>
        <v>0</v>
      </c>
      <c r="E26" s="55">
        <f t="shared" si="3"/>
        <v>0</v>
      </c>
      <c r="F26" s="60" t="s">
        <v>116</v>
      </c>
      <c r="G26" s="63">
        <v>725518</v>
      </c>
      <c r="H26" s="63">
        <v>287363</v>
      </c>
      <c r="I26" s="64">
        <v>39.607976645651796</v>
      </c>
      <c r="J26" s="63">
        <v>64715</v>
      </c>
    </row>
    <row r="27" spans="1:10" ht="12.75">
      <c r="A27" s="66" t="s">
        <v>117</v>
      </c>
      <c r="B27" s="61">
        <v>495585390</v>
      </c>
      <c r="C27" s="61"/>
      <c r="D27" s="62">
        <f t="shared" si="2"/>
        <v>0</v>
      </c>
      <c r="E27" s="55">
        <f t="shared" si="3"/>
        <v>0</v>
      </c>
      <c r="F27" s="66" t="s">
        <v>117</v>
      </c>
      <c r="G27" s="63">
        <v>495585</v>
      </c>
      <c r="H27" s="63">
        <v>196410</v>
      </c>
      <c r="I27" s="64">
        <v>39.631950119555675</v>
      </c>
      <c r="J27" s="63">
        <v>43673</v>
      </c>
    </row>
    <row r="28" spans="1:10" ht="12.75">
      <c r="A28" s="66" t="s">
        <v>118</v>
      </c>
      <c r="B28" s="61">
        <v>51689860</v>
      </c>
      <c r="C28" s="61"/>
      <c r="D28" s="62">
        <f t="shared" si="2"/>
        <v>0</v>
      </c>
      <c r="E28" s="55">
        <f t="shared" si="3"/>
        <v>0</v>
      </c>
      <c r="F28" s="66" t="s">
        <v>118</v>
      </c>
      <c r="G28" s="63">
        <v>51690</v>
      </c>
      <c r="H28" s="63">
        <v>16561</v>
      </c>
      <c r="I28" s="64">
        <v>32.0390791255562</v>
      </c>
      <c r="J28" s="63">
        <v>4401</v>
      </c>
    </row>
    <row r="29" spans="1:10" ht="12.75">
      <c r="A29" s="66" t="s">
        <v>119</v>
      </c>
      <c r="B29" s="61">
        <v>80619197</v>
      </c>
      <c r="C29" s="61"/>
      <c r="D29" s="62">
        <f t="shared" si="2"/>
        <v>0</v>
      </c>
      <c r="E29" s="55">
        <f t="shared" si="3"/>
        <v>0</v>
      </c>
      <c r="F29" s="66" t="s">
        <v>119</v>
      </c>
      <c r="G29" s="63">
        <v>80619</v>
      </c>
      <c r="H29" s="63">
        <v>31442</v>
      </c>
      <c r="I29" s="64">
        <v>39.000731837408054</v>
      </c>
      <c r="J29" s="63">
        <v>6999</v>
      </c>
    </row>
    <row r="30" spans="1:10" ht="12.75">
      <c r="A30" s="66" t="s">
        <v>120</v>
      </c>
      <c r="B30" s="61">
        <f>1678188+926917</f>
        <v>2605105</v>
      </c>
      <c r="C30" s="61"/>
      <c r="D30" s="62">
        <f t="shared" si="2"/>
        <v>0</v>
      </c>
      <c r="E30" s="55">
        <f t="shared" si="3"/>
        <v>0</v>
      </c>
      <c r="F30" s="66" t="s">
        <v>121</v>
      </c>
      <c r="G30" s="63">
        <v>2605</v>
      </c>
      <c r="H30" s="63">
        <v>891</v>
      </c>
      <c r="I30" s="64">
        <v>34.20345489443378</v>
      </c>
      <c r="J30" s="63">
        <v>168</v>
      </c>
    </row>
    <row r="31" spans="1:10" ht="12.75">
      <c r="A31" s="66" t="s">
        <v>122</v>
      </c>
      <c r="B31" s="61">
        <v>95019149</v>
      </c>
      <c r="C31" s="61"/>
      <c r="D31" s="62">
        <f t="shared" si="2"/>
        <v>0</v>
      </c>
      <c r="E31" s="55">
        <f t="shared" si="3"/>
        <v>0</v>
      </c>
      <c r="F31" s="66" t="s">
        <v>122</v>
      </c>
      <c r="G31" s="63">
        <v>95019</v>
      </c>
      <c r="H31" s="63">
        <v>42059</v>
      </c>
      <c r="I31" s="64">
        <v>44.26377882318273</v>
      </c>
      <c r="J31" s="63">
        <v>9474</v>
      </c>
    </row>
    <row r="32" spans="1:10" ht="12.75">
      <c r="A32" s="75" t="s">
        <v>123</v>
      </c>
      <c r="B32" s="61">
        <v>63744052</v>
      </c>
      <c r="C32" s="61"/>
      <c r="D32" s="62">
        <f t="shared" si="2"/>
        <v>0</v>
      </c>
      <c r="E32" s="55">
        <f t="shared" si="3"/>
        <v>0</v>
      </c>
      <c r="F32" s="75" t="s">
        <v>123</v>
      </c>
      <c r="G32" s="71">
        <v>63744</v>
      </c>
      <c r="H32" s="71">
        <v>28344</v>
      </c>
      <c r="I32" s="73">
        <v>44.46536144578313</v>
      </c>
      <c r="J32" s="71">
        <v>6371</v>
      </c>
    </row>
    <row r="33" spans="1:10" ht="12.75" customHeight="1">
      <c r="A33" s="59" t="s">
        <v>124</v>
      </c>
      <c r="B33" s="55">
        <f>SUM(B25-B32)</f>
        <v>661774649</v>
      </c>
      <c r="C33" s="55">
        <f>SUM(C25-C32)</f>
        <v>0</v>
      </c>
      <c r="D33" s="56">
        <f t="shared" si="2"/>
        <v>0</v>
      </c>
      <c r="E33" s="55">
        <f t="shared" si="3"/>
        <v>0</v>
      </c>
      <c r="F33" s="59" t="s">
        <v>124</v>
      </c>
      <c r="G33" s="57">
        <v>661774</v>
      </c>
      <c r="H33" s="57">
        <v>259019</v>
      </c>
      <c r="I33" s="58">
        <v>39.140099187940294</v>
      </c>
      <c r="J33" s="57">
        <v>58344</v>
      </c>
    </row>
    <row r="34" spans="1:10" ht="15" customHeight="1">
      <c r="A34" s="76" t="s">
        <v>125</v>
      </c>
      <c r="B34" s="55">
        <f>SUM(B35:B37)</f>
        <v>1522764836</v>
      </c>
      <c r="C34" s="55">
        <f>SUM(C35:C37)</f>
        <v>0</v>
      </c>
      <c r="D34" s="56">
        <f t="shared" si="2"/>
        <v>0</v>
      </c>
      <c r="E34" s="55">
        <f t="shared" si="3"/>
        <v>0</v>
      </c>
      <c r="F34" s="76" t="s">
        <v>125</v>
      </c>
      <c r="G34" s="57">
        <v>1522764</v>
      </c>
      <c r="H34" s="57">
        <v>579101</v>
      </c>
      <c r="I34" s="58">
        <v>38.029596181680155</v>
      </c>
      <c r="J34" s="57">
        <v>126388</v>
      </c>
    </row>
    <row r="35" spans="1:10" ht="23.25" customHeight="1">
      <c r="A35" s="76" t="s">
        <v>126</v>
      </c>
      <c r="B35" s="55">
        <f>SUM(B52+B69)</f>
        <v>1411058420</v>
      </c>
      <c r="C35" s="55">
        <f>SUM(C52+C69)</f>
        <v>0</v>
      </c>
      <c r="D35" s="56">
        <f t="shared" si="2"/>
        <v>0</v>
      </c>
      <c r="E35" s="55">
        <f t="shared" si="3"/>
        <v>0</v>
      </c>
      <c r="F35" s="76" t="s">
        <v>126</v>
      </c>
      <c r="G35" s="57">
        <v>1411058</v>
      </c>
      <c r="H35" s="57">
        <v>553844</v>
      </c>
      <c r="I35" s="58">
        <v>39.25026469500191</v>
      </c>
      <c r="J35" s="57">
        <v>118933</v>
      </c>
    </row>
    <row r="36" spans="1:10" ht="25.5">
      <c r="A36" s="76" t="s">
        <v>127</v>
      </c>
      <c r="B36" s="55">
        <f>SUM(B54+B71)</f>
        <v>37213049</v>
      </c>
      <c r="C36" s="55">
        <f>SUM(C54+C71)</f>
        <v>0</v>
      </c>
      <c r="D36" s="56">
        <f t="shared" si="2"/>
        <v>0</v>
      </c>
      <c r="E36" s="55">
        <f t="shared" si="3"/>
        <v>0</v>
      </c>
      <c r="F36" s="76" t="s">
        <v>127</v>
      </c>
      <c r="G36" s="57">
        <v>37213</v>
      </c>
      <c r="H36" s="57">
        <v>11761</v>
      </c>
      <c r="I36" s="58">
        <v>31.60454679816193</v>
      </c>
      <c r="J36" s="57">
        <v>3525</v>
      </c>
    </row>
    <row r="37" spans="1:10" ht="27.75" customHeight="1">
      <c r="A37" s="76" t="s">
        <v>128</v>
      </c>
      <c r="B37" s="55">
        <f>SUM(B57+B73)</f>
        <v>74493367</v>
      </c>
      <c r="C37" s="55">
        <f>SUM(C57+C73)</f>
        <v>0</v>
      </c>
      <c r="D37" s="56">
        <f t="shared" si="2"/>
        <v>0</v>
      </c>
      <c r="E37" s="55">
        <f t="shared" si="3"/>
        <v>0</v>
      </c>
      <c r="F37" s="76" t="s">
        <v>128</v>
      </c>
      <c r="G37" s="57">
        <v>74493</v>
      </c>
      <c r="H37" s="57">
        <v>13496</v>
      </c>
      <c r="I37" s="58">
        <v>18.11713852308271</v>
      </c>
      <c r="J37" s="57">
        <v>3930</v>
      </c>
    </row>
    <row r="38" spans="1:10" ht="26.25" customHeight="1">
      <c r="A38" s="76" t="s">
        <v>129</v>
      </c>
      <c r="B38" s="55">
        <f>SUM(B10-B34)</f>
        <v>-66808356</v>
      </c>
      <c r="C38" s="55">
        <f>SUM(C10-C34)</f>
        <v>0</v>
      </c>
      <c r="D38" s="56">
        <f t="shared" si="2"/>
        <v>0</v>
      </c>
      <c r="E38" s="55">
        <f t="shared" si="3"/>
        <v>0</v>
      </c>
      <c r="F38" s="76" t="s">
        <v>129</v>
      </c>
      <c r="G38" s="57">
        <v>-66808</v>
      </c>
      <c r="H38" s="57">
        <v>-23279</v>
      </c>
      <c r="I38" s="58">
        <v>34.84462938570231</v>
      </c>
      <c r="J38" s="57">
        <v>-2138</v>
      </c>
    </row>
    <row r="39" spans="1:10" ht="15" customHeight="1">
      <c r="A39" s="76" t="s">
        <v>130</v>
      </c>
      <c r="B39" s="55">
        <f>SUM(B59+B75)</f>
        <v>12372983</v>
      </c>
      <c r="C39" s="55">
        <f>SUM(C59+C75)</f>
        <v>0</v>
      </c>
      <c r="D39" s="56">
        <f t="shared" si="2"/>
        <v>0</v>
      </c>
      <c r="E39" s="55">
        <f t="shared" si="3"/>
        <v>0</v>
      </c>
      <c r="F39" s="76" t="s">
        <v>130</v>
      </c>
      <c r="G39" s="57">
        <v>12373</v>
      </c>
      <c r="H39" s="57">
        <v>812</v>
      </c>
      <c r="I39" s="58">
        <v>6.562676796249899</v>
      </c>
      <c r="J39" s="57">
        <v>-197</v>
      </c>
    </row>
    <row r="40" spans="1:10" ht="27" customHeight="1">
      <c r="A40" s="76" t="s">
        <v>131</v>
      </c>
      <c r="B40" s="55">
        <f>SUM(B34+B39)</f>
        <v>1535137819</v>
      </c>
      <c r="C40" s="55">
        <f>SUM(C34+C39)</f>
        <v>0</v>
      </c>
      <c r="D40" s="56">
        <f t="shared" si="2"/>
        <v>0</v>
      </c>
      <c r="E40" s="55">
        <f t="shared" si="3"/>
        <v>0</v>
      </c>
      <c r="F40" s="76" t="s">
        <v>131</v>
      </c>
      <c r="G40" s="57">
        <v>1535137</v>
      </c>
      <c r="H40" s="57">
        <v>579913</v>
      </c>
      <c r="I40" s="58">
        <v>37.775976997492734</v>
      </c>
      <c r="J40" s="57">
        <v>126191</v>
      </c>
    </row>
    <row r="41" spans="1:10" ht="25.5">
      <c r="A41" s="76" t="s">
        <v>132</v>
      </c>
      <c r="B41" s="55">
        <f>IF((B38-B39=B10-B40)=TRUE,B38-B39,9)</f>
        <v>-79181339</v>
      </c>
      <c r="C41" s="57">
        <f>C38-C39</f>
        <v>0</v>
      </c>
      <c r="D41" s="56">
        <f t="shared" si="2"/>
        <v>0</v>
      </c>
      <c r="E41" s="55">
        <f t="shared" si="3"/>
        <v>0</v>
      </c>
      <c r="F41" s="76" t="s">
        <v>132</v>
      </c>
      <c r="G41" s="57">
        <v>-79181</v>
      </c>
      <c r="H41" s="57">
        <v>-24091</v>
      </c>
      <c r="I41" s="58">
        <v>30.42522827445978</v>
      </c>
      <c r="J41" s="57">
        <v>-1941</v>
      </c>
    </row>
    <row r="42" spans="1:10" ht="12.75">
      <c r="A42" s="76"/>
      <c r="B42" s="55"/>
      <c r="C42" s="57"/>
      <c r="D42" s="56"/>
      <c r="E42" s="55"/>
      <c r="F42" s="77" t="s">
        <v>133</v>
      </c>
      <c r="G42" s="57"/>
      <c r="H42" s="57"/>
      <c r="I42" s="58"/>
      <c r="J42" s="57">
        <v>0</v>
      </c>
    </row>
    <row r="43" spans="1:10" ht="20.25" customHeight="1">
      <c r="A43" s="76"/>
      <c r="B43" s="55"/>
      <c r="C43" s="57"/>
      <c r="D43" s="56"/>
      <c r="E43" s="55"/>
      <c r="F43" s="77" t="s">
        <v>134</v>
      </c>
      <c r="G43" s="78">
        <v>15000</v>
      </c>
      <c r="H43" s="78">
        <v>3443</v>
      </c>
      <c r="I43" s="79">
        <v>22.953333333333333</v>
      </c>
      <c r="J43" s="78">
        <v>118</v>
      </c>
    </row>
    <row r="44" spans="1:10" ht="19.5" customHeight="1">
      <c r="A44" s="76"/>
      <c r="B44" s="55"/>
      <c r="C44" s="57"/>
      <c r="D44" s="56"/>
      <c r="E44" s="55"/>
      <c r="F44" s="77" t="s">
        <v>135</v>
      </c>
      <c r="G44" s="78">
        <v>300</v>
      </c>
      <c r="H44" s="78">
        <v>305</v>
      </c>
      <c r="I44" s="79">
        <v>101.66666666666666</v>
      </c>
      <c r="J44" s="78">
        <v>0</v>
      </c>
    </row>
    <row r="45" spans="1:10" ht="12.75">
      <c r="A45" s="76"/>
      <c r="B45" s="55"/>
      <c r="C45" s="57"/>
      <c r="D45" s="56"/>
      <c r="E45" s="55"/>
      <c r="F45" s="77" t="s">
        <v>136</v>
      </c>
      <c r="G45" s="78">
        <v>63881</v>
      </c>
      <c r="H45" s="78">
        <v>66913</v>
      </c>
      <c r="I45" s="79">
        <v>104.7463251984158</v>
      </c>
      <c r="J45" s="78">
        <v>16841</v>
      </c>
    </row>
    <row r="46" spans="1:10" ht="12.75">
      <c r="A46" s="76"/>
      <c r="B46" s="55"/>
      <c r="C46" s="57"/>
      <c r="D46" s="56"/>
      <c r="E46" s="55"/>
      <c r="F46" s="77" t="s">
        <v>137</v>
      </c>
      <c r="G46" s="80" t="s">
        <v>53</v>
      </c>
      <c r="H46" s="78">
        <v>-46570</v>
      </c>
      <c r="I46" s="78"/>
      <c r="J46" s="78">
        <v>-15018</v>
      </c>
    </row>
    <row r="47" spans="1:10" ht="12.75">
      <c r="A47" s="59" t="s">
        <v>138</v>
      </c>
      <c r="B47" s="55">
        <f>B50+B53+B55</f>
        <v>822563488</v>
      </c>
      <c r="C47" s="55">
        <f>C50+C53+C55</f>
        <v>0</v>
      </c>
      <c r="D47" s="56">
        <f aca="true" t="shared" si="4" ref="D47:D78">IF(ISERROR(C47/B47)," ",(C47/B47))</f>
        <v>0</v>
      </c>
      <c r="E47" s="55">
        <f aca="true" t="shared" si="5" ref="E47:E78">C47</f>
        <v>0</v>
      </c>
      <c r="F47" s="59" t="s">
        <v>138</v>
      </c>
      <c r="G47" s="57">
        <v>822563</v>
      </c>
      <c r="H47" s="57">
        <v>310201</v>
      </c>
      <c r="I47" s="58">
        <v>37.711518752970896</v>
      </c>
      <c r="J47" s="57">
        <v>72080</v>
      </c>
    </row>
    <row r="48" spans="1:10" ht="12.75">
      <c r="A48" s="81" t="s">
        <v>139</v>
      </c>
      <c r="B48" s="61">
        <f>B51+B56</f>
        <v>63744052</v>
      </c>
      <c r="C48" s="61">
        <f>C51+C56</f>
        <v>0</v>
      </c>
      <c r="D48" s="62">
        <f t="shared" si="4"/>
        <v>0</v>
      </c>
      <c r="E48" s="55">
        <f t="shared" si="5"/>
        <v>0</v>
      </c>
      <c r="F48" s="81" t="s">
        <v>139</v>
      </c>
      <c r="G48" s="71">
        <v>63744</v>
      </c>
      <c r="H48" s="71">
        <v>28345</v>
      </c>
      <c r="I48" s="73">
        <v>44.46693022088353</v>
      </c>
      <c r="J48" s="71">
        <v>6372</v>
      </c>
    </row>
    <row r="49" spans="1:10" ht="13.5" customHeight="1">
      <c r="A49" s="59" t="s">
        <v>140</v>
      </c>
      <c r="B49" s="55">
        <f>SUM(B47-B48)</f>
        <v>758819436</v>
      </c>
      <c r="C49" s="55">
        <f>SUM(C47-C48)</f>
        <v>0</v>
      </c>
      <c r="D49" s="56">
        <f t="shared" si="4"/>
        <v>0</v>
      </c>
      <c r="E49" s="55">
        <f t="shared" si="5"/>
        <v>0</v>
      </c>
      <c r="F49" s="59" t="s">
        <v>140</v>
      </c>
      <c r="G49" s="57">
        <v>758819</v>
      </c>
      <c r="H49" s="57">
        <v>281856</v>
      </c>
      <c r="I49" s="58">
        <v>37.144035665949325</v>
      </c>
      <c r="J49" s="57">
        <v>65708</v>
      </c>
    </row>
    <row r="50" spans="1:10" ht="12.75">
      <c r="A50" s="60" t="s">
        <v>141</v>
      </c>
      <c r="B50" s="61">
        <f>736101793+7241586</f>
        <v>743343379</v>
      </c>
      <c r="C50" s="61"/>
      <c r="D50" s="62">
        <f t="shared" si="4"/>
        <v>0</v>
      </c>
      <c r="E50" s="55">
        <f t="shared" si="5"/>
        <v>0</v>
      </c>
      <c r="F50" s="60" t="s">
        <v>141</v>
      </c>
      <c r="G50" s="61">
        <v>743343</v>
      </c>
      <c r="H50" s="61">
        <v>291091</v>
      </c>
      <c r="I50" s="64">
        <v>39.15971496334801</v>
      </c>
      <c r="J50" s="61">
        <v>65716</v>
      </c>
    </row>
    <row r="51" spans="1:10" ht="12.75">
      <c r="A51" s="75" t="s">
        <v>142</v>
      </c>
      <c r="B51" s="61">
        <v>62992652</v>
      </c>
      <c r="C51" s="61"/>
      <c r="D51" s="62">
        <f t="shared" si="4"/>
        <v>0</v>
      </c>
      <c r="E51" s="55">
        <f t="shared" si="5"/>
        <v>0</v>
      </c>
      <c r="F51" s="75" t="s">
        <v>142</v>
      </c>
      <c r="G51" s="71">
        <v>62993</v>
      </c>
      <c r="H51" s="71">
        <v>27854</v>
      </c>
      <c r="I51" s="73">
        <v>44.217611480640706</v>
      </c>
      <c r="J51" s="71">
        <v>6306</v>
      </c>
    </row>
    <row r="52" spans="1:10" ht="13.5" customHeight="1">
      <c r="A52" s="59" t="s">
        <v>143</v>
      </c>
      <c r="B52" s="55">
        <f>SUM(B50-B51)</f>
        <v>680350727</v>
      </c>
      <c r="C52" s="55">
        <f>SUM(C50-C51)</f>
        <v>0</v>
      </c>
      <c r="D52" s="56">
        <f t="shared" si="4"/>
        <v>0</v>
      </c>
      <c r="E52" s="55">
        <f t="shared" si="5"/>
        <v>0</v>
      </c>
      <c r="F52" s="59" t="s">
        <v>143</v>
      </c>
      <c r="G52" s="57">
        <v>680350</v>
      </c>
      <c r="H52" s="57">
        <v>263237</v>
      </c>
      <c r="I52" s="58">
        <v>38.69140883368855</v>
      </c>
      <c r="J52" s="57">
        <v>59410</v>
      </c>
    </row>
    <row r="53" spans="1:10" ht="12.75">
      <c r="A53" s="60" t="s">
        <v>144</v>
      </c>
      <c r="B53" s="61">
        <f>22316983+2357780</f>
        <v>24674763</v>
      </c>
      <c r="C53" s="61"/>
      <c r="D53" s="62">
        <f t="shared" si="4"/>
        <v>0</v>
      </c>
      <c r="E53" s="55">
        <f t="shared" si="5"/>
        <v>0</v>
      </c>
      <c r="F53" s="60" t="s">
        <v>144</v>
      </c>
      <c r="G53" s="61">
        <v>24675</v>
      </c>
      <c r="H53" s="61">
        <v>6941</v>
      </c>
      <c r="I53" s="64">
        <v>28.12968591691996</v>
      </c>
      <c r="J53" s="61">
        <v>2866</v>
      </c>
    </row>
    <row r="54" spans="1:10" ht="15" customHeight="1">
      <c r="A54" s="59" t="s">
        <v>145</v>
      </c>
      <c r="B54" s="55">
        <f>SUM(B53)</f>
        <v>24674763</v>
      </c>
      <c r="C54" s="55">
        <f>SUM(C53)</f>
        <v>0</v>
      </c>
      <c r="D54" s="56">
        <f t="shared" si="4"/>
        <v>0</v>
      </c>
      <c r="E54" s="55">
        <f t="shared" si="5"/>
        <v>0</v>
      </c>
      <c r="F54" s="59" t="s">
        <v>145</v>
      </c>
      <c r="G54" s="57">
        <v>24675</v>
      </c>
      <c r="H54" s="57">
        <v>6941</v>
      </c>
      <c r="I54" s="58">
        <v>28.12968591691996</v>
      </c>
      <c r="J54" s="57">
        <v>2866</v>
      </c>
    </row>
    <row r="55" spans="1:10" ht="12.75">
      <c r="A55" s="60" t="s">
        <v>146</v>
      </c>
      <c r="B55" s="61">
        <f>53585996+959350</f>
        <v>54545346</v>
      </c>
      <c r="C55" s="61"/>
      <c r="D55" s="62">
        <f t="shared" si="4"/>
        <v>0</v>
      </c>
      <c r="E55" s="55">
        <f t="shared" si="5"/>
        <v>0</v>
      </c>
      <c r="F55" s="60" t="s">
        <v>146</v>
      </c>
      <c r="G55" s="61">
        <v>54545</v>
      </c>
      <c r="H55" s="61">
        <v>12169</v>
      </c>
      <c r="I55" s="64">
        <v>22.31001925016042</v>
      </c>
      <c r="J55" s="61">
        <v>3498</v>
      </c>
    </row>
    <row r="56" spans="1:10" ht="12.75">
      <c r="A56" s="75" t="s">
        <v>147</v>
      </c>
      <c r="B56" s="61">
        <v>751400</v>
      </c>
      <c r="C56" s="61"/>
      <c r="D56" s="62">
        <f t="shared" si="4"/>
        <v>0</v>
      </c>
      <c r="E56" s="55">
        <f t="shared" si="5"/>
        <v>0</v>
      </c>
      <c r="F56" s="75" t="s">
        <v>147</v>
      </c>
      <c r="G56" s="71">
        <v>751</v>
      </c>
      <c r="H56" s="71">
        <v>491</v>
      </c>
      <c r="I56" s="73">
        <v>65.37949400798935</v>
      </c>
      <c r="J56" s="71">
        <v>66</v>
      </c>
    </row>
    <row r="57" spans="1:10" ht="14.25" customHeight="1">
      <c r="A57" s="59" t="s">
        <v>148</v>
      </c>
      <c r="B57" s="55">
        <f>SUM(B55-B56)</f>
        <v>53793946</v>
      </c>
      <c r="C57" s="55">
        <f>SUM(C55-C56)</f>
        <v>0</v>
      </c>
      <c r="D57" s="56">
        <f t="shared" si="4"/>
        <v>0</v>
      </c>
      <c r="E57" s="55">
        <f t="shared" si="5"/>
        <v>0</v>
      </c>
      <c r="F57" s="59" t="s">
        <v>148</v>
      </c>
      <c r="G57" s="57">
        <v>53794</v>
      </c>
      <c r="H57" s="57">
        <v>11678</v>
      </c>
      <c r="I57" s="58">
        <v>21.708740751756704</v>
      </c>
      <c r="J57" s="57">
        <v>3432</v>
      </c>
    </row>
    <row r="58" spans="1:10" ht="27" customHeight="1">
      <c r="A58" s="76" t="s">
        <v>149</v>
      </c>
      <c r="B58" s="55">
        <f>SUM(B11-B47)</f>
        <v>-27180457</v>
      </c>
      <c r="C58" s="55">
        <f>SUM(C11-C47)</f>
        <v>0</v>
      </c>
      <c r="D58" s="56">
        <f t="shared" si="4"/>
        <v>0</v>
      </c>
      <c r="E58" s="55">
        <f t="shared" si="5"/>
        <v>0</v>
      </c>
      <c r="F58" s="76" t="s">
        <v>149</v>
      </c>
      <c r="G58" s="57">
        <v>-27180</v>
      </c>
      <c r="H58" s="57">
        <v>-12897</v>
      </c>
      <c r="I58" s="58">
        <v>47.450331125827816</v>
      </c>
      <c r="J58" s="57">
        <v>-6073</v>
      </c>
    </row>
    <row r="59" spans="1:10" ht="14.25" customHeight="1">
      <c r="A59" s="59" t="s">
        <v>150</v>
      </c>
      <c r="B59" s="55">
        <f>B62</f>
        <v>5673780</v>
      </c>
      <c r="C59" s="55"/>
      <c r="D59" s="56">
        <f t="shared" si="4"/>
        <v>0</v>
      </c>
      <c r="E59" s="55">
        <f t="shared" si="5"/>
        <v>0</v>
      </c>
      <c r="F59" s="59" t="s">
        <v>150</v>
      </c>
      <c r="G59" s="57">
        <v>5674</v>
      </c>
      <c r="H59" s="57">
        <v>-2350</v>
      </c>
      <c r="I59" s="58">
        <v>-41.41698977793444</v>
      </c>
      <c r="J59" s="57">
        <v>-790</v>
      </c>
    </row>
    <row r="60" spans="1:10" ht="12.75">
      <c r="A60" s="60" t="s">
        <v>151</v>
      </c>
      <c r="B60" s="61">
        <v>48898920</v>
      </c>
      <c r="C60" s="61"/>
      <c r="D60" s="62">
        <f t="shared" si="4"/>
        <v>0</v>
      </c>
      <c r="E60" s="55">
        <f t="shared" si="5"/>
        <v>0</v>
      </c>
      <c r="F60" s="60" t="s">
        <v>152</v>
      </c>
      <c r="G60" s="63">
        <v>48899</v>
      </c>
      <c r="H60" s="63">
        <v>17214</v>
      </c>
      <c r="I60" s="64">
        <v>35.203173889036584</v>
      </c>
      <c r="J60" s="63">
        <v>-2727</v>
      </c>
    </row>
    <row r="61" spans="1:10" ht="12.75" customHeight="1">
      <c r="A61" s="75" t="s">
        <v>147</v>
      </c>
      <c r="B61" s="61">
        <v>43225140</v>
      </c>
      <c r="C61" s="61"/>
      <c r="D61" s="62">
        <f t="shared" si="4"/>
        <v>0</v>
      </c>
      <c r="E61" s="55">
        <f t="shared" si="5"/>
        <v>0</v>
      </c>
      <c r="F61" s="75" t="s">
        <v>147</v>
      </c>
      <c r="G61" s="71">
        <v>43225</v>
      </c>
      <c r="H61" s="71">
        <v>19564</v>
      </c>
      <c r="I61" s="73">
        <v>45.260844418739154</v>
      </c>
      <c r="J61" s="71">
        <v>-1937</v>
      </c>
    </row>
    <row r="62" spans="1:10" ht="12.75">
      <c r="A62" s="60" t="s">
        <v>153</v>
      </c>
      <c r="B62" s="61">
        <f>B60-B61</f>
        <v>5673780</v>
      </c>
      <c r="C62" s="61"/>
      <c r="D62" s="62">
        <f t="shared" si="4"/>
        <v>0</v>
      </c>
      <c r="E62" s="55">
        <f t="shared" si="5"/>
        <v>0</v>
      </c>
      <c r="F62" s="60" t="s">
        <v>153</v>
      </c>
      <c r="G62" s="63">
        <v>5674</v>
      </c>
      <c r="H62" s="63">
        <v>-2350</v>
      </c>
      <c r="I62" s="64">
        <v>-41.41698977793444</v>
      </c>
      <c r="J62" s="63">
        <v>-790</v>
      </c>
    </row>
    <row r="63" spans="1:10" ht="26.25" customHeight="1">
      <c r="A63" s="76" t="s">
        <v>154</v>
      </c>
      <c r="B63" s="55">
        <f>B58-B60</f>
        <v>-76079377</v>
      </c>
      <c r="C63" s="55">
        <f>C58-C60</f>
        <v>0</v>
      </c>
      <c r="D63" s="56">
        <f t="shared" si="4"/>
        <v>0</v>
      </c>
      <c r="E63" s="55">
        <f t="shared" si="5"/>
        <v>0</v>
      </c>
      <c r="F63" s="76" t="s">
        <v>155</v>
      </c>
      <c r="G63" s="57">
        <v>-76079</v>
      </c>
      <c r="H63" s="57">
        <v>-30111</v>
      </c>
      <c r="I63" s="58">
        <v>39.578595933174725</v>
      </c>
      <c r="J63" s="57">
        <v>-3346</v>
      </c>
    </row>
    <row r="64" spans="1:10" ht="14.25" customHeight="1">
      <c r="A64" s="59" t="s">
        <v>156</v>
      </c>
      <c r="B64" s="55">
        <f>B67+B70+B72</f>
        <v>765146600</v>
      </c>
      <c r="C64" s="55">
        <f>C67+C70+C72</f>
        <v>0</v>
      </c>
      <c r="D64" s="56">
        <f t="shared" si="4"/>
        <v>0</v>
      </c>
      <c r="E64" s="55">
        <f t="shared" si="5"/>
        <v>0</v>
      </c>
      <c r="F64" s="59" t="s">
        <v>156</v>
      </c>
      <c r="G64" s="57">
        <v>765146</v>
      </c>
      <c r="H64" s="57">
        <v>297746</v>
      </c>
      <c r="I64" s="58">
        <v>38.91361910014559</v>
      </c>
      <c r="J64" s="57">
        <v>60781</v>
      </c>
    </row>
    <row r="65" spans="1:10" ht="12.75">
      <c r="A65" s="75" t="s">
        <v>157</v>
      </c>
      <c r="B65" s="61">
        <f>B68</f>
        <v>1201200</v>
      </c>
      <c r="C65" s="61">
        <f>C23</f>
        <v>0</v>
      </c>
      <c r="D65" s="62">
        <f t="shared" si="4"/>
        <v>0</v>
      </c>
      <c r="E65" s="55">
        <f t="shared" si="5"/>
        <v>0</v>
      </c>
      <c r="F65" s="75" t="s">
        <v>157</v>
      </c>
      <c r="G65" s="71">
        <v>1201</v>
      </c>
      <c r="H65" s="71">
        <v>501</v>
      </c>
      <c r="I65" s="73">
        <v>41.71523730224813</v>
      </c>
      <c r="J65" s="71">
        <v>101</v>
      </c>
    </row>
    <row r="66" spans="1:10" ht="14.25" customHeight="1">
      <c r="A66" s="59" t="s">
        <v>158</v>
      </c>
      <c r="B66" s="55">
        <f>SUM(B64-B65)</f>
        <v>763945400</v>
      </c>
      <c r="C66" s="55">
        <f>SUM(C64-C65)</f>
        <v>0</v>
      </c>
      <c r="D66" s="56">
        <f t="shared" si="4"/>
        <v>0</v>
      </c>
      <c r="E66" s="55">
        <f t="shared" si="5"/>
        <v>0</v>
      </c>
      <c r="F66" s="59" t="s">
        <v>158</v>
      </c>
      <c r="G66" s="57">
        <v>763945</v>
      </c>
      <c r="H66" s="57">
        <v>297245</v>
      </c>
      <c r="I66" s="58">
        <v>38.909214668595254</v>
      </c>
      <c r="J66" s="57">
        <v>60680</v>
      </c>
    </row>
    <row r="67" spans="1:10" ht="12.75">
      <c r="A67" s="60" t="s">
        <v>159</v>
      </c>
      <c r="B67" s="61">
        <f>731791976+116917</f>
        <v>731908893</v>
      </c>
      <c r="C67" s="61"/>
      <c r="D67" s="62">
        <f t="shared" si="4"/>
        <v>0</v>
      </c>
      <c r="E67" s="55">
        <f t="shared" si="5"/>
        <v>0</v>
      </c>
      <c r="F67" s="60" t="s">
        <v>159</v>
      </c>
      <c r="G67" s="63">
        <v>731909</v>
      </c>
      <c r="H67" s="63">
        <v>291108</v>
      </c>
      <c r="I67" s="64">
        <v>39.773797015749224</v>
      </c>
      <c r="J67" s="63">
        <v>59624</v>
      </c>
    </row>
    <row r="68" spans="1:10" ht="12.75">
      <c r="A68" s="75" t="s">
        <v>160</v>
      </c>
      <c r="B68" s="61">
        <v>1201200</v>
      </c>
      <c r="C68" s="61">
        <f>C23</f>
        <v>0</v>
      </c>
      <c r="D68" s="62">
        <f t="shared" si="4"/>
        <v>0</v>
      </c>
      <c r="E68" s="55">
        <f t="shared" si="5"/>
        <v>0</v>
      </c>
      <c r="F68" s="75" t="s">
        <v>160</v>
      </c>
      <c r="G68" s="71">
        <v>1201</v>
      </c>
      <c r="H68" s="72">
        <v>501</v>
      </c>
      <c r="I68" s="73">
        <v>41.71523730224813</v>
      </c>
      <c r="J68" s="72">
        <v>101</v>
      </c>
    </row>
    <row r="69" spans="1:10" ht="15" customHeight="1">
      <c r="A69" s="59" t="s">
        <v>161</v>
      </c>
      <c r="B69" s="55">
        <f>SUM(B67-B68)</f>
        <v>730707693</v>
      </c>
      <c r="C69" s="55">
        <f>SUM(C67-C68)</f>
        <v>0</v>
      </c>
      <c r="D69" s="56">
        <f t="shared" si="4"/>
        <v>0</v>
      </c>
      <c r="E69" s="55">
        <f t="shared" si="5"/>
        <v>0</v>
      </c>
      <c r="F69" s="59" t="s">
        <v>161</v>
      </c>
      <c r="G69" s="57">
        <v>730708</v>
      </c>
      <c r="H69" s="57">
        <v>290607</v>
      </c>
      <c r="I69" s="58">
        <v>39.77060604235892</v>
      </c>
      <c r="J69" s="57">
        <v>59523</v>
      </c>
    </row>
    <row r="70" spans="1:10" ht="12.75">
      <c r="A70" s="60" t="s">
        <v>162</v>
      </c>
      <c r="B70" s="61">
        <f>11728286+810000</f>
        <v>12538286</v>
      </c>
      <c r="C70" s="61"/>
      <c r="D70" s="62">
        <f t="shared" si="4"/>
        <v>0</v>
      </c>
      <c r="E70" s="55">
        <f t="shared" si="5"/>
        <v>0</v>
      </c>
      <c r="F70" s="60" t="s">
        <v>162</v>
      </c>
      <c r="G70" s="63">
        <v>12538</v>
      </c>
      <c r="H70" s="63">
        <v>4820</v>
      </c>
      <c r="I70" s="64">
        <v>38.44313287605679</v>
      </c>
      <c r="J70" s="63">
        <v>659</v>
      </c>
    </row>
    <row r="71" spans="1:10" ht="15" customHeight="1">
      <c r="A71" s="59" t="s">
        <v>163</v>
      </c>
      <c r="B71" s="55">
        <f>SUM(B70)</f>
        <v>12538286</v>
      </c>
      <c r="C71" s="55">
        <f>SUM(C70)</f>
        <v>0</v>
      </c>
      <c r="D71" s="56">
        <f t="shared" si="4"/>
        <v>0</v>
      </c>
      <c r="E71" s="55">
        <f t="shared" si="5"/>
        <v>0</v>
      </c>
      <c r="F71" s="59" t="s">
        <v>163</v>
      </c>
      <c r="G71" s="57">
        <v>12538</v>
      </c>
      <c r="H71" s="57">
        <v>4820</v>
      </c>
      <c r="I71" s="58">
        <v>38.44313287605679</v>
      </c>
      <c r="J71" s="57">
        <v>659</v>
      </c>
    </row>
    <row r="72" spans="1:10" ht="12.75">
      <c r="A72" s="60" t="s">
        <v>164</v>
      </c>
      <c r="B72" s="61">
        <v>20699421</v>
      </c>
      <c r="C72" s="61"/>
      <c r="D72" s="62">
        <f t="shared" si="4"/>
        <v>0</v>
      </c>
      <c r="E72" s="55">
        <f t="shared" si="5"/>
        <v>0</v>
      </c>
      <c r="F72" s="60" t="s">
        <v>164</v>
      </c>
      <c r="G72" s="63">
        <v>20699</v>
      </c>
      <c r="H72" s="63">
        <v>1818</v>
      </c>
      <c r="I72" s="64">
        <v>8.78303299676313</v>
      </c>
      <c r="J72" s="63">
        <v>498</v>
      </c>
    </row>
    <row r="73" spans="1:10" ht="14.25" customHeight="1">
      <c r="A73" s="59" t="s">
        <v>165</v>
      </c>
      <c r="B73" s="55">
        <f>SUM(B72)</f>
        <v>20699421</v>
      </c>
      <c r="C73" s="55">
        <f>SUM(C72)</f>
        <v>0</v>
      </c>
      <c r="D73" s="56">
        <f t="shared" si="4"/>
        <v>0</v>
      </c>
      <c r="E73" s="55">
        <f t="shared" si="5"/>
        <v>0</v>
      </c>
      <c r="F73" s="59" t="s">
        <v>165</v>
      </c>
      <c r="G73" s="57">
        <v>20699</v>
      </c>
      <c r="H73" s="57">
        <v>1818</v>
      </c>
      <c r="I73" s="58">
        <v>8.78303299676313</v>
      </c>
      <c r="J73" s="57">
        <v>498</v>
      </c>
    </row>
    <row r="74" spans="1:10" ht="27" customHeight="1">
      <c r="A74" s="76" t="s">
        <v>166</v>
      </c>
      <c r="B74" s="55">
        <f>SUM(B25-B64)</f>
        <v>-39627899</v>
      </c>
      <c r="C74" s="55">
        <f>SUM(C25-C64)</f>
        <v>0</v>
      </c>
      <c r="D74" s="56">
        <f t="shared" si="4"/>
        <v>0</v>
      </c>
      <c r="E74" s="55">
        <f t="shared" si="5"/>
        <v>0</v>
      </c>
      <c r="F74" s="76" t="s">
        <v>166</v>
      </c>
      <c r="G74" s="57">
        <v>-39628</v>
      </c>
      <c r="H74" s="57">
        <v>-10383</v>
      </c>
      <c r="I74" s="58">
        <v>26.201170889270216</v>
      </c>
      <c r="J74" s="57">
        <v>3934</v>
      </c>
    </row>
    <row r="75" spans="1:10" ht="13.5" customHeight="1">
      <c r="A75" s="59" t="s">
        <v>167</v>
      </c>
      <c r="B75" s="55">
        <f>SUM(B76)</f>
        <v>6699203</v>
      </c>
      <c r="C75" s="55"/>
      <c r="D75" s="56">
        <f t="shared" si="4"/>
        <v>0</v>
      </c>
      <c r="E75" s="55">
        <f t="shared" si="5"/>
        <v>0</v>
      </c>
      <c r="F75" s="59" t="s">
        <v>167</v>
      </c>
      <c r="G75" s="57">
        <v>6699</v>
      </c>
      <c r="H75" s="57">
        <v>3162</v>
      </c>
      <c r="I75" s="58">
        <v>47.201074787281684</v>
      </c>
      <c r="J75" s="57">
        <v>593</v>
      </c>
    </row>
    <row r="76" spans="1:10" ht="12.75">
      <c r="A76" s="60" t="s">
        <v>168</v>
      </c>
      <c r="B76" s="61">
        <v>6699203</v>
      </c>
      <c r="C76" s="61"/>
      <c r="D76" s="62">
        <f t="shared" si="4"/>
        <v>0</v>
      </c>
      <c r="E76" s="55">
        <f t="shared" si="5"/>
        <v>0</v>
      </c>
      <c r="F76" s="60" t="s">
        <v>168</v>
      </c>
      <c r="G76" s="61">
        <v>6699</v>
      </c>
      <c r="H76" s="61">
        <v>3162</v>
      </c>
      <c r="I76" s="82">
        <v>47.201074787281684</v>
      </c>
      <c r="J76" s="61">
        <v>593</v>
      </c>
    </row>
    <row r="77" spans="1:10" ht="12.75">
      <c r="A77" s="60" t="s">
        <v>169</v>
      </c>
      <c r="B77" s="61">
        <f>SUM(B76)</f>
        <v>6699203</v>
      </c>
      <c r="C77" s="61">
        <f>SUM(C76)</f>
        <v>0</v>
      </c>
      <c r="D77" s="62">
        <f t="shared" si="4"/>
        <v>0</v>
      </c>
      <c r="E77" s="55">
        <f t="shared" si="5"/>
        <v>0</v>
      </c>
      <c r="F77" s="60" t="s">
        <v>169</v>
      </c>
      <c r="G77" s="61">
        <v>6699</v>
      </c>
      <c r="H77" s="61">
        <v>3162</v>
      </c>
      <c r="I77" s="82">
        <v>47.201074787281684</v>
      </c>
      <c r="J77" s="61">
        <v>593</v>
      </c>
    </row>
    <row r="78" spans="1:10" ht="27" customHeight="1">
      <c r="A78" s="76" t="s">
        <v>170</v>
      </c>
      <c r="B78" s="55">
        <f>SUM(B74-B75)</f>
        <v>-46327102</v>
      </c>
      <c r="C78" s="55">
        <f>SUM(C74-C75)</f>
        <v>0</v>
      </c>
      <c r="D78" s="56">
        <f t="shared" si="4"/>
        <v>0</v>
      </c>
      <c r="E78" s="55">
        <f t="shared" si="5"/>
        <v>0</v>
      </c>
      <c r="F78" s="76" t="s">
        <v>170</v>
      </c>
      <c r="G78" s="57">
        <v>-46327</v>
      </c>
      <c r="H78" s="57">
        <v>-13545</v>
      </c>
      <c r="I78" s="58">
        <v>29.237809484749715</v>
      </c>
      <c r="J78" s="57">
        <v>3341</v>
      </c>
    </row>
    <row r="79" spans="1:10" ht="12.75">
      <c r="A79" s="83"/>
      <c r="B79" s="84"/>
      <c r="C79" s="85"/>
      <c r="D79" s="85"/>
      <c r="E79" s="85"/>
      <c r="F79" s="33"/>
      <c r="G79" s="84"/>
      <c r="H79" s="85"/>
      <c r="I79" s="85"/>
      <c r="J79" s="85"/>
    </row>
    <row r="80" spans="1:10" ht="12.75">
      <c r="A80" s="83"/>
      <c r="B80" s="84"/>
      <c r="C80" s="85"/>
      <c r="D80" s="85"/>
      <c r="E80" s="85"/>
      <c r="F80" s="86"/>
      <c r="G80" s="84"/>
      <c r="H80" s="85"/>
      <c r="I80" s="85"/>
      <c r="J80" s="85"/>
    </row>
    <row r="81" spans="1:10" ht="12.75">
      <c r="A81" s="87"/>
      <c r="F81" s="88" t="s">
        <v>21</v>
      </c>
      <c r="G81" s="52"/>
      <c r="H81" s="89"/>
      <c r="I81" s="49"/>
      <c r="J81" s="49"/>
    </row>
    <row r="82" spans="1:10" ht="12.75">
      <c r="A82" s="87"/>
      <c r="F82" s="87"/>
      <c r="G82" s="50"/>
      <c r="H82" s="49"/>
      <c r="I82" s="49"/>
      <c r="J82" s="49"/>
    </row>
    <row r="83" ht="12.75">
      <c r="A83" s="85"/>
    </row>
    <row r="84" spans="1:10" ht="12.75">
      <c r="A84" s="88"/>
      <c r="B84" s="52"/>
      <c r="C84" s="89"/>
      <c r="D84" s="89"/>
      <c r="E84" s="89"/>
      <c r="F84" s="1" t="s">
        <v>171</v>
      </c>
      <c r="I84" s="49"/>
      <c r="J84" s="49"/>
    </row>
    <row r="85" spans="1:10" ht="12.75">
      <c r="A85" s="1"/>
      <c r="F85" s="1" t="s">
        <v>19</v>
      </c>
      <c r="G85" s="52"/>
      <c r="H85" s="89"/>
      <c r="I85" s="49"/>
      <c r="J85" s="49"/>
    </row>
    <row r="86" spans="1:10" ht="12.75">
      <c r="A86" s="1"/>
      <c r="C86" s="38"/>
      <c r="D86" s="38"/>
      <c r="E86" s="38"/>
      <c r="F86" s="1"/>
      <c r="G86" s="50"/>
      <c r="H86" s="38"/>
      <c r="I86" s="38"/>
      <c r="J86" s="38"/>
    </row>
    <row r="90" ht="12.75">
      <c r="A90" s="1" t="s">
        <v>171</v>
      </c>
    </row>
    <row r="91" spans="1:10" ht="12.75">
      <c r="A91" s="1" t="s">
        <v>172</v>
      </c>
      <c r="G91" s="50"/>
      <c r="H91" s="49"/>
      <c r="I91" s="49"/>
      <c r="J91" s="49"/>
    </row>
    <row r="92" spans="7:10" ht="12.75">
      <c r="G92" s="50"/>
      <c r="H92" s="49"/>
      <c r="I92" s="49"/>
      <c r="J92" s="49"/>
    </row>
    <row r="93" spans="1:8" ht="15" customHeight="1">
      <c r="A93"/>
      <c r="B93"/>
      <c r="C93"/>
      <c r="D93"/>
      <c r="E93"/>
      <c r="F93" s="88"/>
      <c r="G93" s="52"/>
      <c r="H93" s="89"/>
    </row>
  </sheetData>
  <mergeCells count="2">
    <mergeCell ref="F4:J4"/>
    <mergeCell ref="F5:J5"/>
  </mergeCells>
  <printOptions/>
  <pageMargins left="0.75" right="0.27" top="1" bottom="1" header="0.5" footer="0.5"/>
  <pageSetup firstPageNumber="5" useFirstPageNumber="1" horizontalDpi="600" verticalDpi="600" orientation="portrait" paperSize="9" r:id="rId1"/>
  <headerFooter alignWithMargins="0">
    <oddFooter>&amp;R&amp;9&amp;P</oddFooter>
  </headerFooter>
  <rowBreaks count="2" manualBreakCount="2">
    <brk id="42" max="9" man="1"/>
    <brk id="88" max="9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R68"/>
  <sheetViews>
    <sheetView workbookViewId="0" topLeftCell="C14">
      <selection activeCell="C14" sqref="C14"/>
    </sheetView>
  </sheetViews>
  <sheetFormatPr defaultColWidth="9.140625" defaultRowHeight="17.25" customHeight="1"/>
  <cols>
    <col min="1" max="1" width="14.7109375" style="517" customWidth="1"/>
    <col min="2" max="2" width="7.8515625" style="498" customWidth="1"/>
    <col min="3" max="3" width="7.7109375" style="498" customWidth="1"/>
    <col min="4" max="4" width="6.7109375" style="498" customWidth="1"/>
    <col min="5" max="5" width="8.28125" style="498" customWidth="1"/>
    <col min="6" max="6" width="6.8515625" style="498" customWidth="1"/>
    <col min="7" max="7" width="6.00390625" style="498" customWidth="1"/>
    <col min="8" max="9" width="7.7109375" style="498" customWidth="1"/>
    <col min="10" max="10" width="8.28125" style="498" customWidth="1"/>
    <col min="11" max="11" width="6.57421875" style="498" customWidth="1"/>
    <col min="12" max="12" width="8.28125" style="498" customWidth="1"/>
    <col min="13" max="13" width="7.00390625" style="498" customWidth="1"/>
    <col min="14" max="14" width="9.28125" style="498" customWidth="1"/>
    <col min="15" max="15" width="9.00390625" style="498" customWidth="1"/>
    <col min="16" max="16" width="6.57421875" style="498" customWidth="1"/>
    <col min="17" max="17" width="7.421875" style="498" customWidth="1"/>
    <col min="18" max="18" width="8.421875" style="498" customWidth="1"/>
    <col min="19" max="16384" width="9.140625" style="498" customWidth="1"/>
  </cols>
  <sheetData>
    <row r="1" spans="2:18" ht="17.25" customHeight="1">
      <c r="B1" s="49"/>
      <c r="C1" s="49"/>
      <c r="D1" s="49"/>
      <c r="E1" s="49"/>
      <c r="F1" s="49"/>
      <c r="I1" s="49"/>
      <c r="J1" s="49"/>
      <c r="K1" s="49"/>
      <c r="L1" s="49"/>
      <c r="M1" s="49"/>
      <c r="N1" s="49"/>
      <c r="O1" s="49"/>
      <c r="P1" s="51"/>
      <c r="Q1" s="51"/>
      <c r="R1" s="51" t="s">
        <v>751</v>
      </c>
    </row>
    <row r="2" spans="7:17" ht="17.25" customHeight="1">
      <c r="G2" s="49" t="s">
        <v>752</v>
      </c>
      <c r="H2" s="49"/>
      <c r="P2" s="180"/>
      <c r="Q2" s="568"/>
    </row>
    <row r="3" spans="1:18" s="49" customFormat="1" ht="17.25" customHeight="1">
      <c r="A3" s="517"/>
      <c r="P3" s="51"/>
      <c r="Q3" s="51"/>
      <c r="R3" s="51"/>
    </row>
    <row r="4" spans="1:18" s="524" customFormat="1" ht="17.25" customHeight="1">
      <c r="A4" s="787" t="s">
        <v>753</v>
      </c>
      <c r="B4" s="787"/>
      <c r="C4" s="787"/>
      <c r="D4" s="787"/>
      <c r="E4" s="787"/>
      <c r="F4" s="787"/>
      <c r="G4" s="787"/>
      <c r="H4" s="787"/>
      <c r="I4" s="787"/>
      <c r="J4" s="787"/>
      <c r="K4" s="787"/>
      <c r="L4" s="787"/>
      <c r="M4" s="787"/>
      <c r="N4" s="787"/>
      <c r="O4" s="787"/>
      <c r="P4" s="787"/>
      <c r="Q4" s="787"/>
      <c r="R4" s="787"/>
    </row>
    <row r="5" spans="1:18" s="583" customFormat="1" ht="15.75" customHeight="1">
      <c r="A5" s="788" t="s">
        <v>31</v>
      </c>
      <c r="B5" s="788"/>
      <c r="C5" s="788"/>
      <c r="D5" s="788"/>
      <c r="E5" s="788"/>
      <c r="F5" s="788"/>
      <c r="G5" s="788"/>
      <c r="H5" s="788"/>
      <c r="I5" s="788"/>
      <c r="J5" s="788"/>
      <c r="K5" s="788"/>
      <c r="L5" s="788"/>
      <c r="M5" s="788"/>
      <c r="N5" s="788"/>
      <c r="O5" s="788"/>
      <c r="P5" s="788"/>
      <c r="Q5" s="788"/>
      <c r="R5" s="788"/>
    </row>
    <row r="6" spans="1:18" s="583" customFormat="1" ht="17.25" customHeight="1">
      <c r="A6" s="584"/>
      <c r="B6" s="469"/>
      <c r="C6" s="469"/>
      <c r="D6" s="469"/>
      <c r="E6" s="469"/>
      <c r="F6" s="585"/>
      <c r="G6" s="469"/>
      <c r="H6" s="469"/>
      <c r="I6" s="469"/>
      <c r="J6" s="469"/>
      <c r="K6" s="469"/>
      <c r="L6" s="469"/>
      <c r="M6" s="469"/>
      <c r="N6" s="469"/>
      <c r="O6" s="469"/>
      <c r="P6" s="469"/>
      <c r="Q6" s="469"/>
      <c r="R6" s="469"/>
    </row>
    <row r="7" spans="1:18" s="38" customFormat="1" ht="17.25" customHeight="1">
      <c r="A7" s="586"/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P7" s="89"/>
      <c r="R7" s="2" t="s">
        <v>360</v>
      </c>
    </row>
    <row r="8" spans="1:18" s="49" customFormat="1" ht="17.25" customHeight="1">
      <c r="A8" s="785" t="s">
        <v>754</v>
      </c>
      <c r="B8" s="587" t="s">
        <v>396</v>
      </c>
      <c r="C8" s="587"/>
      <c r="D8" s="587"/>
      <c r="E8" s="587"/>
      <c r="F8" s="587" t="s">
        <v>755</v>
      </c>
      <c r="G8" s="587"/>
      <c r="H8" s="587"/>
      <c r="I8" s="587"/>
      <c r="J8" s="785" t="s">
        <v>756</v>
      </c>
      <c r="K8" s="785" t="s">
        <v>757</v>
      </c>
      <c r="L8" s="588" t="s">
        <v>758</v>
      </c>
      <c r="M8" s="587"/>
      <c r="N8" s="587"/>
      <c r="O8" s="589"/>
      <c r="P8" s="587"/>
      <c r="Q8" s="590"/>
      <c r="R8" s="785" t="s">
        <v>759</v>
      </c>
    </row>
    <row r="9" spans="1:18" ht="17.25" customHeight="1">
      <c r="A9" s="789"/>
      <c r="B9" s="785" t="s">
        <v>760</v>
      </c>
      <c r="C9" s="785" t="s">
        <v>761</v>
      </c>
      <c r="D9" s="783" t="s">
        <v>762</v>
      </c>
      <c r="E9" s="785" t="s">
        <v>763</v>
      </c>
      <c r="F9" s="785" t="s">
        <v>764</v>
      </c>
      <c r="G9" s="785" t="s">
        <v>765</v>
      </c>
      <c r="H9" s="783" t="s">
        <v>766</v>
      </c>
      <c r="I9" s="785" t="s">
        <v>767</v>
      </c>
      <c r="J9" s="791"/>
      <c r="K9" s="791"/>
      <c r="L9" s="591"/>
      <c r="M9" s="591"/>
      <c r="N9" s="587" t="s">
        <v>768</v>
      </c>
      <c r="O9" s="587"/>
      <c r="P9" s="591"/>
      <c r="Q9" s="591"/>
      <c r="R9" s="791"/>
    </row>
    <row r="10" spans="1:18" s="594" customFormat="1" ht="45.75" customHeight="1">
      <c r="A10" s="790"/>
      <c r="B10" s="790"/>
      <c r="C10" s="786"/>
      <c r="D10" s="784"/>
      <c r="E10" s="786"/>
      <c r="F10" s="786"/>
      <c r="G10" s="786"/>
      <c r="H10" s="784"/>
      <c r="I10" s="786"/>
      <c r="J10" s="792"/>
      <c r="K10" s="792"/>
      <c r="L10" s="592" t="s">
        <v>71</v>
      </c>
      <c r="M10" s="592" t="s">
        <v>769</v>
      </c>
      <c r="N10" s="592" t="s">
        <v>770</v>
      </c>
      <c r="O10" s="592" t="s">
        <v>771</v>
      </c>
      <c r="P10" s="592" t="s">
        <v>772</v>
      </c>
      <c r="Q10" s="593" t="s">
        <v>83</v>
      </c>
      <c r="R10" s="792"/>
    </row>
    <row r="11" spans="1:18" s="38" customFormat="1" ht="11.25">
      <c r="A11" s="595">
        <v>1</v>
      </c>
      <c r="B11" s="93">
        <v>2</v>
      </c>
      <c r="C11" s="93">
        <v>3</v>
      </c>
      <c r="D11" s="93">
        <v>4</v>
      </c>
      <c r="E11" s="93">
        <v>5</v>
      </c>
      <c r="F11" s="93">
        <v>6</v>
      </c>
      <c r="G11" s="93">
        <v>7</v>
      </c>
      <c r="H11" s="93">
        <v>8</v>
      </c>
      <c r="I11" s="93">
        <v>9</v>
      </c>
      <c r="J11" s="93">
        <v>10</v>
      </c>
      <c r="K11" s="93">
        <v>11</v>
      </c>
      <c r="L11" s="93">
        <v>12</v>
      </c>
      <c r="M11" s="93">
        <v>13</v>
      </c>
      <c r="N11" s="93">
        <v>14</v>
      </c>
      <c r="O11" s="93">
        <v>15</v>
      </c>
      <c r="P11" s="93">
        <v>16</v>
      </c>
      <c r="Q11" s="93">
        <v>17</v>
      </c>
      <c r="R11" s="93">
        <v>18</v>
      </c>
    </row>
    <row r="12" spans="1:18" ht="12" customHeight="1">
      <c r="A12" s="596" t="s">
        <v>773</v>
      </c>
      <c r="B12" s="65"/>
      <c r="C12" s="65"/>
      <c r="D12" s="65"/>
      <c r="E12" s="597"/>
      <c r="F12" s="65"/>
      <c r="G12" s="65"/>
      <c r="H12" s="65"/>
      <c r="I12" s="597"/>
      <c r="J12" s="597"/>
      <c r="K12" s="597"/>
      <c r="L12" s="65"/>
      <c r="M12" s="597"/>
      <c r="N12" s="65"/>
      <c r="O12" s="65"/>
      <c r="P12" s="65"/>
      <c r="Q12" s="65"/>
      <c r="R12" s="65"/>
    </row>
    <row r="13" spans="1:18" ht="12" customHeight="1">
      <c r="A13" s="598" t="s">
        <v>774</v>
      </c>
      <c r="B13" s="599">
        <v>53930</v>
      </c>
      <c r="C13" s="599">
        <v>10951</v>
      </c>
      <c r="D13" s="599"/>
      <c r="E13" s="597">
        <v>64881</v>
      </c>
      <c r="F13" s="599">
        <v>66640</v>
      </c>
      <c r="G13" s="599">
        <v>8021</v>
      </c>
      <c r="H13" s="599">
        <v>8021</v>
      </c>
      <c r="I13" s="597">
        <v>74661</v>
      </c>
      <c r="J13" s="597">
        <v>-9780</v>
      </c>
      <c r="K13" s="597">
        <v>9780</v>
      </c>
      <c r="L13" s="599"/>
      <c r="M13" s="597">
        <v>-1072</v>
      </c>
      <c r="N13" s="599">
        <v>4422</v>
      </c>
      <c r="O13" s="599">
        <v>5494</v>
      </c>
      <c r="P13" s="599"/>
      <c r="Q13" s="599">
        <v>11350</v>
      </c>
      <c r="R13" s="599">
        <v>-498</v>
      </c>
    </row>
    <row r="14" spans="1:18" ht="12" customHeight="1">
      <c r="A14" s="598" t="s">
        <v>775</v>
      </c>
      <c r="B14" s="599">
        <v>3896</v>
      </c>
      <c r="C14" s="599">
        <v>2441</v>
      </c>
      <c r="D14" s="599">
        <v>583</v>
      </c>
      <c r="E14" s="597">
        <v>6337</v>
      </c>
      <c r="F14" s="599">
        <v>6343</v>
      </c>
      <c r="G14" s="599">
        <v>8</v>
      </c>
      <c r="H14" s="599"/>
      <c r="I14" s="597">
        <v>6351</v>
      </c>
      <c r="J14" s="597">
        <v>-14</v>
      </c>
      <c r="K14" s="597">
        <v>14</v>
      </c>
      <c r="L14" s="599">
        <v>450</v>
      </c>
      <c r="M14" s="597">
        <v>-268</v>
      </c>
      <c r="N14" s="599">
        <v>50</v>
      </c>
      <c r="O14" s="599">
        <v>318</v>
      </c>
      <c r="P14" s="599">
        <v>-21</v>
      </c>
      <c r="Q14" s="599">
        <v>-147</v>
      </c>
      <c r="R14" s="599"/>
    </row>
    <row r="15" spans="1:18" ht="12" customHeight="1">
      <c r="A15" s="598" t="s">
        <v>776</v>
      </c>
      <c r="B15" s="599">
        <v>2827</v>
      </c>
      <c r="C15" s="599">
        <v>1336</v>
      </c>
      <c r="D15" s="599"/>
      <c r="E15" s="597">
        <v>4163</v>
      </c>
      <c r="F15" s="599">
        <v>3598</v>
      </c>
      <c r="G15" s="599">
        <v>67</v>
      </c>
      <c r="H15" s="599">
        <v>37</v>
      </c>
      <c r="I15" s="597">
        <v>3665</v>
      </c>
      <c r="J15" s="597">
        <v>498</v>
      </c>
      <c r="K15" s="597">
        <v>-498</v>
      </c>
      <c r="L15" s="599"/>
      <c r="M15" s="597">
        <v>-195</v>
      </c>
      <c r="N15" s="599">
        <v>51</v>
      </c>
      <c r="O15" s="599">
        <v>246</v>
      </c>
      <c r="P15" s="599"/>
      <c r="Q15" s="599">
        <v>47</v>
      </c>
      <c r="R15" s="599">
        <v>-350</v>
      </c>
    </row>
    <row r="16" spans="1:18" ht="12" customHeight="1">
      <c r="A16" s="598" t="s">
        <v>777</v>
      </c>
      <c r="B16" s="599">
        <v>3422</v>
      </c>
      <c r="C16" s="599">
        <v>772</v>
      </c>
      <c r="D16" s="599"/>
      <c r="E16" s="597">
        <v>4194</v>
      </c>
      <c r="F16" s="599">
        <v>3428</v>
      </c>
      <c r="G16" s="599">
        <v>358</v>
      </c>
      <c r="H16" s="599">
        <v>351</v>
      </c>
      <c r="I16" s="597">
        <v>3786</v>
      </c>
      <c r="J16" s="597">
        <v>408</v>
      </c>
      <c r="K16" s="597">
        <v>-408</v>
      </c>
      <c r="L16" s="599">
        <v>-395</v>
      </c>
      <c r="M16" s="597">
        <v>-13</v>
      </c>
      <c r="N16" s="599">
        <v>201</v>
      </c>
      <c r="O16" s="599">
        <v>214</v>
      </c>
      <c r="P16" s="599"/>
      <c r="Q16" s="599"/>
      <c r="R16" s="599"/>
    </row>
    <row r="17" spans="1:18" ht="12" customHeight="1">
      <c r="A17" s="598" t="s">
        <v>778</v>
      </c>
      <c r="B17" s="599">
        <v>3929</v>
      </c>
      <c r="C17" s="599">
        <v>1578</v>
      </c>
      <c r="D17" s="599"/>
      <c r="E17" s="597">
        <v>5507</v>
      </c>
      <c r="F17" s="599">
        <v>5226</v>
      </c>
      <c r="G17" s="599">
        <v>18</v>
      </c>
      <c r="H17" s="599"/>
      <c r="I17" s="597">
        <v>5244</v>
      </c>
      <c r="J17" s="597">
        <v>263</v>
      </c>
      <c r="K17" s="597">
        <v>-263</v>
      </c>
      <c r="L17" s="599"/>
      <c r="M17" s="597">
        <v>-263</v>
      </c>
      <c r="N17" s="599">
        <v>381</v>
      </c>
      <c r="O17" s="599">
        <v>644</v>
      </c>
      <c r="P17" s="599"/>
      <c r="Q17" s="599"/>
      <c r="R17" s="599"/>
    </row>
    <row r="18" spans="1:18" ht="12" customHeight="1">
      <c r="A18" s="598" t="s">
        <v>779</v>
      </c>
      <c r="B18" s="599">
        <v>1565</v>
      </c>
      <c r="C18" s="599">
        <v>764</v>
      </c>
      <c r="D18" s="599">
        <v>8</v>
      </c>
      <c r="E18" s="597">
        <v>2329</v>
      </c>
      <c r="F18" s="599">
        <v>2261</v>
      </c>
      <c r="G18" s="599"/>
      <c r="H18" s="599"/>
      <c r="I18" s="597">
        <v>2261</v>
      </c>
      <c r="J18" s="597">
        <v>68</v>
      </c>
      <c r="K18" s="597">
        <v>-68</v>
      </c>
      <c r="L18" s="599">
        <v>-90</v>
      </c>
      <c r="M18" s="597">
        <v>22</v>
      </c>
      <c r="N18" s="599">
        <v>68</v>
      </c>
      <c r="O18" s="599">
        <v>46</v>
      </c>
      <c r="P18" s="599"/>
      <c r="Q18" s="599"/>
      <c r="R18" s="599"/>
    </row>
    <row r="19" spans="1:18" ht="12" customHeight="1">
      <c r="A19" s="598" t="s">
        <v>780</v>
      </c>
      <c r="B19" s="599">
        <v>4519</v>
      </c>
      <c r="C19" s="599">
        <v>539</v>
      </c>
      <c r="D19" s="599"/>
      <c r="E19" s="597">
        <v>5058</v>
      </c>
      <c r="F19" s="599">
        <v>3492</v>
      </c>
      <c r="G19" s="599">
        <v>1053</v>
      </c>
      <c r="H19" s="599">
        <v>1053</v>
      </c>
      <c r="I19" s="597">
        <v>4545</v>
      </c>
      <c r="J19" s="597">
        <v>513</v>
      </c>
      <c r="K19" s="597">
        <v>-513</v>
      </c>
      <c r="L19" s="599"/>
      <c r="M19" s="597">
        <v>-513</v>
      </c>
      <c r="N19" s="599">
        <v>1118</v>
      </c>
      <c r="O19" s="599">
        <v>1631</v>
      </c>
      <c r="P19" s="599"/>
      <c r="Q19" s="599"/>
      <c r="R19" s="599"/>
    </row>
    <row r="20" spans="1:18" ht="12" customHeight="1">
      <c r="A20" s="596" t="s">
        <v>781</v>
      </c>
      <c r="B20" s="597">
        <v>74088</v>
      </c>
      <c r="C20" s="597">
        <v>18381</v>
      </c>
      <c r="D20" s="597">
        <v>591</v>
      </c>
      <c r="E20" s="597">
        <v>92469</v>
      </c>
      <c r="F20" s="597">
        <v>90988</v>
      </c>
      <c r="G20" s="597">
        <v>9525</v>
      </c>
      <c r="H20" s="597">
        <v>9462</v>
      </c>
      <c r="I20" s="597">
        <v>100513</v>
      </c>
      <c r="J20" s="597">
        <v>-8044</v>
      </c>
      <c r="K20" s="597">
        <v>8044</v>
      </c>
      <c r="L20" s="597">
        <v>-35</v>
      </c>
      <c r="M20" s="597">
        <v>-2302</v>
      </c>
      <c r="N20" s="597">
        <v>6291</v>
      </c>
      <c r="O20" s="597">
        <v>8593</v>
      </c>
      <c r="P20" s="597">
        <v>-21</v>
      </c>
      <c r="Q20" s="597">
        <v>11250</v>
      </c>
      <c r="R20" s="597">
        <v>-848</v>
      </c>
    </row>
    <row r="21" spans="1:18" s="481" customFormat="1" ht="12" customHeight="1">
      <c r="A21" s="596" t="s">
        <v>782</v>
      </c>
      <c r="B21" s="600"/>
      <c r="C21" s="600"/>
      <c r="D21" s="600"/>
      <c r="E21" s="459"/>
      <c r="F21" s="600"/>
      <c r="G21" s="600"/>
      <c r="H21" s="600"/>
      <c r="I21" s="459"/>
      <c r="J21" s="459"/>
      <c r="K21" s="459"/>
      <c r="L21" s="459"/>
      <c r="M21" s="459"/>
      <c r="N21" s="459"/>
      <c r="O21" s="459"/>
      <c r="P21" s="459"/>
      <c r="Q21" s="459"/>
      <c r="R21" s="459"/>
    </row>
    <row r="22" spans="1:18" ht="12" customHeight="1">
      <c r="A22" s="598" t="s">
        <v>783</v>
      </c>
      <c r="B22" s="599">
        <v>1752</v>
      </c>
      <c r="C22" s="599">
        <v>1517</v>
      </c>
      <c r="D22" s="599">
        <v>378</v>
      </c>
      <c r="E22" s="597">
        <v>3269</v>
      </c>
      <c r="F22" s="599">
        <v>2892</v>
      </c>
      <c r="G22" s="599">
        <v>195</v>
      </c>
      <c r="H22" s="599">
        <v>113</v>
      </c>
      <c r="I22" s="597">
        <v>3087</v>
      </c>
      <c r="J22" s="597">
        <v>182</v>
      </c>
      <c r="K22" s="597">
        <v>-182</v>
      </c>
      <c r="L22" s="599">
        <v>-18</v>
      </c>
      <c r="M22" s="597">
        <v>-122</v>
      </c>
      <c r="N22" s="599">
        <v>363</v>
      </c>
      <c r="O22" s="599">
        <v>485</v>
      </c>
      <c r="P22" s="599">
        <v>-7</v>
      </c>
      <c r="Q22" s="599">
        <v>-7</v>
      </c>
      <c r="R22" s="599">
        <v>-28</v>
      </c>
    </row>
    <row r="23" spans="1:18" ht="12" customHeight="1">
      <c r="A23" s="598" t="s">
        <v>784</v>
      </c>
      <c r="B23" s="599">
        <v>886</v>
      </c>
      <c r="C23" s="599">
        <v>1129</v>
      </c>
      <c r="D23" s="599">
        <v>373</v>
      </c>
      <c r="E23" s="597">
        <v>2015</v>
      </c>
      <c r="F23" s="599">
        <v>1854</v>
      </c>
      <c r="G23" s="599">
        <v>49</v>
      </c>
      <c r="H23" s="599"/>
      <c r="I23" s="597">
        <v>1903</v>
      </c>
      <c r="J23" s="597">
        <v>112</v>
      </c>
      <c r="K23" s="597">
        <v>-112</v>
      </c>
      <c r="L23" s="599">
        <v>-3</v>
      </c>
      <c r="M23" s="597">
        <v>-106</v>
      </c>
      <c r="N23" s="599">
        <v>85</v>
      </c>
      <c r="O23" s="599">
        <v>191</v>
      </c>
      <c r="P23" s="599"/>
      <c r="Q23" s="599">
        <v>-1</v>
      </c>
      <c r="R23" s="599">
        <v>-2</v>
      </c>
    </row>
    <row r="24" spans="1:18" ht="12" customHeight="1">
      <c r="A24" s="598" t="s">
        <v>785</v>
      </c>
      <c r="B24" s="599">
        <v>813</v>
      </c>
      <c r="C24" s="599">
        <v>1549</v>
      </c>
      <c r="D24" s="599">
        <v>584</v>
      </c>
      <c r="E24" s="597">
        <v>2362</v>
      </c>
      <c r="F24" s="599">
        <v>2234</v>
      </c>
      <c r="G24" s="599">
        <v>68</v>
      </c>
      <c r="H24" s="599"/>
      <c r="I24" s="597">
        <v>2302</v>
      </c>
      <c r="J24" s="597">
        <v>60</v>
      </c>
      <c r="K24" s="597">
        <v>-60</v>
      </c>
      <c r="L24" s="599">
        <v>-6</v>
      </c>
      <c r="M24" s="597">
        <v>-138</v>
      </c>
      <c r="N24" s="599">
        <v>61</v>
      </c>
      <c r="O24" s="599">
        <v>199</v>
      </c>
      <c r="P24" s="599"/>
      <c r="Q24" s="599">
        <v>-1</v>
      </c>
      <c r="R24" s="599">
        <v>85</v>
      </c>
    </row>
    <row r="25" spans="1:18" ht="12" customHeight="1">
      <c r="A25" s="598" t="s">
        <v>786</v>
      </c>
      <c r="B25" s="599">
        <v>1755</v>
      </c>
      <c r="C25" s="599">
        <v>2022</v>
      </c>
      <c r="D25" s="599">
        <v>563</v>
      </c>
      <c r="E25" s="597">
        <v>3777</v>
      </c>
      <c r="F25" s="599">
        <v>3338</v>
      </c>
      <c r="G25" s="599">
        <v>209</v>
      </c>
      <c r="H25" s="599"/>
      <c r="I25" s="597">
        <v>3547</v>
      </c>
      <c r="J25" s="597">
        <v>230</v>
      </c>
      <c r="K25" s="597">
        <v>-230</v>
      </c>
      <c r="L25" s="599">
        <v>-20</v>
      </c>
      <c r="M25" s="597">
        <v>-195</v>
      </c>
      <c r="N25" s="599">
        <v>159</v>
      </c>
      <c r="O25" s="599">
        <v>354</v>
      </c>
      <c r="P25" s="599">
        <v>-2</v>
      </c>
      <c r="Q25" s="599">
        <v>-1</v>
      </c>
      <c r="R25" s="599">
        <v>-12</v>
      </c>
    </row>
    <row r="26" spans="1:18" ht="12" customHeight="1">
      <c r="A26" s="598" t="s">
        <v>787</v>
      </c>
      <c r="B26" s="599">
        <v>2827</v>
      </c>
      <c r="C26" s="599">
        <v>2461</v>
      </c>
      <c r="D26" s="599">
        <v>697</v>
      </c>
      <c r="E26" s="597">
        <v>5288</v>
      </c>
      <c r="F26" s="599">
        <v>4635</v>
      </c>
      <c r="G26" s="599">
        <v>238</v>
      </c>
      <c r="H26" s="599">
        <v>57</v>
      </c>
      <c r="I26" s="597">
        <v>4873</v>
      </c>
      <c r="J26" s="597">
        <v>415</v>
      </c>
      <c r="K26" s="597">
        <v>-415</v>
      </c>
      <c r="L26" s="599">
        <v>-154</v>
      </c>
      <c r="M26" s="597">
        <v>-237</v>
      </c>
      <c r="N26" s="599">
        <v>159</v>
      </c>
      <c r="O26" s="599">
        <v>396</v>
      </c>
      <c r="P26" s="599">
        <v>-6</v>
      </c>
      <c r="Q26" s="599"/>
      <c r="R26" s="599">
        <v>-18</v>
      </c>
    </row>
    <row r="27" spans="1:18" ht="12" customHeight="1">
      <c r="A27" s="598" t="s">
        <v>788</v>
      </c>
      <c r="B27" s="599">
        <v>1322</v>
      </c>
      <c r="C27" s="599">
        <v>1730</v>
      </c>
      <c r="D27" s="599">
        <v>755</v>
      </c>
      <c r="E27" s="597">
        <v>3052</v>
      </c>
      <c r="F27" s="599">
        <v>2715</v>
      </c>
      <c r="G27" s="599">
        <v>116</v>
      </c>
      <c r="H27" s="599">
        <v>27</v>
      </c>
      <c r="I27" s="597">
        <v>2831</v>
      </c>
      <c r="J27" s="597">
        <v>221</v>
      </c>
      <c r="K27" s="597">
        <v>-221</v>
      </c>
      <c r="L27" s="599">
        <v>65</v>
      </c>
      <c r="M27" s="597">
        <v>-196</v>
      </c>
      <c r="N27" s="599">
        <v>114</v>
      </c>
      <c r="O27" s="599">
        <v>310</v>
      </c>
      <c r="P27" s="599">
        <v>-1</v>
      </c>
      <c r="Q27" s="599">
        <v>-120</v>
      </c>
      <c r="R27" s="599">
        <v>31</v>
      </c>
    </row>
    <row r="28" spans="1:18" ht="12" customHeight="1">
      <c r="A28" s="598" t="s">
        <v>789</v>
      </c>
      <c r="B28" s="599">
        <v>1514</v>
      </c>
      <c r="C28" s="599">
        <v>1481</v>
      </c>
      <c r="D28" s="599">
        <v>499</v>
      </c>
      <c r="E28" s="597">
        <v>2995</v>
      </c>
      <c r="F28" s="599">
        <v>2680</v>
      </c>
      <c r="G28" s="599">
        <v>165</v>
      </c>
      <c r="H28" s="599">
        <v>52</v>
      </c>
      <c r="I28" s="597">
        <v>2845</v>
      </c>
      <c r="J28" s="597">
        <v>150</v>
      </c>
      <c r="K28" s="597">
        <v>-150</v>
      </c>
      <c r="L28" s="599">
        <v>-43</v>
      </c>
      <c r="M28" s="597">
        <v>-112</v>
      </c>
      <c r="N28" s="599">
        <v>198</v>
      </c>
      <c r="O28" s="599">
        <v>310</v>
      </c>
      <c r="P28" s="599"/>
      <c r="Q28" s="599"/>
      <c r="R28" s="599">
        <v>5</v>
      </c>
    </row>
    <row r="29" spans="1:18" ht="12" customHeight="1">
      <c r="A29" s="598" t="s">
        <v>790</v>
      </c>
      <c r="B29" s="599">
        <v>1046</v>
      </c>
      <c r="C29" s="599">
        <v>1019</v>
      </c>
      <c r="D29" s="599">
        <v>300</v>
      </c>
      <c r="E29" s="597">
        <v>2065</v>
      </c>
      <c r="F29" s="599">
        <v>1880</v>
      </c>
      <c r="G29" s="599">
        <v>58</v>
      </c>
      <c r="H29" s="599"/>
      <c r="I29" s="597">
        <v>1938</v>
      </c>
      <c r="J29" s="597">
        <v>127</v>
      </c>
      <c r="K29" s="597">
        <v>-127</v>
      </c>
      <c r="L29" s="599">
        <v>-14</v>
      </c>
      <c r="M29" s="597">
        <v>-84</v>
      </c>
      <c r="N29" s="599">
        <v>270</v>
      </c>
      <c r="O29" s="599">
        <v>354</v>
      </c>
      <c r="P29" s="599"/>
      <c r="Q29" s="599"/>
      <c r="R29" s="599">
        <v>-29</v>
      </c>
    </row>
    <row r="30" spans="1:18" ht="12" customHeight="1">
      <c r="A30" s="598" t="s">
        <v>791</v>
      </c>
      <c r="B30" s="599">
        <v>1181</v>
      </c>
      <c r="C30" s="599">
        <v>1411</v>
      </c>
      <c r="D30" s="599">
        <v>502</v>
      </c>
      <c r="E30" s="597">
        <v>2592</v>
      </c>
      <c r="F30" s="599">
        <v>2404</v>
      </c>
      <c r="G30" s="599">
        <v>111</v>
      </c>
      <c r="H30" s="599">
        <v>2</v>
      </c>
      <c r="I30" s="597">
        <v>2515</v>
      </c>
      <c r="J30" s="597">
        <v>77</v>
      </c>
      <c r="K30" s="597">
        <v>-77</v>
      </c>
      <c r="L30" s="599">
        <v>-25</v>
      </c>
      <c r="M30" s="597">
        <v>-52</v>
      </c>
      <c r="N30" s="599">
        <v>126</v>
      </c>
      <c r="O30" s="599">
        <v>178</v>
      </c>
      <c r="P30" s="599"/>
      <c r="Q30" s="599"/>
      <c r="R30" s="599"/>
    </row>
    <row r="31" spans="1:18" ht="12" customHeight="1">
      <c r="A31" s="598" t="s">
        <v>792</v>
      </c>
      <c r="B31" s="599">
        <v>1719</v>
      </c>
      <c r="C31" s="599">
        <v>2096</v>
      </c>
      <c r="D31" s="599">
        <v>765</v>
      </c>
      <c r="E31" s="597">
        <v>3815</v>
      </c>
      <c r="F31" s="599">
        <v>3721</v>
      </c>
      <c r="G31" s="599">
        <v>101</v>
      </c>
      <c r="H31" s="599"/>
      <c r="I31" s="597">
        <v>3822</v>
      </c>
      <c r="J31" s="597">
        <v>-7</v>
      </c>
      <c r="K31" s="597">
        <v>7</v>
      </c>
      <c r="L31" s="599">
        <v>-80</v>
      </c>
      <c r="M31" s="597">
        <v>-15</v>
      </c>
      <c r="N31" s="599">
        <v>272</v>
      </c>
      <c r="O31" s="599">
        <v>287</v>
      </c>
      <c r="P31" s="599"/>
      <c r="Q31" s="599">
        <v>2</v>
      </c>
      <c r="R31" s="599">
        <v>100</v>
      </c>
    </row>
    <row r="32" spans="1:18" ht="12" customHeight="1">
      <c r="A32" s="598" t="s">
        <v>793</v>
      </c>
      <c r="B32" s="599">
        <v>846</v>
      </c>
      <c r="C32" s="599">
        <v>1391</v>
      </c>
      <c r="D32" s="599">
        <v>611</v>
      </c>
      <c r="E32" s="597">
        <v>2237</v>
      </c>
      <c r="F32" s="599">
        <v>2020</v>
      </c>
      <c r="G32" s="599">
        <v>71</v>
      </c>
      <c r="H32" s="599"/>
      <c r="I32" s="597">
        <v>2091</v>
      </c>
      <c r="J32" s="597">
        <v>146</v>
      </c>
      <c r="K32" s="597">
        <v>-146</v>
      </c>
      <c r="L32" s="599">
        <v>-55</v>
      </c>
      <c r="M32" s="597">
        <v>-104</v>
      </c>
      <c r="N32" s="599">
        <v>67</v>
      </c>
      <c r="O32" s="599">
        <v>171</v>
      </c>
      <c r="P32" s="599"/>
      <c r="Q32" s="599"/>
      <c r="R32" s="599">
        <v>13</v>
      </c>
    </row>
    <row r="33" spans="1:18" ht="12" customHeight="1">
      <c r="A33" s="598" t="s">
        <v>794</v>
      </c>
      <c r="B33" s="599">
        <v>1576</v>
      </c>
      <c r="C33" s="599">
        <v>1828</v>
      </c>
      <c r="D33" s="599">
        <v>413</v>
      </c>
      <c r="E33" s="597">
        <v>3404</v>
      </c>
      <c r="F33" s="599">
        <v>3065</v>
      </c>
      <c r="G33" s="599">
        <v>99</v>
      </c>
      <c r="H33" s="599"/>
      <c r="I33" s="597">
        <v>3164</v>
      </c>
      <c r="J33" s="597">
        <v>240</v>
      </c>
      <c r="K33" s="597">
        <v>-240</v>
      </c>
      <c r="L33" s="599"/>
      <c r="M33" s="597">
        <v>-218</v>
      </c>
      <c r="N33" s="599">
        <v>462</v>
      </c>
      <c r="O33" s="599">
        <v>680</v>
      </c>
      <c r="P33" s="599"/>
      <c r="Q33" s="599"/>
      <c r="R33" s="599">
        <v>-22</v>
      </c>
    </row>
    <row r="34" spans="1:18" ht="12" customHeight="1">
      <c r="A34" s="598" t="s">
        <v>795</v>
      </c>
      <c r="B34" s="599">
        <v>1625</v>
      </c>
      <c r="C34" s="599">
        <v>1646</v>
      </c>
      <c r="D34" s="599">
        <v>502</v>
      </c>
      <c r="E34" s="597">
        <v>3271</v>
      </c>
      <c r="F34" s="599">
        <v>3179</v>
      </c>
      <c r="G34" s="599">
        <v>81</v>
      </c>
      <c r="H34" s="599">
        <v>7</v>
      </c>
      <c r="I34" s="597">
        <v>3260</v>
      </c>
      <c r="J34" s="597">
        <v>11</v>
      </c>
      <c r="K34" s="597">
        <v>-11</v>
      </c>
      <c r="L34" s="599">
        <v>-40</v>
      </c>
      <c r="M34" s="597">
        <v>-5</v>
      </c>
      <c r="N34" s="599">
        <v>136</v>
      </c>
      <c r="O34" s="599">
        <v>141</v>
      </c>
      <c r="P34" s="599"/>
      <c r="Q34" s="599">
        <v>-9</v>
      </c>
      <c r="R34" s="599">
        <v>43</v>
      </c>
    </row>
    <row r="35" spans="1:18" ht="12" customHeight="1">
      <c r="A35" s="598" t="s">
        <v>796</v>
      </c>
      <c r="B35" s="599">
        <v>1668</v>
      </c>
      <c r="C35" s="599">
        <v>1334</v>
      </c>
      <c r="D35" s="599">
        <v>477</v>
      </c>
      <c r="E35" s="597">
        <v>3002</v>
      </c>
      <c r="F35" s="599">
        <v>2739</v>
      </c>
      <c r="G35" s="599">
        <v>220</v>
      </c>
      <c r="H35" s="599">
        <v>74</v>
      </c>
      <c r="I35" s="597">
        <v>2959</v>
      </c>
      <c r="J35" s="597">
        <v>43</v>
      </c>
      <c r="K35" s="597">
        <v>-43</v>
      </c>
      <c r="L35" s="599">
        <v>-118</v>
      </c>
      <c r="M35" s="597">
        <v>-8</v>
      </c>
      <c r="N35" s="599">
        <v>209</v>
      </c>
      <c r="O35" s="599">
        <v>217</v>
      </c>
      <c r="P35" s="599">
        <v>-7</v>
      </c>
      <c r="Q35" s="599">
        <v>90</v>
      </c>
      <c r="R35" s="599"/>
    </row>
    <row r="36" spans="1:18" ht="12" customHeight="1">
      <c r="A36" s="598" t="s">
        <v>797</v>
      </c>
      <c r="B36" s="599">
        <v>877</v>
      </c>
      <c r="C36" s="599">
        <v>1405</v>
      </c>
      <c r="D36" s="599">
        <v>534</v>
      </c>
      <c r="E36" s="597">
        <v>2282</v>
      </c>
      <c r="F36" s="599">
        <v>1966</v>
      </c>
      <c r="G36" s="599">
        <v>75</v>
      </c>
      <c r="H36" s="599"/>
      <c r="I36" s="597">
        <v>2041</v>
      </c>
      <c r="J36" s="597">
        <v>241</v>
      </c>
      <c r="K36" s="597">
        <v>-241</v>
      </c>
      <c r="L36" s="599">
        <v>-32</v>
      </c>
      <c r="M36" s="597">
        <v>-224</v>
      </c>
      <c r="N36" s="599">
        <v>59</v>
      </c>
      <c r="O36" s="599">
        <v>283</v>
      </c>
      <c r="P36" s="599">
        <v>-5</v>
      </c>
      <c r="Q36" s="599"/>
      <c r="R36" s="599">
        <v>20</v>
      </c>
    </row>
    <row r="37" spans="1:18" ht="12" customHeight="1">
      <c r="A37" s="598" t="s">
        <v>798</v>
      </c>
      <c r="B37" s="599">
        <v>1593</v>
      </c>
      <c r="C37" s="599">
        <v>2139</v>
      </c>
      <c r="D37" s="599">
        <v>618</v>
      </c>
      <c r="E37" s="597">
        <v>3732</v>
      </c>
      <c r="F37" s="599">
        <v>3283</v>
      </c>
      <c r="G37" s="599">
        <v>181</v>
      </c>
      <c r="H37" s="599">
        <v>22</v>
      </c>
      <c r="I37" s="597">
        <v>3464</v>
      </c>
      <c r="J37" s="597">
        <v>268</v>
      </c>
      <c r="K37" s="597">
        <v>-268</v>
      </c>
      <c r="L37" s="599">
        <v>44</v>
      </c>
      <c r="M37" s="597">
        <v>-345</v>
      </c>
      <c r="N37" s="599">
        <v>190</v>
      </c>
      <c r="O37" s="599">
        <v>535</v>
      </c>
      <c r="P37" s="599"/>
      <c r="Q37" s="599">
        <v>33</v>
      </c>
      <c r="R37" s="599"/>
    </row>
    <row r="38" spans="1:18" ht="12" customHeight="1">
      <c r="A38" s="598" t="s">
        <v>799</v>
      </c>
      <c r="B38" s="599">
        <v>2877</v>
      </c>
      <c r="C38" s="599">
        <v>1637</v>
      </c>
      <c r="D38" s="599">
        <v>430</v>
      </c>
      <c r="E38" s="597">
        <v>4514</v>
      </c>
      <c r="F38" s="599">
        <v>3999</v>
      </c>
      <c r="G38" s="599">
        <v>318</v>
      </c>
      <c r="H38" s="599">
        <v>207</v>
      </c>
      <c r="I38" s="597">
        <v>4317</v>
      </c>
      <c r="J38" s="597">
        <v>197</v>
      </c>
      <c r="K38" s="597">
        <v>-197</v>
      </c>
      <c r="L38" s="599">
        <v>-74</v>
      </c>
      <c r="M38" s="597">
        <v>-114</v>
      </c>
      <c r="N38" s="599">
        <v>312</v>
      </c>
      <c r="O38" s="599">
        <v>426</v>
      </c>
      <c r="P38" s="599">
        <v>-4</v>
      </c>
      <c r="Q38" s="599">
        <v>-4</v>
      </c>
      <c r="R38" s="599">
        <v>-1</v>
      </c>
    </row>
    <row r="39" spans="1:18" ht="12" customHeight="1">
      <c r="A39" s="598" t="s">
        <v>800</v>
      </c>
      <c r="B39" s="599">
        <v>1200</v>
      </c>
      <c r="C39" s="599">
        <v>1948</v>
      </c>
      <c r="D39" s="599">
        <v>687</v>
      </c>
      <c r="E39" s="597">
        <v>3148</v>
      </c>
      <c r="F39" s="599">
        <v>2899</v>
      </c>
      <c r="G39" s="599">
        <v>50</v>
      </c>
      <c r="H39" s="599"/>
      <c r="I39" s="597">
        <v>2949</v>
      </c>
      <c r="J39" s="597">
        <v>199</v>
      </c>
      <c r="K39" s="597">
        <v>-199</v>
      </c>
      <c r="L39" s="599">
        <v>-78</v>
      </c>
      <c r="M39" s="597">
        <v>-207</v>
      </c>
      <c r="N39" s="599">
        <v>148</v>
      </c>
      <c r="O39" s="599">
        <v>355</v>
      </c>
      <c r="P39" s="599">
        <v>-18</v>
      </c>
      <c r="Q39" s="599">
        <v>8</v>
      </c>
      <c r="R39" s="599">
        <v>96</v>
      </c>
    </row>
    <row r="40" spans="1:18" ht="12" customHeight="1">
      <c r="A40" s="598" t="s">
        <v>801</v>
      </c>
      <c r="B40" s="599">
        <v>903</v>
      </c>
      <c r="C40" s="599">
        <v>2113</v>
      </c>
      <c r="D40" s="599">
        <v>876</v>
      </c>
      <c r="E40" s="597">
        <v>3016</v>
      </c>
      <c r="F40" s="599">
        <v>2775</v>
      </c>
      <c r="G40" s="599">
        <v>113</v>
      </c>
      <c r="H40" s="599"/>
      <c r="I40" s="597">
        <v>2888</v>
      </c>
      <c r="J40" s="597">
        <v>128</v>
      </c>
      <c r="K40" s="597">
        <v>-128</v>
      </c>
      <c r="L40" s="599">
        <v>-16</v>
      </c>
      <c r="M40" s="597">
        <v>-129</v>
      </c>
      <c r="N40" s="599">
        <v>105</v>
      </c>
      <c r="O40" s="599">
        <v>234</v>
      </c>
      <c r="P40" s="599"/>
      <c r="Q40" s="599"/>
      <c r="R40" s="599">
        <v>17</v>
      </c>
    </row>
    <row r="41" spans="1:18" ht="12" customHeight="1">
      <c r="A41" s="598" t="s">
        <v>802</v>
      </c>
      <c r="B41" s="599">
        <v>8731</v>
      </c>
      <c r="C41" s="599">
        <v>3492</v>
      </c>
      <c r="D41" s="599">
        <v>613</v>
      </c>
      <c r="E41" s="597">
        <v>12223</v>
      </c>
      <c r="F41" s="599">
        <v>10628</v>
      </c>
      <c r="G41" s="599">
        <v>1451</v>
      </c>
      <c r="H41" s="599">
        <v>967</v>
      </c>
      <c r="I41" s="597">
        <v>12079</v>
      </c>
      <c r="J41" s="597">
        <v>144</v>
      </c>
      <c r="K41" s="597">
        <v>-144</v>
      </c>
      <c r="L41" s="599">
        <v>323</v>
      </c>
      <c r="M41" s="597">
        <v>-474</v>
      </c>
      <c r="N41" s="599">
        <v>1098</v>
      </c>
      <c r="O41" s="599">
        <v>1572</v>
      </c>
      <c r="P41" s="599">
        <v>20</v>
      </c>
      <c r="Q41" s="599"/>
      <c r="R41" s="599">
        <v>-13</v>
      </c>
    </row>
    <row r="42" spans="1:18" ht="12" customHeight="1">
      <c r="A42" s="598" t="s">
        <v>803</v>
      </c>
      <c r="B42" s="599">
        <v>1481</v>
      </c>
      <c r="C42" s="599">
        <v>1750</v>
      </c>
      <c r="D42" s="599">
        <v>447</v>
      </c>
      <c r="E42" s="597">
        <v>3231</v>
      </c>
      <c r="F42" s="599">
        <v>2914</v>
      </c>
      <c r="G42" s="599">
        <v>71</v>
      </c>
      <c r="H42" s="599">
        <v>10</v>
      </c>
      <c r="I42" s="597">
        <v>2985</v>
      </c>
      <c r="J42" s="597">
        <v>246</v>
      </c>
      <c r="K42" s="597">
        <v>-246</v>
      </c>
      <c r="L42" s="599">
        <v>7</v>
      </c>
      <c r="M42" s="597">
        <v>-210</v>
      </c>
      <c r="N42" s="599">
        <v>246</v>
      </c>
      <c r="O42" s="599">
        <v>456</v>
      </c>
      <c r="P42" s="599"/>
      <c r="Q42" s="599"/>
      <c r="R42" s="599">
        <v>-43</v>
      </c>
    </row>
    <row r="43" spans="1:18" ht="12" customHeight="1">
      <c r="A43" s="598" t="s">
        <v>804</v>
      </c>
      <c r="B43" s="599">
        <v>1901</v>
      </c>
      <c r="C43" s="599">
        <v>1684</v>
      </c>
      <c r="D43" s="599">
        <v>538</v>
      </c>
      <c r="E43" s="597">
        <v>3585</v>
      </c>
      <c r="F43" s="599">
        <v>3401</v>
      </c>
      <c r="G43" s="599">
        <v>69</v>
      </c>
      <c r="H43" s="599">
        <v>10</v>
      </c>
      <c r="I43" s="597">
        <v>3470</v>
      </c>
      <c r="J43" s="597">
        <v>115</v>
      </c>
      <c r="K43" s="597">
        <v>-115</v>
      </c>
      <c r="L43" s="599">
        <v>105</v>
      </c>
      <c r="M43" s="597">
        <v>-212</v>
      </c>
      <c r="N43" s="599">
        <v>207</v>
      </c>
      <c r="O43" s="599">
        <v>419</v>
      </c>
      <c r="P43" s="599"/>
      <c r="Q43" s="599">
        <v>-11</v>
      </c>
      <c r="R43" s="599">
        <v>3</v>
      </c>
    </row>
    <row r="44" spans="1:18" ht="12" customHeight="1">
      <c r="A44" s="598" t="s">
        <v>805</v>
      </c>
      <c r="B44" s="599">
        <v>2355</v>
      </c>
      <c r="C44" s="599">
        <v>2666</v>
      </c>
      <c r="D44" s="599">
        <v>632</v>
      </c>
      <c r="E44" s="597">
        <v>5021</v>
      </c>
      <c r="F44" s="599">
        <v>4306</v>
      </c>
      <c r="G44" s="599">
        <v>464</v>
      </c>
      <c r="H44" s="599">
        <v>10</v>
      </c>
      <c r="I44" s="597">
        <v>4770</v>
      </c>
      <c r="J44" s="597">
        <v>251</v>
      </c>
      <c r="K44" s="597">
        <v>-251</v>
      </c>
      <c r="L44" s="599">
        <v>-16</v>
      </c>
      <c r="M44" s="597">
        <v>-236</v>
      </c>
      <c r="N44" s="599">
        <v>364</v>
      </c>
      <c r="O44" s="599">
        <v>600</v>
      </c>
      <c r="P44" s="599">
        <v>-2</v>
      </c>
      <c r="Q44" s="599"/>
      <c r="R44" s="599">
        <v>3</v>
      </c>
    </row>
    <row r="45" spans="1:18" ht="12" customHeight="1">
      <c r="A45" s="598" t="s">
        <v>806</v>
      </c>
      <c r="B45" s="599">
        <v>1461</v>
      </c>
      <c r="C45" s="599">
        <v>1121</v>
      </c>
      <c r="D45" s="599">
        <v>322</v>
      </c>
      <c r="E45" s="597">
        <v>2582</v>
      </c>
      <c r="F45" s="599">
        <v>2076</v>
      </c>
      <c r="G45" s="599">
        <v>150</v>
      </c>
      <c r="H45" s="599">
        <v>29</v>
      </c>
      <c r="I45" s="597">
        <v>2226</v>
      </c>
      <c r="J45" s="597">
        <v>356</v>
      </c>
      <c r="K45" s="597">
        <v>-356</v>
      </c>
      <c r="L45" s="599">
        <v>-53</v>
      </c>
      <c r="M45" s="597">
        <v>-273</v>
      </c>
      <c r="N45" s="599">
        <v>75</v>
      </c>
      <c r="O45" s="599">
        <v>348</v>
      </c>
      <c r="P45" s="599">
        <v>-1</v>
      </c>
      <c r="Q45" s="599"/>
      <c r="R45" s="599">
        <v>-29</v>
      </c>
    </row>
    <row r="46" spans="1:18" ht="12" customHeight="1">
      <c r="A46" s="598" t="s">
        <v>807</v>
      </c>
      <c r="B46" s="599">
        <v>3936</v>
      </c>
      <c r="C46" s="599">
        <v>2323</v>
      </c>
      <c r="D46" s="599">
        <v>532</v>
      </c>
      <c r="E46" s="597">
        <v>6259</v>
      </c>
      <c r="F46" s="599">
        <v>5422</v>
      </c>
      <c r="G46" s="599">
        <v>376</v>
      </c>
      <c r="H46" s="599">
        <v>141</v>
      </c>
      <c r="I46" s="597">
        <v>5798</v>
      </c>
      <c r="J46" s="597">
        <v>461</v>
      </c>
      <c r="K46" s="597">
        <v>-461</v>
      </c>
      <c r="L46" s="599">
        <v>-146</v>
      </c>
      <c r="M46" s="597">
        <v>-366</v>
      </c>
      <c r="N46" s="599">
        <v>292</v>
      </c>
      <c r="O46" s="599">
        <v>658</v>
      </c>
      <c r="P46" s="599">
        <v>-26</v>
      </c>
      <c r="Q46" s="599">
        <v>-5</v>
      </c>
      <c r="R46" s="599">
        <v>82</v>
      </c>
    </row>
    <row r="47" spans="1:18" ht="12" customHeight="1">
      <c r="A47" s="598" t="s">
        <v>808</v>
      </c>
      <c r="B47" s="599">
        <v>660</v>
      </c>
      <c r="C47" s="599">
        <v>462</v>
      </c>
      <c r="D47" s="599">
        <v>78</v>
      </c>
      <c r="E47" s="601">
        <v>1122</v>
      </c>
      <c r="F47" s="599">
        <v>1055</v>
      </c>
      <c r="G47" s="599">
        <v>52</v>
      </c>
      <c r="H47" s="599">
        <v>12</v>
      </c>
      <c r="I47" s="597">
        <v>1107</v>
      </c>
      <c r="J47" s="597">
        <v>15</v>
      </c>
      <c r="K47" s="597">
        <v>-15</v>
      </c>
      <c r="L47" s="599">
        <v>1</v>
      </c>
      <c r="M47" s="597">
        <v>-38</v>
      </c>
      <c r="N47" s="599">
        <v>60</v>
      </c>
      <c r="O47" s="599">
        <v>98</v>
      </c>
      <c r="P47" s="599"/>
      <c r="Q47" s="599"/>
      <c r="R47" s="599">
        <v>22</v>
      </c>
    </row>
    <row r="48" spans="1:18" ht="12" customHeight="1">
      <c r="A48" s="596" t="s">
        <v>809</v>
      </c>
      <c r="B48" s="597">
        <v>48505</v>
      </c>
      <c r="C48" s="597">
        <v>45354</v>
      </c>
      <c r="D48" s="597">
        <v>13726</v>
      </c>
      <c r="E48" s="601">
        <v>93859</v>
      </c>
      <c r="F48" s="597">
        <v>84080</v>
      </c>
      <c r="G48" s="597">
        <v>5151</v>
      </c>
      <c r="H48" s="597">
        <v>1740</v>
      </c>
      <c r="I48" s="597">
        <v>89231</v>
      </c>
      <c r="J48" s="597">
        <v>4628</v>
      </c>
      <c r="K48" s="597">
        <v>-4628</v>
      </c>
      <c r="L48" s="597">
        <v>-446</v>
      </c>
      <c r="M48" s="597">
        <v>-4420</v>
      </c>
      <c r="N48" s="597">
        <v>5837</v>
      </c>
      <c r="O48" s="597">
        <v>10257</v>
      </c>
      <c r="P48" s="597">
        <v>-59</v>
      </c>
      <c r="Q48" s="597">
        <v>-26</v>
      </c>
      <c r="R48" s="597">
        <v>323</v>
      </c>
    </row>
    <row r="49" spans="1:18" ht="12" customHeight="1">
      <c r="A49" s="602" t="s">
        <v>810</v>
      </c>
      <c r="B49" s="597">
        <v>122593</v>
      </c>
      <c r="C49" s="597">
        <v>63735</v>
      </c>
      <c r="D49" s="597">
        <v>14317</v>
      </c>
      <c r="E49" s="597">
        <v>186328</v>
      </c>
      <c r="F49" s="597">
        <v>175068</v>
      </c>
      <c r="G49" s="597">
        <v>14676</v>
      </c>
      <c r="H49" s="597">
        <v>11202</v>
      </c>
      <c r="I49" s="597">
        <v>189744</v>
      </c>
      <c r="J49" s="597">
        <v>-3416</v>
      </c>
      <c r="K49" s="597">
        <v>3416</v>
      </c>
      <c r="L49" s="597">
        <v>-481</v>
      </c>
      <c r="M49" s="597">
        <v>-6722</v>
      </c>
      <c r="N49" s="597">
        <v>12128</v>
      </c>
      <c r="O49" s="597">
        <v>18850</v>
      </c>
      <c r="P49" s="597">
        <v>-80</v>
      </c>
      <c r="Q49" s="597">
        <v>11224</v>
      </c>
      <c r="R49" s="597">
        <v>-525</v>
      </c>
    </row>
    <row r="50" ht="12" customHeight="1"/>
    <row r="51" spans="1:9" s="503" customFormat="1" ht="17.25" customHeight="1">
      <c r="A51" s="603" t="s">
        <v>811</v>
      </c>
      <c r="I51" s="503" t="s">
        <v>812</v>
      </c>
    </row>
    <row r="52" s="503" customFormat="1" ht="17.25" customHeight="1">
      <c r="A52" s="603"/>
    </row>
    <row r="54" spans="1:10" ht="17.25" customHeight="1">
      <c r="A54" s="144" t="s">
        <v>17</v>
      </c>
      <c r="B54" s="6"/>
      <c r="C54" s="6"/>
      <c r="D54" s="5"/>
      <c r="E54" s="604"/>
      <c r="F54" s="5"/>
      <c r="G54" s="6"/>
      <c r="H54" s="5"/>
      <c r="J54" s="49" t="s">
        <v>215</v>
      </c>
    </row>
    <row r="55" ht="17.25" customHeight="1">
      <c r="A55" s="270"/>
    </row>
    <row r="58" spans="1:5" ht="17.25" customHeight="1">
      <c r="A58" s="793" t="s">
        <v>813</v>
      </c>
      <c r="B58" s="793"/>
      <c r="C58" s="793"/>
      <c r="D58" s="793"/>
      <c r="E58" s="793"/>
    </row>
    <row r="59" spans="1:3" ht="17.25" customHeight="1">
      <c r="A59" s="794" t="s">
        <v>19</v>
      </c>
      <c r="B59" s="794"/>
      <c r="C59" s="794"/>
    </row>
    <row r="68" s="38" customFormat="1" ht="17.25" customHeight="1">
      <c r="A68" s="270"/>
    </row>
  </sheetData>
  <mergeCells count="16">
    <mergeCell ref="A58:E58"/>
    <mergeCell ref="A59:C59"/>
    <mergeCell ref="F9:F10"/>
    <mergeCell ref="G9:G10"/>
    <mergeCell ref="D9:D10"/>
    <mergeCell ref="E9:E10"/>
    <mergeCell ref="H9:H10"/>
    <mergeCell ref="I9:I10"/>
    <mergeCell ref="A4:R4"/>
    <mergeCell ref="A5:R5"/>
    <mergeCell ref="A8:A10"/>
    <mergeCell ref="J8:J10"/>
    <mergeCell ref="K8:K10"/>
    <mergeCell ref="R8:R10"/>
    <mergeCell ref="B9:B10"/>
    <mergeCell ref="C9:C10"/>
  </mergeCells>
  <printOptions/>
  <pageMargins left="0.25" right="0.25" top="1" bottom="1" header="0.5" footer="0.5"/>
  <pageSetup firstPageNumber="38" useFirstPageNumber="1" horizontalDpi="600" verticalDpi="600" orientation="landscape" paperSize="9" scale="96" r:id="rId1"/>
  <headerFooter alignWithMargins="0">
    <oddFooter>&amp;R&amp;9&amp;P</oddFooter>
  </headerFooter>
  <rowBreaks count="1" manualBreakCount="1">
    <brk id="32" max="17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S67"/>
  <sheetViews>
    <sheetView workbookViewId="0" topLeftCell="A24">
      <selection activeCell="K24" sqref="K24"/>
    </sheetView>
  </sheetViews>
  <sheetFormatPr defaultColWidth="9.140625" defaultRowHeight="17.25" customHeight="1"/>
  <cols>
    <col min="1" max="1" width="16.00390625" style="517" customWidth="1"/>
    <col min="2" max="2" width="7.00390625" style="38" customWidth="1"/>
    <col min="3" max="3" width="6.28125" style="38" customWidth="1"/>
    <col min="4" max="4" width="5.8515625" style="38" customWidth="1"/>
    <col min="5" max="5" width="5.8515625" style="38" hidden="1" customWidth="1"/>
    <col min="6" max="6" width="6.00390625" style="38" customWidth="1"/>
    <col min="7" max="7" width="9.140625" style="38" customWidth="1"/>
    <col min="8" max="8" width="9.7109375" style="38" customWidth="1"/>
    <col min="9" max="9" width="10.7109375" style="38" customWidth="1"/>
    <col min="10" max="10" width="6.57421875" style="38" customWidth="1"/>
    <col min="11" max="11" width="7.00390625" style="38" hidden="1" customWidth="1"/>
    <col min="12" max="12" width="8.421875" style="38" customWidth="1"/>
    <col min="13" max="13" width="7.57421875" style="38" customWidth="1"/>
    <col min="14" max="14" width="10.421875" style="38" customWidth="1"/>
    <col min="15" max="15" width="7.57421875" style="38" customWidth="1"/>
    <col min="16" max="16" width="7.421875" style="38" customWidth="1"/>
    <col min="17" max="17" width="9.421875" style="38" customWidth="1"/>
    <col min="18" max="18" width="6.140625" style="38" customWidth="1"/>
  </cols>
  <sheetData>
    <row r="1" spans="1:17" ht="17.25" customHeight="1">
      <c r="A1" s="38"/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270" t="s">
        <v>814</v>
      </c>
    </row>
    <row r="2" spans="1:18" ht="17.25" customHeight="1">
      <c r="A2" s="51" t="s">
        <v>815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270"/>
    </row>
    <row r="3" spans="1:18" ht="17.25" customHeight="1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270"/>
    </row>
    <row r="4" spans="1:18" ht="16.5" customHeight="1">
      <c r="A4" s="605" t="s">
        <v>816</v>
      </c>
      <c r="B4" s="584"/>
      <c r="C4" s="584"/>
      <c r="D4" s="584"/>
      <c r="E4" s="584"/>
      <c r="F4" s="584"/>
      <c r="G4" s="584"/>
      <c r="H4" s="89"/>
      <c r="I4" s="89"/>
      <c r="J4" s="584"/>
      <c r="K4" s="584"/>
      <c r="L4" s="584"/>
      <c r="M4" s="584"/>
      <c r="N4" s="584"/>
      <c r="O4" s="584"/>
      <c r="P4" s="584"/>
      <c r="Q4" s="584"/>
      <c r="R4" s="584"/>
    </row>
    <row r="5" spans="1:19" ht="15" customHeight="1">
      <c r="A5" s="788" t="s">
        <v>31</v>
      </c>
      <c r="B5" s="788"/>
      <c r="C5" s="788"/>
      <c r="D5" s="788"/>
      <c r="E5" s="788"/>
      <c r="F5" s="788"/>
      <c r="G5" s="788"/>
      <c r="H5" s="788"/>
      <c r="I5" s="788"/>
      <c r="J5" s="788"/>
      <c r="K5" s="788"/>
      <c r="L5" s="788"/>
      <c r="M5" s="788"/>
      <c r="N5" s="788"/>
      <c r="O5" s="788"/>
      <c r="P5" s="788"/>
      <c r="Q5" s="788"/>
      <c r="R5" s="788"/>
      <c r="S5" s="788"/>
    </row>
    <row r="6" spans="1:18" ht="12.75" customHeight="1">
      <c r="A6" s="586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R6" s="2" t="s">
        <v>360</v>
      </c>
    </row>
    <row r="7" spans="1:18" ht="17.25" customHeight="1">
      <c r="A7" s="796" t="s">
        <v>817</v>
      </c>
      <c r="B7" s="796" t="s">
        <v>227</v>
      </c>
      <c r="C7" s="795" t="s">
        <v>764</v>
      </c>
      <c r="D7" s="795"/>
      <c r="E7" s="795"/>
      <c r="F7" s="795"/>
      <c r="G7" s="795" t="s">
        <v>818</v>
      </c>
      <c r="H7" s="795" t="s">
        <v>819</v>
      </c>
      <c r="I7" s="796" t="s">
        <v>820</v>
      </c>
      <c r="J7" s="796" t="s">
        <v>821</v>
      </c>
      <c r="K7" s="606"/>
      <c r="L7" s="588" t="s">
        <v>822</v>
      </c>
      <c r="M7" s="587"/>
      <c r="N7" s="587"/>
      <c r="O7" s="589"/>
      <c r="P7" s="587"/>
      <c r="Q7" s="587"/>
      <c r="R7" s="796" t="s">
        <v>823</v>
      </c>
    </row>
    <row r="8" spans="1:18" ht="17.25" customHeight="1">
      <c r="A8" s="797"/>
      <c r="B8" s="797"/>
      <c r="C8" s="804"/>
      <c r="D8" s="804"/>
      <c r="E8" s="804"/>
      <c r="F8" s="804"/>
      <c r="G8" s="795"/>
      <c r="H8" s="795"/>
      <c r="I8" s="797"/>
      <c r="J8" s="797"/>
      <c r="K8" s="607"/>
      <c r="L8" s="801" t="s">
        <v>768</v>
      </c>
      <c r="M8" s="802"/>
      <c r="N8" s="802"/>
      <c r="O8" s="802"/>
      <c r="P8" s="802"/>
      <c r="Q8" s="803"/>
      <c r="R8" s="799"/>
    </row>
    <row r="9" spans="1:18" ht="45">
      <c r="A9" s="798"/>
      <c r="B9" s="798"/>
      <c r="C9" s="9" t="s">
        <v>824</v>
      </c>
      <c r="D9" s="8" t="s">
        <v>825</v>
      </c>
      <c r="E9" s="9" t="s">
        <v>826</v>
      </c>
      <c r="F9" s="8" t="s">
        <v>827</v>
      </c>
      <c r="G9" s="795"/>
      <c r="H9" s="795"/>
      <c r="I9" s="798"/>
      <c r="J9" s="798"/>
      <c r="K9" s="608"/>
      <c r="L9" s="609" t="s">
        <v>71</v>
      </c>
      <c r="M9" s="609" t="s">
        <v>828</v>
      </c>
      <c r="N9" s="609" t="s">
        <v>770</v>
      </c>
      <c r="O9" s="609" t="s">
        <v>771</v>
      </c>
      <c r="P9" s="9" t="s">
        <v>829</v>
      </c>
      <c r="Q9" s="9" t="s">
        <v>83</v>
      </c>
      <c r="R9" s="800"/>
    </row>
    <row r="10" spans="1:18" ht="12.75">
      <c r="A10" s="9">
        <v>1</v>
      </c>
      <c r="B10" s="8">
        <v>2</v>
      </c>
      <c r="C10" s="8">
        <v>3</v>
      </c>
      <c r="D10" s="8">
        <v>4</v>
      </c>
      <c r="E10" s="8">
        <v>5</v>
      </c>
      <c r="F10" s="8">
        <v>5</v>
      </c>
      <c r="G10" s="8">
        <v>6</v>
      </c>
      <c r="H10" s="8">
        <v>7</v>
      </c>
      <c r="I10" s="8">
        <v>8</v>
      </c>
      <c r="J10" s="8">
        <v>9</v>
      </c>
      <c r="K10" s="8">
        <v>10</v>
      </c>
      <c r="L10" s="8">
        <v>10</v>
      </c>
      <c r="M10" s="8">
        <v>11</v>
      </c>
      <c r="N10" s="8">
        <v>12</v>
      </c>
      <c r="O10" s="8">
        <v>13</v>
      </c>
      <c r="P10" s="8">
        <v>14</v>
      </c>
      <c r="Q10" s="8">
        <v>15</v>
      </c>
      <c r="R10" s="8">
        <v>16</v>
      </c>
    </row>
    <row r="11" spans="1:18" ht="12" customHeight="1">
      <c r="A11" s="610" t="s">
        <v>774</v>
      </c>
      <c r="B11" s="597">
        <v>5135</v>
      </c>
      <c r="C11" s="65">
        <v>2538</v>
      </c>
      <c r="D11" s="65">
        <v>859</v>
      </c>
      <c r="E11" s="65"/>
      <c r="F11" s="597">
        <v>3397</v>
      </c>
      <c r="G11" s="597">
        <v>1738</v>
      </c>
      <c r="H11" s="597"/>
      <c r="I11" s="597">
        <v>1738</v>
      </c>
      <c r="J11" s="597">
        <v>-1738</v>
      </c>
      <c r="K11" s="597">
        <v>-1738</v>
      </c>
      <c r="L11" s="597"/>
      <c r="M11" s="597">
        <v>-1738</v>
      </c>
      <c r="N11" s="597">
        <v>10514</v>
      </c>
      <c r="O11" s="597">
        <v>12252</v>
      </c>
      <c r="P11" s="597"/>
      <c r="Q11" s="597"/>
      <c r="R11" s="597"/>
    </row>
    <row r="12" spans="1:18" ht="12" customHeight="1">
      <c r="A12" s="610" t="s">
        <v>775</v>
      </c>
      <c r="B12" s="597">
        <v>415</v>
      </c>
      <c r="C12" s="65">
        <v>189</v>
      </c>
      <c r="D12" s="65">
        <v>194</v>
      </c>
      <c r="E12" s="65"/>
      <c r="F12" s="597">
        <v>383</v>
      </c>
      <c r="G12" s="597">
        <v>32</v>
      </c>
      <c r="H12" s="597">
        <v>4</v>
      </c>
      <c r="I12" s="597">
        <v>28</v>
      </c>
      <c r="J12" s="597">
        <v>-28</v>
      </c>
      <c r="K12" s="597">
        <v>-28</v>
      </c>
      <c r="L12" s="597"/>
      <c r="M12" s="597">
        <v>-28</v>
      </c>
      <c r="N12" s="597">
        <v>98</v>
      </c>
      <c r="O12" s="597">
        <v>126</v>
      </c>
      <c r="P12" s="597"/>
      <c r="Q12" s="597"/>
      <c r="R12" s="597"/>
    </row>
    <row r="13" spans="1:18" ht="12" customHeight="1">
      <c r="A13" s="610" t="s">
        <v>776</v>
      </c>
      <c r="B13" s="597">
        <v>284</v>
      </c>
      <c r="C13" s="65">
        <v>242</v>
      </c>
      <c r="D13" s="65">
        <v>48</v>
      </c>
      <c r="E13" s="65"/>
      <c r="F13" s="597">
        <v>290</v>
      </c>
      <c r="G13" s="597">
        <v>-6</v>
      </c>
      <c r="H13" s="597">
        <v>78</v>
      </c>
      <c r="I13" s="597">
        <v>-84</v>
      </c>
      <c r="J13" s="597">
        <v>84</v>
      </c>
      <c r="K13" s="597">
        <v>84</v>
      </c>
      <c r="L13" s="597"/>
      <c r="M13" s="597">
        <v>84</v>
      </c>
      <c r="N13" s="597">
        <v>165</v>
      </c>
      <c r="O13" s="597">
        <v>81</v>
      </c>
      <c r="P13" s="597"/>
      <c r="Q13" s="597"/>
      <c r="R13" s="597"/>
    </row>
    <row r="14" spans="1:18" ht="12" customHeight="1">
      <c r="A14" s="610" t="s">
        <v>777</v>
      </c>
      <c r="B14" s="597">
        <v>713</v>
      </c>
      <c r="C14" s="65">
        <v>415</v>
      </c>
      <c r="D14" s="65">
        <v>227</v>
      </c>
      <c r="E14" s="65"/>
      <c r="F14" s="597">
        <v>642</v>
      </c>
      <c r="G14" s="597">
        <v>71</v>
      </c>
      <c r="H14" s="597"/>
      <c r="I14" s="597">
        <v>71</v>
      </c>
      <c r="J14" s="597">
        <v>-71</v>
      </c>
      <c r="K14" s="597">
        <v>-71</v>
      </c>
      <c r="L14" s="597"/>
      <c r="M14" s="597">
        <v>-71</v>
      </c>
      <c r="N14" s="597">
        <v>74</v>
      </c>
      <c r="O14" s="597">
        <v>145</v>
      </c>
      <c r="P14" s="597"/>
      <c r="Q14" s="597"/>
      <c r="R14" s="597"/>
    </row>
    <row r="15" spans="1:18" ht="12" customHeight="1">
      <c r="A15" s="610" t="s">
        <v>778</v>
      </c>
      <c r="B15" s="597">
        <v>445</v>
      </c>
      <c r="C15" s="65">
        <v>160</v>
      </c>
      <c r="D15" s="65">
        <v>220</v>
      </c>
      <c r="E15" s="65"/>
      <c r="F15" s="597">
        <v>380</v>
      </c>
      <c r="G15" s="597">
        <v>65</v>
      </c>
      <c r="H15" s="597">
        <v>48</v>
      </c>
      <c r="I15" s="597">
        <v>17</v>
      </c>
      <c r="J15" s="597">
        <v>-17</v>
      </c>
      <c r="K15" s="597">
        <v>-17</v>
      </c>
      <c r="L15" s="597"/>
      <c r="M15" s="597">
        <v>-17</v>
      </c>
      <c r="N15" s="597">
        <v>646</v>
      </c>
      <c r="O15" s="597">
        <v>663</v>
      </c>
      <c r="P15" s="597"/>
      <c r="Q15" s="597"/>
      <c r="R15" s="597"/>
    </row>
    <row r="16" spans="1:18" ht="12" customHeight="1">
      <c r="A16" s="610" t="s">
        <v>779</v>
      </c>
      <c r="B16" s="597">
        <v>133</v>
      </c>
      <c r="C16" s="65">
        <v>106</v>
      </c>
      <c r="D16" s="65">
        <v>24</v>
      </c>
      <c r="E16" s="65"/>
      <c r="F16" s="597">
        <v>130</v>
      </c>
      <c r="G16" s="597">
        <v>3</v>
      </c>
      <c r="H16" s="597"/>
      <c r="I16" s="597">
        <v>3</v>
      </c>
      <c r="J16" s="597">
        <v>-3</v>
      </c>
      <c r="K16" s="597">
        <v>-3</v>
      </c>
      <c r="L16" s="597"/>
      <c r="M16" s="597">
        <v>-3</v>
      </c>
      <c r="N16" s="597">
        <v>73</v>
      </c>
      <c r="O16" s="597">
        <v>76</v>
      </c>
      <c r="P16" s="597"/>
      <c r="Q16" s="597"/>
      <c r="R16" s="597"/>
    </row>
    <row r="17" spans="1:18" ht="12" customHeight="1">
      <c r="A17" s="611" t="s">
        <v>780</v>
      </c>
      <c r="B17" s="597">
        <v>1045</v>
      </c>
      <c r="C17" s="65">
        <v>233</v>
      </c>
      <c r="D17" s="65">
        <v>656</v>
      </c>
      <c r="E17" s="65"/>
      <c r="F17" s="597">
        <v>889</v>
      </c>
      <c r="G17" s="597">
        <v>156</v>
      </c>
      <c r="H17" s="597">
        <v>-1090</v>
      </c>
      <c r="I17" s="597">
        <v>1246</v>
      </c>
      <c r="J17" s="597">
        <v>-1246</v>
      </c>
      <c r="K17" s="597">
        <v>-1246</v>
      </c>
      <c r="L17" s="597"/>
      <c r="M17" s="597">
        <v>-1246</v>
      </c>
      <c r="N17" s="597">
        <v>1125</v>
      </c>
      <c r="O17" s="597">
        <v>2371</v>
      </c>
      <c r="P17" s="597"/>
      <c r="Q17" s="597"/>
      <c r="R17" s="597"/>
    </row>
    <row r="18" spans="1:18" ht="12" customHeight="1">
      <c r="A18" s="612" t="s">
        <v>781</v>
      </c>
      <c r="B18" s="597">
        <v>8170</v>
      </c>
      <c r="C18" s="597">
        <v>3883</v>
      </c>
      <c r="D18" s="597">
        <v>2228</v>
      </c>
      <c r="E18" s="597">
        <v>0</v>
      </c>
      <c r="F18" s="597">
        <v>6111</v>
      </c>
      <c r="G18" s="597">
        <v>2059</v>
      </c>
      <c r="H18" s="597">
        <v>-960</v>
      </c>
      <c r="I18" s="597">
        <v>3019</v>
      </c>
      <c r="J18" s="597">
        <v>-3019</v>
      </c>
      <c r="K18" s="597">
        <v>-3019</v>
      </c>
      <c r="L18" s="597">
        <v>0</v>
      </c>
      <c r="M18" s="597">
        <v>-3019</v>
      </c>
      <c r="N18" s="597">
        <v>12695</v>
      </c>
      <c r="O18" s="597">
        <v>15714</v>
      </c>
      <c r="P18" s="597">
        <v>0</v>
      </c>
      <c r="Q18" s="597">
        <v>0</v>
      </c>
      <c r="R18" s="597">
        <v>0</v>
      </c>
    </row>
    <row r="19" spans="1:18" ht="23.25" customHeight="1">
      <c r="A19" s="613" t="s">
        <v>783</v>
      </c>
      <c r="B19" s="597">
        <v>180</v>
      </c>
      <c r="C19" s="65">
        <v>166</v>
      </c>
      <c r="D19" s="65">
        <v>9</v>
      </c>
      <c r="E19" s="65"/>
      <c r="F19" s="597">
        <v>175</v>
      </c>
      <c r="G19" s="597">
        <v>5</v>
      </c>
      <c r="H19" s="597">
        <v>1</v>
      </c>
      <c r="I19" s="597">
        <v>4</v>
      </c>
      <c r="J19" s="597">
        <v>-4</v>
      </c>
      <c r="K19" s="597">
        <v>-4</v>
      </c>
      <c r="L19" s="597">
        <v>-1</v>
      </c>
      <c r="M19" s="597">
        <v>-3</v>
      </c>
      <c r="N19" s="597">
        <v>134</v>
      </c>
      <c r="O19" s="597">
        <v>137</v>
      </c>
      <c r="P19" s="597"/>
      <c r="Q19" s="597"/>
      <c r="R19" s="597"/>
    </row>
    <row r="20" spans="1:18" ht="12" customHeight="1">
      <c r="A20" s="610" t="s">
        <v>784</v>
      </c>
      <c r="B20" s="597">
        <v>155</v>
      </c>
      <c r="C20" s="65">
        <v>142</v>
      </c>
      <c r="D20" s="65">
        <v>1</v>
      </c>
      <c r="E20" s="65"/>
      <c r="F20" s="597">
        <v>143</v>
      </c>
      <c r="G20" s="597">
        <v>12</v>
      </c>
      <c r="H20" s="597">
        <v>-5</v>
      </c>
      <c r="I20" s="597">
        <v>17</v>
      </c>
      <c r="J20" s="597">
        <v>-17</v>
      </c>
      <c r="K20" s="597">
        <v>-17</v>
      </c>
      <c r="L20" s="597">
        <v>-5</v>
      </c>
      <c r="M20" s="597">
        <v>-10</v>
      </c>
      <c r="N20" s="597">
        <v>121</v>
      </c>
      <c r="O20" s="597">
        <v>131</v>
      </c>
      <c r="P20" s="597"/>
      <c r="Q20" s="597">
        <v>-2</v>
      </c>
      <c r="R20" s="597"/>
    </row>
    <row r="21" spans="1:18" ht="12" customHeight="1">
      <c r="A21" s="610" t="s">
        <v>785</v>
      </c>
      <c r="B21" s="597">
        <v>176</v>
      </c>
      <c r="C21" s="65">
        <v>159</v>
      </c>
      <c r="D21" s="65">
        <v>1</v>
      </c>
      <c r="E21" s="65"/>
      <c r="F21" s="597">
        <v>160</v>
      </c>
      <c r="G21" s="597">
        <v>16</v>
      </c>
      <c r="H21" s="597">
        <v>5</v>
      </c>
      <c r="I21" s="597">
        <v>11</v>
      </c>
      <c r="J21" s="597">
        <v>-11</v>
      </c>
      <c r="K21" s="597">
        <v>-11</v>
      </c>
      <c r="L21" s="597"/>
      <c r="M21" s="597">
        <v>-11</v>
      </c>
      <c r="N21" s="597">
        <v>86</v>
      </c>
      <c r="O21" s="597">
        <v>97</v>
      </c>
      <c r="P21" s="597"/>
      <c r="Q21" s="597"/>
      <c r="R21" s="597"/>
    </row>
    <row r="22" spans="1:18" ht="12" customHeight="1">
      <c r="A22" s="610" t="s">
        <v>786</v>
      </c>
      <c r="B22" s="597">
        <v>235</v>
      </c>
      <c r="C22" s="65">
        <v>207</v>
      </c>
      <c r="D22" s="65">
        <v>10</v>
      </c>
      <c r="E22" s="65"/>
      <c r="F22" s="597">
        <v>217</v>
      </c>
      <c r="G22" s="597">
        <v>18</v>
      </c>
      <c r="H22" s="597">
        <v>-5</v>
      </c>
      <c r="I22" s="597">
        <v>23</v>
      </c>
      <c r="J22" s="597">
        <v>-23</v>
      </c>
      <c r="K22" s="597">
        <v>-23</v>
      </c>
      <c r="L22" s="597"/>
      <c r="M22" s="597">
        <v>-23</v>
      </c>
      <c r="N22" s="597">
        <v>174</v>
      </c>
      <c r="O22" s="597">
        <v>197</v>
      </c>
      <c r="P22" s="597"/>
      <c r="Q22" s="597"/>
      <c r="R22" s="597"/>
    </row>
    <row r="23" spans="1:18" ht="12" customHeight="1">
      <c r="A23" s="610" t="s">
        <v>787</v>
      </c>
      <c r="B23" s="597">
        <v>417</v>
      </c>
      <c r="C23" s="65">
        <v>363</v>
      </c>
      <c r="D23" s="65">
        <v>51</v>
      </c>
      <c r="E23" s="65"/>
      <c r="F23" s="597">
        <v>414</v>
      </c>
      <c r="G23" s="597">
        <v>3</v>
      </c>
      <c r="H23" s="597">
        <v>-2</v>
      </c>
      <c r="I23" s="597">
        <v>5</v>
      </c>
      <c r="J23" s="597">
        <v>-5</v>
      </c>
      <c r="K23" s="597">
        <v>-5</v>
      </c>
      <c r="L23" s="597"/>
      <c r="M23" s="597">
        <v>-5</v>
      </c>
      <c r="N23" s="597">
        <v>144</v>
      </c>
      <c r="O23" s="597">
        <v>149</v>
      </c>
      <c r="P23" s="597"/>
      <c r="Q23" s="597"/>
      <c r="R23" s="597"/>
    </row>
    <row r="24" spans="1:18" ht="22.5">
      <c r="A24" s="610" t="s">
        <v>788</v>
      </c>
      <c r="B24" s="597">
        <v>278</v>
      </c>
      <c r="C24" s="65">
        <v>214</v>
      </c>
      <c r="D24" s="65">
        <v>73</v>
      </c>
      <c r="E24" s="65"/>
      <c r="F24" s="597">
        <v>287</v>
      </c>
      <c r="G24" s="597">
        <v>-9</v>
      </c>
      <c r="H24" s="597"/>
      <c r="I24" s="597">
        <v>-9</v>
      </c>
      <c r="J24" s="597">
        <v>9</v>
      </c>
      <c r="K24" s="597">
        <v>9</v>
      </c>
      <c r="L24" s="597"/>
      <c r="M24" s="597">
        <v>9</v>
      </c>
      <c r="N24" s="597">
        <v>99</v>
      </c>
      <c r="O24" s="597">
        <v>90</v>
      </c>
      <c r="P24" s="597"/>
      <c r="Q24" s="597"/>
      <c r="R24" s="597"/>
    </row>
    <row r="25" spans="1:18" ht="12" customHeight="1">
      <c r="A25" s="610" t="s">
        <v>789</v>
      </c>
      <c r="B25" s="597">
        <v>155</v>
      </c>
      <c r="C25" s="65">
        <v>115</v>
      </c>
      <c r="D25" s="65">
        <v>113</v>
      </c>
      <c r="E25" s="65"/>
      <c r="F25" s="597">
        <v>228</v>
      </c>
      <c r="G25" s="597">
        <v>-73</v>
      </c>
      <c r="H25" s="597">
        <v>2</v>
      </c>
      <c r="I25" s="597">
        <v>-75</v>
      </c>
      <c r="J25" s="597">
        <v>75</v>
      </c>
      <c r="K25" s="597">
        <v>75</v>
      </c>
      <c r="L25" s="597"/>
      <c r="M25" s="597">
        <v>75</v>
      </c>
      <c r="N25" s="597">
        <v>227</v>
      </c>
      <c r="O25" s="597">
        <v>152</v>
      </c>
      <c r="P25" s="597"/>
      <c r="Q25" s="597"/>
      <c r="R25" s="597"/>
    </row>
    <row r="26" spans="1:18" ht="12" customHeight="1">
      <c r="A26" s="610" t="s">
        <v>790</v>
      </c>
      <c r="B26" s="597">
        <v>153</v>
      </c>
      <c r="C26" s="65">
        <v>189</v>
      </c>
      <c r="D26" s="65">
        <v>9</v>
      </c>
      <c r="E26" s="65"/>
      <c r="F26" s="597">
        <v>198</v>
      </c>
      <c r="G26" s="597">
        <v>-45</v>
      </c>
      <c r="H26" s="597">
        <v>-4</v>
      </c>
      <c r="I26" s="597">
        <v>-41</v>
      </c>
      <c r="J26" s="597">
        <v>41</v>
      </c>
      <c r="K26" s="597">
        <v>41</v>
      </c>
      <c r="L26" s="597">
        <v>-1</v>
      </c>
      <c r="M26" s="597">
        <v>42</v>
      </c>
      <c r="N26" s="597">
        <v>135</v>
      </c>
      <c r="O26" s="597">
        <v>93</v>
      </c>
      <c r="P26" s="597"/>
      <c r="Q26" s="597"/>
      <c r="R26" s="597"/>
    </row>
    <row r="27" spans="1:18" ht="12" customHeight="1">
      <c r="A27" s="610" t="s">
        <v>791</v>
      </c>
      <c r="B27" s="597">
        <v>180</v>
      </c>
      <c r="C27" s="65">
        <v>144</v>
      </c>
      <c r="D27" s="65">
        <v>1</v>
      </c>
      <c r="E27" s="65"/>
      <c r="F27" s="597">
        <v>145</v>
      </c>
      <c r="G27" s="597">
        <v>35</v>
      </c>
      <c r="H27" s="597">
        <v>-8</v>
      </c>
      <c r="I27" s="597">
        <v>43</v>
      </c>
      <c r="J27" s="597">
        <v>-43</v>
      </c>
      <c r="K27" s="597">
        <v>-43</v>
      </c>
      <c r="L27" s="597"/>
      <c r="M27" s="597">
        <v>-26</v>
      </c>
      <c r="N27" s="597">
        <v>112</v>
      </c>
      <c r="O27" s="597">
        <v>138</v>
      </c>
      <c r="P27" s="597">
        <v>-17</v>
      </c>
      <c r="Q27" s="597"/>
      <c r="R27" s="597"/>
    </row>
    <row r="28" spans="1:18" ht="12" customHeight="1">
      <c r="A28" s="610" t="s">
        <v>792</v>
      </c>
      <c r="B28" s="597">
        <v>289</v>
      </c>
      <c r="C28" s="65">
        <v>197</v>
      </c>
      <c r="D28" s="65">
        <v>47</v>
      </c>
      <c r="E28" s="65"/>
      <c r="F28" s="597">
        <v>244</v>
      </c>
      <c r="G28" s="597">
        <v>45</v>
      </c>
      <c r="H28" s="597">
        <v>-17</v>
      </c>
      <c r="I28" s="597">
        <v>62</v>
      </c>
      <c r="J28" s="597">
        <v>-62</v>
      </c>
      <c r="K28" s="597">
        <v>-62</v>
      </c>
      <c r="L28" s="597"/>
      <c r="M28" s="597">
        <v>-55</v>
      </c>
      <c r="N28" s="597">
        <v>112</v>
      </c>
      <c r="O28" s="597">
        <v>167</v>
      </c>
      <c r="P28" s="597">
        <v>-7</v>
      </c>
      <c r="Q28" s="597"/>
      <c r="R28" s="597"/>
    </row>
    <row r="29" spans="1:18" ht="22.5">
      <c r="A29" s="610" t="s">
        <v>793</v>
      </c>
      <c r="B29" s="597">
        <v>242</v>
      </c>
      <c r="C29" s="65">
        <v>246</v>
      </c>
      <c r="D29" s="65">
        <v>2</v>
      </c>
      <c r="E29" s="65"/>
      <c r="F29" s="597">
        <v>248</v>
      </c>
      <c r="G29" s="597">
        <v>-6</v>
      </c>
      <c r="H29" s="597">
        <v>1</v>
      </c>
      <c r="I29" s="597">
        <v>-7</v>
      </c>
      <c r="J29" s="597">
        <v>7</v>
      </c>
      <c r="K29" s="597">
        <v>7</v>
      </c>
      <c r="L29" s="597">
        <v>-2</v>
      </c>
      <c r="M29" s="597">
        <v>9</v>
      </c>
      <c r="N29" s="597">
        <v>134</v>
      </c>
      <c r="O29" s="597">
        <v>125</v>
      </c>
      <c r="P29" s="597"/>
      <c r="Q29" s="597"/>
      <c r="R29" s="597"/>
    </row>
    <row r="30" spans="1:18" ht="12" customHeight="1">
      <c r="A30" s="610" t="s">
        <v>794</v>
      </c>
      <c r="B30" s="597">
        <v>242</v>
      </c>
      <c r="C30" s="65">
        <v>247</v>
      </c>
      <c r="D30" s="65">
        <v>72</v>
      </c>
      <c r="E30" s="65"/>
      <c r="F30" s="597">
        <v>319</v>
      </c>
      <c r="G30" s="597">
        <v>-77</v>
      </c>
      <c r="H30" s="597">
        <v>24</v>
      </c>
      <c r="I30" s="597">
        <v>-101</v>
      </c>
      <c r="J30" s="597">
        <v>101</v>
      </c>
      <c r="K30" s="597">
        <v>101</v>
      </c>
      <c r="L30" s="597">
        <v>-19</v>
      </c>
      <c r="M30" s="597">
        <v>120</v>
      </c>
      <c r="N30" s="597">
        <v>287</v>
      </c>
      <c r="O30" s="597">
        <v>167</v>
      </c>
      <c r="P30" s="597"/>
      <c r="Q30" s="597"/>
      <c r="R30" s="597"/>
    </row>
    <row r="31" spans="1:18" ht="12" customHeight="1">
      <c r="A31" s="610" t="s">
        <v>795</v>
      </c>
      <c r="B31" s="597">
        <v>298</v>
      </c>
      <c r="C31" s="65">
        <v>264</v>
      </c>
      <c r="D31" s="65">
        <v>28</v>
      </c>
      <c r="E31" s="65"/>
      <c r="F31" s="597">
        <v>292</v>
      </c>
      <c r="G31" s="597">
        <v>6</v>
      </c>
      <c r="H31" s="597">
        <v>20</v>
      </c>
      <c r="I31" s="597">
        <v>-14</v>
      </c>
      <c r="J31" s="597">
        <v>14</v>
      </c>
      <c r="K31" s="597">
        <v>14</v>
      </c>
      <c r="L31" s="597">
        <v>2</v>
      </c>
      <c r="M31" s="597">
        <v>12</v>
      </c>
      <c r="N31" s="597">
        <v>228</v>
      </c>
      <c r="O31" s="597">
        <v>216</v>
      </c>
      <c r="P31" s="597"/>
      <c r="Q31" s="597"/>
      <c r="R31" s="597"/>
    </row>
    <row r="32" spans="1:18" ht="12" customHeight="1">
      <c r="A32" s="610" t="s">
        <v>796</v>
      </c>
      <c r="B32" s="597">
        <v>356</v>
      </c>
      <c r="C32" s="65">
        <v>299</v>
      </c>
      <c r="D32" s="65">
        <v>18</v>
      </c>
      <c r="E32" s="65"/>
      <c r="F32" s="597">
        <v>317</v>
      </c>
      <c r="G32" s="597">
        <v>39</v>
      </c>
      <c r="H32" s="597">
        <v>12</v>
      </c>
      <c r="I32" s="597">
        <v>27</v>
      </c>
      <c r="J32" s="597">
        <v>-27</v>
      </c>
      <c r="K32" s="597">
        <v>-27</v>
      </c>
      <c r="L32" s="597"/>
      <c r="M32" s="597">
        <v>-27</v>
      </c>
      <c r="N32" s="597">
        <v>145</v>
      </c>
      <c r="O32" s="597">
        <v>172</v>
      </c>
      <c r="P32" s="597"/>
      <c r="Q32" s="597"/>
      <c r="R32" s="597"/>
    </row>
    <row r="33" spans="1:18" ht="12" customHeight="1">
      <c r="A33" s="610" t="s">
        <v>797</v>
      </c>
      <c r="B33" s="597">
        <v>228</v>
      </c>
      <c r="C33" s="65">
        <v>188</v>
      </c>
      <c r="D33" s="65">
        <v>4</v>
      </c>
      <c r="E33" s="65"/>
      <c r="F33" s="597">
        <v>192</v>
      </c>
      <c r="G33" s="597">
        <v>36</v>
      </c>
      <c r="H33" s="597">
        <v>3</v>
      </c>
      <c r="I33" s="597">
        <v>33</v>
      </c>
      <c r="J33" s="597">
        <v>-33</v>
      </c>
      <c r="K33" s="597">
        <v>-33</v>
      </c>
      <c r="L33" s="597">
        <v>1</v>
      </c>
      <c r="M33" s="597">
        <v>-34</v>
      </c>
      <c r="N33" s="597">
        <v>134</v>
      </c>
      <c r="O33" s="597">
        <v>168</v>
      </c>
      <c r="P33" s="597"/>
      <c r="Q33" s="597"/>
      <c r="R33" s="597"/>
    </row>
    <row r="34" spans="1:18" ht="12" customHeight="1">
      <c r="A34" s="610" t="s">
        <v>798</v>
      </c>
      <c r="B34" s="597">
        <v>278</v>
      </c>
      <c r="C34" s="65">
        <v>257</v>
      </c>
      <c r="D34" s="65">
        <v>9</v>
      </c>
      <c r="E34" s="65"/>
      <c r="F34" s="597">
        <v>266</v>
      </c>
      <c r="G34" s="597">
        <v>12</v>
      </c>
      <c r="H34" s="597">
        <v>1</v>
      </c>
      <c r="I34" s="597">
        <v>11</v>
      </c>
      <c r="J34" s="597">
        <v>-11</v>
      </c>
      <c r="K34" s="597">
        <v>-11</v>
      </c>
      <c r="L34" s="597"/>
      <c r="M34" s="597">
        <v>-11</v>
      </c>
      <c r="N34" s="597">
        <v>130</v>
      </c>
      <c r="O34" s="597">
        <v>141</v>
      </c>
      <c r="P34" s="597"/>
      <c r="Q34" s="597"/>
      <c r="R34" s="597"/>
    </row>
    <row r="35" spans="1:18" ht="12" customHeight="1">
      <c r="A35" s="610" t="s">
        <v>799</v>
      </c>
      <c r="B35" s="597">
        <v>261</v>
      </c>
      <c r="C35" s="65">
        <v>248</v>
      </c>
      <c r="D35" s="65">
        <v>21</v>
      </c>
      <c r="E35" s="65"/>
      <c r="F35" s="597">
        <v>269</v>
      </c>
      <c r="G35" s="597">
        <v>-8</v>
      </c>
      <c r="H35" s="597"/>
      <c r="I35" s="597">
        <v>-8</v>
      </c>
      <c r="J35" s="597">
        <v>8</v>
      </c>
      <c r="K35" s="597">
        <v>8</v>
      </c>
      <c r="L35" s="597"/>
      <c r="M35" s="597">
        <v>4</v>
      </c>
      <c r="N35" s="597">
        <v>219</v>
      </c>
      <c r="O35" s="597">
        <v>215</v>
      </c>
      <c r="P35" s="597">
        <v>4</v>
      </c>
      <c r="Q35" s="597"/>
      <c r="R35" s="597"/>
    </row>
    <row r="36" spans="1:18" ht="12" customHeight="1">
      <c r="A36" s="610" t="s">
        <v>800</v>
      </c>
      <c r="B36" s="597">
        <v>403</v>
      </c>
      <c r="C36" s="65">
        <v>380</v>
      </c>
      <c r="D36" s="65">
        <v>100</v>
      </c>
      <c r="E36" s="65"/>
      <c r="F36" s="597">
        <v>480</v>
      </c>
      <c r="G36" s="597">
        <v>-77</v>
      </c>
      <c r="H36" s="597">
        <v>-3</v>
      </c>
      <c r="I36" s="597">
        <v>-74</v>
      </c>
      <c r="J36" s="597">
        <v>74</v>
      </c>
      <c r="K36" s="597">
        <v>74</v>
      </c>
      <c r="L36" s="597">
        <v>-9</v>
      </c>
      <c r="M36" s="597">
        <v>83</v>
      </c>
      <c r="N36" s="597">
        <v>191</v>
      </c>
      <c r="O36" s="597">
        <v>108</v>
      </c>
      <c r="P36" s="597"/>
      <c r="Q36" s="597"/>
      <c r="R36" s="597"/>
    </row>
    <row r="37" spans="1:18" ht="12" customHeight="1">
      <c r="A37" s="610" t="s">
        <v>801</v>
      </c>
      <c r="B37" s="597">
        <v>214</v>
      </c>
      <c r="C37" s="65">
        <v>212</v>
      </c>
      <c r="D37" s="65">
        <v>17</v>
      </c>
      <c r="E37" s="65"/>
      <c r="F37" s="597">
        <v>229</v>
      </c>
      <c r="G37" s="597">
        <v>-15</v>
      </c>
      <c r="H37" s="597"/>
      <c r="I37" s="597">
        <v>-15</v>
      </c>
      <c r="J37" s="597">
        <v>15</v>
      </c>
      <c r="K37" s="597">
        <v>15</v>
      </c>
      <c r="L37" s="597"/>
      <c r="M37" s="597">
        <v>15</v>
      </c>
      <c r="N37" s="597">
        <v>128</v>
      </c>
      <c r="O37" s="597">
        <v>113</v>
      </c>
      <c r="P37" s="597"/>
      <c r="Q37" s="597"/>
      <c r="R37" s="597"/>
    </row>
    <row r="38" spans="1:18" ht="12" customHeight="1">
      <c r="A38" s="610" t="s">
        <v>802</v>
      </c>
      <c r="B38" s="597">
        <v>900</v>
      </c>
      <c r="C38" s="65">
        <v>666</v>
      </c>
      <c r="D38" s="65">
        <v>45</v>
      </c>
      <c r="E38" s="65"/>
      <c r="F38" s="597">
        <v>711</v>
      </c>
      <c r="G38" s="597">
        <v>189</v>
      </c>
      <c r="H38" s="597">
        <v>-15</v>
      </c>
      <c r="I38" s="597">
        <v>204</v>
      </c>
      <c r="J38" s="597">
        <v>-204</v>
      </c>
      <c r="K38" s="597">
        <v>-204</v>
      </c>
      <c r="L38" s="597"/>
      <c r="M38" s="597">
        <v>-204</v>
      </c>
      <c r="N38" s="597">
        <v>368</v>
      </c>
      <c r="O38" s="597">
        <v>572</v>
      </c>
      <c r="P38" s="597"/>
      <c r="Q38" s="597"/>
      <c r="R38" s="597"/>
    </row>
    <row r="39" spans="1:18" ht="12" customHeight="1">
      <c r="A39" s="610" t="s">
        <v>803</v>
      </c>
      <c r="B39" s="597">
        <v>146</v>
      </c>
      <c r="C39" s="65">
        <v>109</v>
      </c>
      <c r="D39" s="65">
        <v>26</v>
      </c>
      <c r="E39" s="65"/>
      <c r="F39" s="597">
        <v>135</v>
      </c>
      <c r="G39" s="597">
        <v>11</v>
      </c>
      <c r="H39" s="597">
        <v>14</v>
      </c>
      <c r="I39" s="597">
        <v>-3</v>
      </c>
      <c r="J39" s="597">
        <v>3</v>
      </c>
      <c r="K39" s="597">
        <v>3</v>
      </c>
      <c r="L39" s="597">
        <v>2</v>
      </c>
      <c r="M39" s="597">
        <v>1</v>
      </c>
      <c r="N39" s="597">
        <v>154</v>
      </c>
      <c r="O39" s="597">
        <v>153</v>
      </c>
      <c r="P39" s="597"/>
      <c r="Q39" s="597"/>
      <c r="R39" s="597"/>
    </row>
    <row r="40" spans="1:18" ht="12" customHeight="1">
      <c r="A40" s="610" t="s">
        <v>804</v>
      </c>
      <c r="B40" s="597">
        <v>193</v>
      </c>
      <c r="C40" s="65">
        <v>149</v>
      </c>
      <c r="D40" s="65">
        <v>19</v>
      </c>
      <c r="E40" s="65"/>
      <c r="F40" s="597">
        <v>168</v>
      </c>
      <c r="G40" s="597">
        <v>25</v>
      </c>
      <c r="H40" s="597">
        <v>20</v>
      </c>
      <c r="I40" s="597">
        <v>5</v>
      </c>
      <c r="J40" s="597">
        <v>-5</v>
      </c>
      <c r="K40" s="597">
        <v>-5</v>
      </c>
      <c r="L40" s="597"/>
      <c r="M40" s="597">
        <v>-5</v>
      </c>
      <c r="N40" s="597">
        <v>350</v>
      </c>
      <c r="O40" s="597">
        <v>355</v>
      </c>
      <c r="P40" s="597"/>
      <c r="Q40" s="597"/>
      <c r="R40" s="597"/>
    </row>
    <row r="41" spans="1:18" ht="12" customHeight="1">
      <c r="A41" s="610" t="s">
        <v>805</v>
      </c>
      <c r="B41" s="597">
        <v>220</v>
      </c>
      <c r="C41" s="65">
        <v>326</v>
      </c>
      <c r="D41" s="65">
        <v>47</v>
      </c>
      <c r="E41" s="65"/>
      <c r="F41" s="597">
        <v>373</v>
      </c>
      <c r="G41" s="597">
        <v>-153</v>
      </c>
      <c r="H41" s="597">
        <v>3</v>
      </c>
      <c r="I41" s="597">
        <v>-156</v>
      </c>
      <c r="J41" s="597">
        <v>156</v>
      </c>
      <c r="K41" s="597">
        <v>156</v>
      </c>
      <c r="L41" s="597">
        <v>1</v>
      </c>
      <c r="M41" s="597">
        <v>148</v>
      </c>
      <c r="N41" s="597">
        <v>448</v>
      </c>
      <c r="O41" s="597">
        <v>300</v>
      </c>
      <c r="P41" s="597"/>
      <c r="Q41" s="597">
        <v>7</v>
      </c>
      <c r="R41" s="597"/>
    </row>
    <row r="42" spans="1:18" ht="12" customHeight="1">
      <c r="A42" s="610" t="s">
        <v>806</v>
      </c>
      <c r="B42" s="597">
        <v>158</v>
      </c>
      <c r="C42" s="65">
        <v>106</v>
      </c>
      <c r="D42" s="65">
        <v>5</v>
      </c>
      <c r="E42" s="65"/>
      <c r="F42" s="597">
        <v>111</v>
      </c>
      <c r="G42" s="597">
        <v>47</v>
      </c>
      <c r="H42" s="597">
        <v>-5</v>
      </c>
      <c r="I42" s="597">
        <v>52</v>
      </c>
      <c r="J42" s="597">
        <v>-52</v>
      </c>
      <c r="K42" s="597">
        <v>-52</v>
      </c>
      <c r="L42" s="597"/>
      <c r="M42" s="597">
        <v>-52</v>
      </c>
      <c r="N42" s="597">
        <v>82</v>
      </c>
      <c r="O42" s="597">
        <v>134</v>
      </c>
      <c r="P42" s="597"/>
      <c r="Q42" s="597"/>
      <c r="R42" s="597"/>
    </row>
    <row r="43" spans="1:18" ht="12" customHeight="1">
      <c r="A43" s="610" t="s">
        <v>807</v>
      </c>
      <c r="B43" s="597">
        <v>268</v>
      </c>
      <c r="C43" s="65">
        <v>126</v>
      </c>
      <c r="D43" s="65">
        <v>5</v>
      </c>
      <c r="E43" s="65"/>
      <c r="F43" s="597">
        <v>131</v>
      </c>
      <c r="G43" s="597">
        <v>137</v>
      </c>
      <c r="H43" s="597">
        <v>-6</v>
      </c>
      <c r="I43" s="597">
        <v>143</v>
      </c>
      <c r="J43" s="597">
        <v>-143</v>
      </c>
      <c r="K43" s="597">
        <v>-143</v>
      </c>
      <c r="L43" s="597"/>
      <c r="M43" s="597">
        <v>-143</v>
      </c>
      <c r="N43" s="597">
        <v>239</v>
      </c>
      <c r="O43" s="597">
        <v>382</v>
      </c>
      <c r="P43" s="597"/>
      <c r="Q43" s="597"/>
      <c r="R43" s="597"/>
    </row>
    <row r="44" spans="1:18" ht="12" customHeight="1">
      <c r="A44" s="610" t="s">
        <v>808</v>
      </c>
      <c r="B44" s="597">
        <v>120</v>
      </c>
      <c r="C44" s="65">
        <v>117</v>
      </c>
      <c r="D44" s="65">
        <v>12</v>
      </c>
      <c r="E44" s="65"/>
      <c r="F44" s="597">
        <v>129</v>
      </c>
      <c r="G44" s="597">
        <v>-9</v>
      </c>
      <c r="H44" s="597">
        <v>4</v>
      </c>
      <c r="I44" s="597">
        <v>-13</v>
      </c>
      <c r="J44" s="597">
        <v>13</v>
      </c>
      <c r="K44" s="597">
        <v>13</v>
      </c>
      <c r="L44" s="597"/>
      <c r="M44" s="597">
        <v>13</v>
      </c>
      <c r="N44" s="597">
        <v>150</v>
      </c>
      <c r="O44" s="597">
        <v>137</v>
      </c>
      <c r="P44" s="597"/>
      <c r="Q44" s="597"/>
      <c r="R44" s="597"/>
    </row>
    <row r="45" spans="1:18" ht="12" customHeight="1">
      <c r="A45" s="612" t="s">
        <v>809</v>
      </c>
      <c r="B45" s="597">
        <v>6745</v>
      </c>
      <c r="C45" s="597">
        <v>5836</v>
      </c>
      <c r="D45" s="597">
        <v>745</v>
      </c>
      <c r="E45" s="597">
        <v>0</v>
      </c>
      <c r="F45" s="597">
        <v>6581</v>
      </c>
      <c r="G45" s="597">
        <v>164</v>
      </c>
      <c r="H45" s="597">
        <v>40</v>
      </c>
      <c r="I45" s="597">
        <v>124</v>
      </c>
      <c r="J45" s="597">
        <v>-124</v>
      </c>
      <c r="K45" s="597">
        <v>-124</v>
      </c>
      <c r="L45" s="597">
        <v>-31</v>
      </c>
      <c r="M45" s="597">
        <v>-78</v>
      </c>
      <c r="N45" s="597">
        <v>4731</v>
      </c>
      <c r="O45" s="597">
        <v>4809</v>
      </c>
      <c r="P45" s="597">
        <v>-20</v>
      </c>
      <c r="Q45" s="597">
        <v>5</v>
      </c>
      <c r="R45" s="597">
        <v>0</v>
      </c>
    </row>
    <row r="46" spans="1:18" ht="12" customHeight="1">
      <c r="A46" s="612" t="s">
        <v>810</v>
      </c>
      <c r="B46" s="597">
        <v>14915</v>
      </c>
      <c r="C46" s="597">
        <v>9719</v>
      </c>
      <c r="D46" s="597">
        <v>2973</v>
      </c>
      <c r="E46" s="597">
        <v>0</v>
      </c>
      <c r="F46" s="597">
        <v>12692</v>
      </c>
      <c r="G46" s="597">
        <v>2223</v>
      </c>
      <c r="H46" s="597">
        <v>-920</v>
      </c>
      <c r="I46" s="597">
        <v>3143</v>
      </c>
      <c r="J46" s="597">
        <v>-3143</v>
      </c>
      <c r="K46" s="597">
        <v>-3143</v>
      </c>
      <c r="L46" s="597">
        <v>-31</v>
      </c>
      <c r="M46" s="597">
        <v>-3097</v>
      </c>
      <c r="N46" s="597">
        <v>17426</v>
      </c>
      <c r="O46" s="597">
        <v>20523</v>
      </c>
      <c r="P46" s="597">
        <v>-20</v>
      </c>
      <c r="Q46" s="597">
        <v>5</v>
      </c>
      <c r="R46" s="597">
        <v>0</v>
      </c>
    </row>
    <row r="47" spans="1:18" ht="17.25" customHeight="1">
      <c r="A47" s="614"/>
      <c r="B47" s="615"/>
      <c r="C47" s="615"/>
      <c r="D47" s="615"/>
      <c r="E47" s="615"/>
      <c r="F47" s="615"/>
      <c r="G47" s="615"/>
      <c r="H47" s="615"/>
      <c r="I47" s="615"/>
      <c r="J47" s="615"/>
      <c r="K47" s="615"/>
      <c r="L47" s="615"/>
      <c r="M47" s="615"/>
      <c r="N47" s="615"/>
      <c r="O47" s="615"/>
      <c r="P47" s="615"/>
      <c r="Q47" s="615"/>
      <c r="R47" s="615"/>
    </row>
    <row r="48" spans="1:18" ht="17.25" customHeight="1">
      <c r="A48" s="603"/>
      <c r="B48" s="502"/>
      <c r="C48" s="502"/>
      <c r="D48" s="502"/>
      <c r="E48" s="502"/>
      <c r="F48" s="502"/>
      <c r="G48" s="502"/>
      <c r="H48" s="502"/>
      <c r="I48" s="502"/>
      <c r="J48" s="502"/>
      <c r="K48" s="502"/>
      <c r="L48" s="502"/>
      <c r="M48" s="502"/>
      <c r="N48" s="502"/>
      <c r="O48" s="502"/>
      <c r="P48" s="502"/>
      <c r="Q48" s="502"/>
      <c r="R48" s="502"/>
    </row>
    <row r="50" spans="1:12" ht="17.25" customHeight="1">
      <c r="A50" s="41" t="s">
        <v>17</v>
      </c>
      <c r="B50" s="3"/>
      <c r="C50" s="3"/>
      <c r="F50" s="616"/>
      <c r="H50" s="502"/>
      <c r="J50" s="502"/>
      <c r="K50" s="502"/>
      <c r="L50" s="39" t="s">
        <v>215</v>
      </c>
    </row>
    <row r="53" spans="1:18" ht="17.25" customHeight="1">
      <c r="A53" s="617"/>
      <c r="B53" s="502"/>
      <c r="C53" s="502"/>
      <c r="D53" s="502"/>
      <c r="E53" s="502"/>
      <c r="F53" s="502"/>
      <c r="G53" s="502"/>
      <c r="H53" s="502"/>
      <c r="I53" s="502"/>
      <c r="J53" s="502"/>
      <c r="K53" s="502"/>
      <c r="L53" s="502"/>
      <c r="M53" s="502"/>
      <c r="N53" s="502"/>
      <c r="O53" s="502"/>
      <c r="P53" s="502"/>
      <c r="Q53" s="502"/>
      <c r="R53" s="502"/>
    </row>
    <row r="54" spans="2:18" ht="17.25" customHeight="1">
      <c r="B54" s="618"/>
      <c r="H54" s="618"/>
      <c r="I54" s="618"/>
      <c r="J54" s="618"/>
      <c r="K54" s="618"/>
      <c r="L54" s="618"/>
      <c r="N54" s="619"/>
      <c r="O54" s="618"/>
      <c r="P54" s="618"/>
      <c r="Q54" s="618"/>
      <c r="R54" s="618"/>
    </row>
    <row r="55" spans="1:18" ht="17.25" customHeight="1">
      <c r="A55" s="527"/>
      <c r="B55" s="620"/>
      <c r="H55" s="619"/>
      <c r="I55" s="619"/>
      <c r="L55" s="619"/>
      <c r="M55" s="619"/>
      <c r="O55" s="502"/>
      <c r="P55" s="502"/>
      <c r="Q55" s="502"/>
      <c r="R55" s="502"/>
    </row>
    <row r="56" spans="1:18" ht="17.25" customHeight="1">
      <c r="A56" s="603"/>
      <c r="B56" s="620"/>
      <c r="H56" s="502"/>
      <c r="I56" s="502"/>
      <c r="J56" s="502"/>
      <c r="K56" s="502"/>
      <c r="L56" s="502"/>
      <c r="M56" s="618"/>
      <c r="N56" s="502"/>
      <c r="O56" s="502"/>
      <c r="P56" s="502"/>
      <c r="Q56" s="502"/>
      <c r="R56" s="502"/>
    </row>
    <row r="57" spans="1:18" ht="12.75">
      <c r="A57" s="270" t="s">
        <v>459</v>
      </c>
      <c r="B57" s="621"/>
      <c r="C57" s="621"/>
      <c r="D57" s="621"/>
      <c r="E57" s="502"/>
      <c r="F57" s="502"/>
      <c r="G57" s="502"/>
      <c r="H57" s="502"/>
      <c r="I57" s="502"/>
      <c r="J57" s="502"/>
      <c r="K57" s="502"/>
      <c r="L57" s="502"/>
      <c r="M57" s="502"/>
      <c r="N57" s="502"/>
      <c r="O57" s="502"/>
      <c r="P57" s="502"/>
      <c r="Q57" s="502"/>
      <c r="R57" s="502"/>
    </row>
    <row r="58" spans="1:18" ht="12.75">
      <c r="A58" s="270" t="s">
        <v>19</v>
      </c>
      <c r="M58" s="502"/>
      <c r="N58" s="502"/>
      <c r="O58" s="502"/>
      <c r="P58" s="502"/>
      <c r="Q58" s="502"/>
      <c r="R58" s="502"/>
    </row>
    <row r="60" ht="17.25" customHeight="1">
      <c r="E60" s="621"/>
    </row>
    <row r="67" spans="2:18" ht="17.25" customHeight="1">
      <c r="B67" s="270"/>
      <c r="C67" s="270"/>
      <c r="D67" s="270"/>
      <c r="E67" s="270"/>
      <c r="F67" s="270"/>
      <c r="G67" s="270"/>
      <c r="H67" s="270"/>
      <c r="I67" s="270"/>
      <c r="J67" s="270"/>
      <c r="K67" s="270"/>
      <c r="L67" s="270"/>
      <c r="M67" s="270"/>
      <c r="N67" s="270"/>
      <c r="O67" s="270"/>
      <c r="P67" s="270"/>
      <c r="Q67" s="270"/>
      <c r="R67" s="270"/>
    </row>
  </sheetData>
  <mergeCells count="10">
    <mergeCell ref="A5:S5"/>
    <mergeCell ref="H7:H9"/>
    <mergeCell ref="I7:I9"/>
    <mergeCell ref="J7:J9"/>
    <mergeCell ref="R7:R9"/>
    <mergeCell ref="L8:Q8"/>
    <mergeCell ref="A7:A9"/>
    <mergeCell ref="B7:B9"/>
    <mergeCell ref="C7:F8"/>
    <mergeCell ref="G7:G9"/>
  </mergeCells>
  <printOptions/>
  <pageMargins left="0.75" right="0.25" top="1" bottom="1" header="0.5" footer="0.5"/>
  <pageSetup firstPageNumber="40" useFirstPageNumber="1" horizontalDpi="600" verticalDpi="600" orientation="landscape" paperSize="9" scale="93" r:id="rId1"/>
  <headerFooter alignWithMargins="0">
    <oddFooter>&amp;R&amp;9&amp;P</oddFooter>
  </headerFooter>
  <rowBreaks count="1" manualBreakCount="1">
    <brk id="30" max="17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P69"/>
  <sheetViews>
    <sheetView workbookViewId="0" topLeftCell="B1">
      <selection activeCell="J8" sqref="J8:O8"/>
    </sheetView>
  </sheetViews>
  <sheetFormatPr defaultColWidth="9.140625" defaultRowHeight="17.25" customHeight="1"/>
  <cols>
    <col min="1" max="1" width="18.421875" style="519" customWidth="1"/>
    <col min="2" max="2" width="7.00390625" style="498" customWidth="1"/>
    <col min="3" max="3" width="10.00390625" style="498" customWidth="1"/>
    <col min="4" max="4" width="6.7109375" style="498" customWidth="1"/>
    <col min="5" max="5" width="6.140625" style="498" customWidth="1"/>
    <col min="6" max="6" width="13.57421875" style="498" customWidth="1"/>
    <col min="7" max="7" width="7.8515625" style="498" customWidth="1"/>
    <col min="8" max="8" width="9.00390625" style="498" customWidth="1"/>
    <col min="9" max="9" width="6.28125" style="498" customWidth="1"/>
    <col min="10" max="10" width="10.57421875" style="498" customWidth="1"/>
    <col min="11" max="11" width="7.57421875" style="498" customWidth="1"/>
    <col min="12" max="13" width="7.28125" style="498" customWidth="1"/>
    <col min="14" max="14" width="8.00390625" style="498" customWidth="1"/>
    <col min="15" max="15" width="7.28125" style="498" customWidth="1"/>
    <col min="16" max="16" width="9.28125" style="498" customWidth="1"/>
    <col min="17" max="16384" width="9.140625" style="498" customWidth="1"/>
  </cols>
  <sheetData>
    <row r="1" spans="2:15" s="38" customFormat="1" ht="17.25" customHeight="1">
      <c r="B1" s="51"/>
      <c r="C1" s="51"/>
      <c r="D1" s="51"/>
      <c r="E1" s="51"/>
      <c r="F1" s="51"/>
      <c r="G1" s="51"/>
      <c r="H1" s="51"/>
      <c r="I1" s="51"/>
      <c r="J1" s="51"/>
      <c r="K1" s="89"/>
      <c r="O1" s="265" t="s">
        <v>830</v>
      </c>
    </row>
    <row r="2" spans="1:16" s="38" customFormat="1" ht="17.25" customHeight="1">
      <c r="A2" s="755" t="s">
        <v>815</v>
      </c>
      <c r="B2" s="755"/>
      <c r="C2" s="755"/>
      <c r="D2" s="755"/>
      <c r="E2" s="755"/>
      <c r="F2" s="755"/>
      <c r="G2" s="755"/>
      <c r="H2" s="755"/>
      <c r="I2" s="755"/>
      <c r="J2" s="755"/>
      <c r="K2" s="755"/>
      <c r="L2" s="755"/>
      <c r="M2" s="755"/>
      <c r="N2" s="755"/>
      <c r="O2" s="755"/>
      <c r="P2" s="755"/>
    </row>
    <row r="3" spans="1:12" s="49" customFormat="1" ht="17.25" customHeight="1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265"/>
    </row>
    <row r="4" spans="1:16" s="583" customFormat="1" ht="17.25" customHeight="1">
      <c r="A4" s="756" t="s">
        <v>831</v>
      </c>
      <c r="B4" s="756"/>
      <c r="C4" s="756"/>
      <c r="D4" s="756"/>
      <c r="E4" s="756"/>
      <c r="F4" s="756"/>
      <c r="G4" s="756"/>
      <c r="H4" s="756"/>
      <c r="I4" s="756"/>
      <c r="J4" s="756"/>
      <c r="K4" s="756"/>
      <c r="L4" s="756"/>
      <c r="M4" s="756"/>
      <c r="N4" s="756"/>
      <c r="O4" s="756"/>
      <c r="P4" s="756"/>
    </row>
    <row r="5" spans="1:16" s="583" customFormat="1" ht="14.25" customHeight="1">
      <c r="A5" s="781" t="s">
        <v>28</v>
      </c>
      <c r="B5" s="781"/>
      <c r="C5" s="781"/>
      <c r="D5" s="781"/>
      <c r="E5" s="781"/>
      <c r="F5" s="781"/>
      <c r="G5" s="781"/>
      <c r="H5" s="781"/>
      <c r="I5" s="781"/>
      <c r="J5" s="781"/>
      <c r="K5" s="781"/>
      <c r="L5" s="781"/>
      <c r="M5" s="781"/>
      <c r="N5" s="781"/>
      <c r="O5" s="781"/>
      <c r="P5" s="781"/>
    </row>
    <row r="6" spans="1:16" ht="17.25" customHeight="1">
      <c r="A6" s="622"/>
      <c r="B6" s="568"/>
      <c r="C6" s="568"/>
      <c r="D6" s="568"/>
      <c r="E6" s="568"/>
      <c r="F6" s="568"/>
      <c r="G6" s="568"/>
      <c r="H6" s="568"/>
      <c r="I6" s="568"/>
      <c r="J6" s="568"/>
      <c r="K6" s="568"/>
      <c r="L6" s="568"/>
      <c r="M6" s="568"/>
      <c r="N6" s="568"/>
      <c r="O6" s="568"/>
      <c r="P6" s="568" t="s">
        <v>458</v>
      </c>
    </row>
    <row r="7" spans="1:16" s="38" customFormat="1" ht="17.25" customHeight="1">
      <c r="A7" s="796" t="s">
        <v>817</v>
      </c>
      <c r="B7" s="796" t="s">
        <v>227</v>
      </c>
      <c r="C7" s="795" t="s">
        <v>764</v>
      </c>
      <c r="D7" s="804"/>
      <c r="E7" s="804"/>
      <c r="F7" s="796" t="s">
        <v>832</v>
      </c>
      <c r="G7" s="796" t="s">
        <v>833</v>
      </c>
      <c r="H7" s="796" t="s">
        <v>834</v>
      </c>
      <c r="I7" s="796" t="s">
        <v>835</v>
      </c>
      <c r="J7" s="623" t="s">
        <v>822</v>
      </c>
      <c r="K7" s="590"/>
      <c r="L7" s="590"/>
      <c r="M7" s="624"/>
      <c r="N7" s="590"/>
      <c r="O7" s="590"/>
      <c r="P7" s="796" t="s">
        <v>823</v>
      </c>
    </row>
    <row r="8" spans="1:16" s="49" customFormat="1" ht="17.25" customHeight="1">
      <c r="A8" s="805"/>
      <c r="B8" s="805"/>
      <c r="C8" s="804"/>
      <c r="D8" s="804"/>
      <c r="E8" s="804"/>
      <c r="F8" s="805"/>
      <c r="G8" s="805"/>
      <c r="H8" s="805"/>
      <c r="I8" s="805"/>
      <c r="J8" s="801" t="s">
        <v>768</v>
      </c>
      <c r="K8" s="802"/>
      <c r="L8" s="802"/>
      <c r="M8" s="802"/>
      <c r="N8" s="802"/>
      <c r="O8" s="803"/>
      <c r="P8" s="807"/>
    </row>
    <row r="9" spans="1:16" s="549" customFormat="1" ht="45">
      <c r="A9" s="806"/>
      <c r="B9" s="806"/>
      <c r="C9" s="9" t="s">
        <v>836</v>
      </c>
      <c r="D9" s="9" t="s">
        <v>825</v>
      </c>
      <c r="E9" s="9" t="s">
        <v>827</v>
      </c>
      <c r="F9" s="806"/>
      <c r="G9" s="806"/>
      <c r="H9" s="806"/>
      <c r="I9" s="806"/>
      <c r="J9" s="609" t="s">
        <v>71</v>
      </c>
      <c r="K9" s="609" t="s">
        <v>828</v>
      </c>
      <c r="L9" s="609" t="s">
        <v>770</v>
      </c>
      <c r="M9" s="609" t="s">
        <v>771</v>
      </c>
      <c r="N9" s="9" t="s">
        <v>837</v>
      </c>
      <c r="O9" s="9" t="s">
        <v>83</v>
      </c>
      <c r="P9" s="808"/>
    </row>
    <row r="10" spans="1:16" ht="12" customHeight="1">
      <c r="A10" s="9">
        <v>1</v>
      </c>
      <c r="B10" s="8">
        <v>2</v>
      </c>
      <c r="C10" s="8">
        <v>3</v>
      </c>
      <c r="D10" s="8">
        <v>4</v>
      </c>
      <c r="E10" s="8">
        <v>5</v>
      </c>
      <c r="F10" s="8">
        <v>6</v>
      </c>
      <c r="G10" s="8">
        <v>7</v>
      </c>
      <c r="H10" s="8">
        <v>8</v>
      </c>
      <c r="I10" s="8">
        <v>9</v>
      </c>
      <c r="J10" s="8">
        <v>10</v>
      </c>
      <c r="K10" s="8">
        <v>11</v>
      </c>
      <c r="L10" s="8">
        <v>12</v>
      </c>
      <c r="M10" s="8">
        <v>13</v>
      </c>
      <c r="N10" s="8">
        <v>14</v>
      </c>
      <c r="O10" s="8">
        <v>15</v>
      </c>
      <c r="P10" s="8">
        <v>16</v>
      </c>
    </row>
    <row r="11" spans="1:16" s="38" customFormat="1" ht="12" customHeight="1">
      <c r="A11" s="610" t="s">
        <v>774</v>
      </c>
      <c r="B11" s="193">
        <v>471</v>
      </c>
      <c r="C11" s="193">
        <v>338</v>
      </c>
      <c r="D11" s="193">
        <v>23</v>
      </c>
      <c r="E11" s="193">
        <v>361</v>
      </c>
      <c r="F11" s="193">
        <v>110</v>
      </c>
      <c r="G11" s="193"/>
      <c r="H11" s="193">
        <v>110</v>
      </c>
      <c r="I11" s="193">
        <v>-110</v>
      </c>
      <c r="J11" s="193"/>
      <c r="K11" s="193">
        <v>-110</v>
      </c>
      <c r="L11" s="193">
        <v>277</v>
      </c>
      <c r="M11" s="193">
        <v>387</v>
      </c>
      <c r="N11" s="193"/>
      <c r="O11" s="193"/>
      <c r="P11" s="193"/>
    </row>
    <row r="12" spans="1:16" ht="12" customHeight="1">
      <c r="A12" s="610" t="s">
        <v>775</v>
      </c>
      <c r="B12" s="193">
        <v>14</v>
      </c>
      <c r="C12" s="193">
        <v>21</v>
      </c>
      <c r="D12" s="193">
        <v>6</v>
      </c>
      <c r="E12" s="193">
        <v>27</v>
      </c>
      <c r="F12" s="193">
        <v>-13</v>
      </c>
      <c r="G12" s="193"/>
      <c r="H12" s="193">
        <v>-13</v>
      </c>
      <c r="I12" s="193">
        <v>13</v>
      </c>
      <c r="J12" s="193"/>
      <c r="K12" s="193">
        <v>13</v>
      </c>
      <c r="L12" s="193">
        <v>16</v>
      </c>
      <c r="M12" s="193">
        <v>3</v>
      </c>
      <c r="N12" s="193"/>
      <c r="O12" s="193"/>
      <c r="P12" s="193"/>
    </row>
    <row r="13" spans="1:16" ht="12" customHeight="1">
      <c r="A13" s="610" t="s">
        <v>776</v>
      </c>
      <c r="B13" s="193">
        <v>35</v>
      </c>
      <c r="C13" s="193">
        <v>6</v>
      </c>
      <c r="D13" s="193">
        <v>21</v>
      </c>
      <c r="E13" s="193">
        <v>27</v>
      </c>
      <c r="F13" s="193">
        <v>8</v>
      </c>
      <c r="G13" s="193"/>
      <c r="H13" s="193">
        <v>8</v>
      </c>
      <c r="I13" s="193">
        <v>-8</v>
      </c>
      <c r="J13" s="193"/>
      <c r="K13" s="193">
        <v>-8</v>
      </c>
      <c r="L13" s="193">
        <v>53</v>
      </c>
      <c r="M13" s="193">
        <v>61</v>
      </c>
      <c r="N13" s="193"/>
      <c r="O13" s="193"/>
      <c r="P13" s="193"/>
    </row>
    <row r="14" spans="1:16" ht="12" customHeight="1">
      <c r="A14" s="610" t="s">
        <v>777</v>
      </c>
      <c r="B14" s="193">
        <v>76</v>
      </c>
      <c r="C14" s="193">
        <v>14</v>
      </c>
      <c r="D14" s="193">
        <v>2</v>
      </c>
      <c r="E14" s="193">
        <v>16</v>
      </c>
      <c r="F14" s="193">
        <v>60</v>
      </c>
      <c r="G14" s="193"/>
      <c r="H14" s="193">
        <v>60</v>
      </c>
      <c r="I14" s="193">
        <v>-60</v>
      </c>
      <c r="J14" s="193"/>
      <c r="K14" s="193">
        <v>-60</v>
      </c>
      <c r="L14" s="193">
        <v>65</v>
      </c>
      <c r="M14" s="193">
        <v>125</v>
      </c>
      <c r="N14" s="193"/>
      <c r="O14" s="193"/>
      <c r="P14" s="193"/>
    </row>
    <row r="15" spans="1:16" ht="12" customHeight="1">
      <c r="A15" s="610" t="s">
        <v>778</v>
      </c>
      <c r="B15" s="193">
        <v>19</v>
      </c>
      <c r="C15" s="193">
        <v>19</v>
      </c>
      <c r="D15" s="193">
        <v>2</v>
      </c>
      <c r="E15" s="193">
        <v>21</v>
      </c>
      <c r="F15" s="193">
        <v>-2</v>
      </c>
      <c r="G15" s="193"/>
      <c r="H15" s="193">
        <v>-2</v>
      </c>
      <c r="I15" s="193">
        <v>2</v>
      </c>
      <c r="J15" s="193"/>
      <c r="K15" s="193">
        <v>2</v>
      </c>
      <c r="L15" s="193">
        <v>30</v>
      </c>
      <c r="M15" s="193">
        <v>28</v>
      </c>
      <c r="N15" s="193"/>
      <c r="O15" s="193"/>
      <c r="P15" s="193"/>
    </row>
    <row r="16" spans="1:16" ht="12" customHeight="1">
      <c r="A16" s="611" t="s">
        <v>779</v>
      </c>
      <c r="B16" s="193">
        <v>3</v>
      </c>
      <c r="C16" s="193">
        <v>4</v>
      </c>
      <c r="D16" s="193">
        <v>1</v>
      </c>
      <c r="E16" s="193">
        <v>5</v>
      </c>
      <c r="F16" s="193">
        <v>-2</v>
      </c>
      <c r="G16" s="193"/>
      <c r="H16" s="193">
        <v>-2</v>
      </c>
      <c r="I16" s="193">
        <v>2</v>
      </c>
      <c r="J16" s="193"/>
      <c r="K16" s="193">
        <v>2</v>
      </c>
      <c r="L16" s="193">
        <v>4</v>
      </c>
      <c r="M16" s="193">
        <v>2</v>
      </c>
      <c r="N16" s="193"/>
      <c r="O16" s="193"/>
      <c r="P16" s="193"/>
    </row>
    <row r="17" spans="1:16" ht="12" customHeight="1">
      <c r="A17" s="610" t="s">
        <v>780</v>
      </c>
      <c r="B17" s="193">
        <v>1042</v>
      </c>
      <c r="C17" s="193">
        <v>387</v>
      </c>
      <c r="D17" s="193">
        <v>626</v>
      </c>
      <c r="E17" s="193">
        <v>1013</v>
      </c>
      <c r="F17" s="193">
        <v>29</v>
      </c>
      <c r="G17" s="193">
        <v>-827</v>
      </c>
      <c r="H17" s="193">
        <v>856</v>
      </c>
      <c r="I17" s="193">
        <v>-856</v>
      </c>
      <c r="J17" s="193"/>
      <c r="K17" s="193">
        <v>-856</v>
      </c>
      <c r="L17" s="193">
        <v>1169</v>
      </c>
      <c r="M17" s="193">
        <v>2025</v>
      </c>
      <c r="N17" s="193"/>
      <c r="O17" s="193"/>
      <c r="P17" s="193"/>
    </row>
    <row r="18" spans="1:16" ht="12" customHeight="1">
      <c r="A18" s="426" t="s">
        <v>781</v>
      </c>
      <c r="B18" s="193">
        <v>1660</v>
      </c>
      <c r="C18" s="193">
        <v>789</v>
      </c>
      <c r="D18" s="193">
        <v>681</v>
      </c>
      <c r="E18" s="193">
        <v>1470</v>
      </c>
      <c r="F18" s="193">
        <v>190</v>
      </c>
      <c r="G18" s="193">
        <v>-827</v>
      </c>
      <c r="H18" s="193">
        <v>1017</v>
      </c>
      <c r="I18" s="193">
        <v>-1017</v>
      </c>
      <c r="J18" s="193">
        <v>0</v>
      </c>
      <c r="K18" s="193">
        <v>-1017</v>
      </c>
      <c r="L18" s="193">
        <v>1614</v>
      </c>
      <c r="M18" s="193">
        <v>2631</v>
      </c>
      <c r="N18" s="193">
        <v>0</v>
      </c>
      <c r="O18" s="193">
        <v>0</v>
      </c>
      <c r="P18" s="193">
        <v>0</v>
      </c>
    </row>
    <row r="19" spans="1:16" s="625" customFormat="1" ht="12" customHeight="1">
      <c r="A19" s="610" t="s">
        <v>783</v>
      </c>
      <c r="B19" s="193">
        <v>14</v>
      </c>
      <c r="C19" s="193">
        <v>2</v>
      </c>
      <c r="D19" s="193">
        <v>7</v>
      </c>
      <c r="E19" s="193">
        <v>9</v>
      </c>
      <c r="F19" s="193">
        <v>5</v>
      </c>
      <c r="G19" s="193"/>
      <c r="H19" s="193">
        <v>5</v>
      </c>
      <c r="I19" s="193">
        <v>-5</v>
      </c>
      <c r="J19" s="193"/>
      <c r="K19" s="193">
        <v>-5</v>
      </c>
      <c r="L19" s="193">
        <v>15</v>
      </c>
      <c r="M19" s="193">
        <v>20</v>
      </c>
      <c r="N19" s="193"/>
      <c r="O19" s="193"/>
      <c r="P19" s="193"/>
    </row>
    <row r="20" spans="1:16" ht="12" customHeight="1">
      <c r="A20" s="610" t="s">
        <v>784</v>
      </c>
      <c r="B20" s="193">
        <v>6</v>
      </c>
      <c r="C20" s="193">
        <v>10</v>
      </c>
      <c r="D20" s="193">
        <v>5</v>
      </c>
      <c r="E20" s="193">
        <v>15</v>
      </c>
      <c r="F20" s="193">
        <v>-9</v>
      </c>
      <c r="G20" s="193"/>
      <c r="H20" s="193">
        <v>-9</v>
      </c>
      <c r="I20" s="193">
        <v>9</v>
      </c>
      <c r="J20" s="193"/>
      <c r="K20" s="193">
        <v>9</v>
      </c>
      <c r="L20" s="193">
        <v>24</v>
      </c>
      <c r="M20" s="193">
        <v>15</v>
      </c>
      <c r="N20" s="193"/>
      <c r="O20" s="193"/>
      <c r="P20" s="193"/>
    </row>
    <row r="21" spans="1:16" ht="12" customHeight="1">
      <c r="A21" s="610" t="s">
        <v>785</v>
      </c>
      <c r="B21" s="193">
        <v>1</v>
      </c>
      <c r="C21" s="193"/>
      <c r="D21" s="193"/>
      <c r="E21" s="193">
        <v>0</v>
      </c>
      <c r="F21" s="193">
        <v>1</v>
      </c>
      <c r="G21" s="193"/>
      <c r="H21" s="193">
        <v>1</v>
      </c>
      <c r="I21" s="193">
        <v>-1</v>
      </c>
      <c r="J21" s="193"/>
      <c r="K21" s="193">
        <v>-1</v>
      </c>
      <c r="L21" s="193"/>
      <c r="M21" s="193">
        <v>1</v>
      </c>
      <c r="N21" s="193"/>
      <c r="O21" s="193"/>
      <c r="P21" s="193"/>
    </row>
    <row r="22" spans="1:16" ht="12" customHeight="1">
      <c r="A22" s="610" t="s">
        <v>786</v>
      </c>
      <c r="B22" s="193">
        <v>1</v>
      </c>
      <c r="C22" s="193">
        <v>2</v>
      </c>
      <c r="D22" s="193"/>
      <c r="E22" s="193">
        <v>2</v>
      </c>
      <c r="F22" s="193">
        <v>-1</v>
      </c>
      <c r="G22" s="193"/>
      <c r="H22" s="193">
        <v>-1</v>
      </c>
      <c r="I22" s="193">
        <v>1</v>
      </c>
      <c r="J22" s="193"/>
      <c r="K22" s="193">
        <v>1</v>
      </c>
      <c r="L22" s="193">
        <v>21</v>
      </c>
      <c r="M22" s="193">
        <v>20</v>
      </c>
      <c r="N22" s="193"/>
      <c r="O22" s="193"/>
      <c r="P22" s="193"/>
    </row>
    <row r="23" spans="1:16" ht="12" customHeight="1">
      <c r="A23" s="610" t="s">
        <v>787</v>
      </c>
      <c r="B23" s="193">
        <v>69</v>
      </c>
      <c r="C23" s="193">
        <v>51</v>
      </c>
      <c r="D23" s="193">
        <v>5</v>
      </c>
      <c r="E23" s="193">
        <v>56</v>
      </c>
      <c r="F23" s="193">
        <v>13</v>
      </c>
      <c r="G23" s="193"/>
      <c r="H23" s="193">
        <v>13</v>
      </c>
      <c r="I23" s="193">
        <v>-13</v>
      </c>
      <c r="J23" s="193"/>
      <c r="K23" s="193">
        <v>-13</v>
      </c>
      <c r="L23" s="193">
        <v>31</v>
      </c>
      <c r="M23" s="193">
        <v>44</v>
      </c>
      <c r="N23" s="193"/>
      <c r="O23" s="193"/>
      <c r="P23" s="193"/>
    </row>
    <row r="24" spans="1:16" ht="12" customHeight="1">
      <c r="A24" s="610" t="s">
        <v>788</v>
      </c>
      <c r="B24" s="193">
        <v>9</v>
      </c>
      <c r="C24" s="193">
        <v>8</v>
      </c>
      <c r="D24" s="193">
        <v>2</v>
      </c>
      <c r="E24" s="193">
        <v>10</v>
      </c>
      <c r="F24" s="193">
        <v>-1</v>
      </c>
      <c r="G24" s="193"/>
      <c r="H24" s="193">
        <v>-1</v>
      </c>
      <c r="I24" s="193">
        <v>1</v>
      </c>
      <c r="J24" s="193"/>
      <c r="K24" s="193">
        <v>1</v>
      </c>
      <c r="L24" s="193">
        <v>5</v>
      </c>
      <c r="M24" s="193">
        <v>4</v>
      </c>
      <c r="N24" s="193"/>
      <c r="O24" s="193"/>
      <c r="P24" s="193"/>
    </row>
    <row r="25" spans="1:16" ht="12" customHeight="1">
      <c r="A25" s="610" t="s">
        <v>789</v>
      </c>
      <c r="B25" s="193">
        <v>29</v>
      </c>
      <c r="C25" s="193">
        <v>26</v>
      </c>
      <c r="D25" s="193">
        <v>1</v>
      </c>
      <c r="E25" s="193">
        <v>27</v>
      </c>
      <c r="F25" s="193">
        <v>2</v>
      </c>
      <c r="G25" s="193"/>
      <c r="H25" s="193">
        <v>2</v>
      </c>
      <c r="I25" s="193">
        <v>-2</v>
      </c>
      <c r="J25" s="193"/>
      <c r="K25" s="193">
        <v>-2</v>
      </c>
      <c r="L25" s="193">
        <v>7</v>
      </c>
      <c r="M25" s="193">
        <v>9</v>
      </c>
      <c r="N25" s="193"/>
      <c r="O25" s="193"/>
      <c r="P25" s="193"/>
    </row>
    <row r="26" spans="1:16" ht="12" customHeight="1">
      <c r="A26" s="610" t="s">
        <v>790</v>
      </c>
      <c r="B26" s="193">
        <v>4</v>
      </c>
      <c r="C26" s="193">
        <v>3</v>
      </c>
      <c r="D26" s="193"/>
      <c r="E26" s="193">
        <v>3</v>
      </c>
      <c r="F26" s="193">
        <v>1</v>
      </c>
      <c r="G26" s="193"/>
      <c r="H26" s="193">
        <v>1</v>
      </c>
      <c r="I26" s="193">
        <v>-1</v>
      </c>
      <c r="J26" s="193"/>
      <c r="K26" s="193">
        <v>-1</v>
      </c>
      <c r="L26" s="193">
        <v>1</v>
      </c>
      <c r="M26" s="193">
        <v>2</v>
      </c>
      <c r="N26" s="193"/>
      <c r="O26" s="193"/>
      <c r="P26" s="193"/>
    </row>
    <row r="27" spans="1:16" ht="12" customHeight="1">
      <c r="A27" s="610" t="s">
        <v>791</v>
      </c>
      <c r="B27" s="193">
        <v>13</v>
      </c>
      <c r="C27" s="193">
        <v>2</v>
      </c>
      <c r="D27" s="193"/>
      <c r="E27" s="193">
        <v>2</v>
      </c>
      <c r="F27" s="193">
        <v>11</v>
      </c>
      <c r="G27" s="193"/>
      <c r="H27" s="193">
        <v>11</v>
      </c>
      <c r="I27" s="193">
        <v>-11</v>
      </c>
      <c r="J27" s="193"/>
      <c r="K27" s="193">
        <v>-11</v>
      </c>
      <c r="L27" s="193">
        <v>1</v>
      </c>
      <c r="M27" s="193">
        <v>12</v>
      </c>
      <c r="N27" s="193"/>
      <c r="O27" s="193"/>
      <c r="P27" s="193"/>
    </row>
    <row r="28" spans="1:16" ht="12" customHeight="1">
      <c r="A28" s="610" t="s">
        <v>792</v>
      </c>
      <c r="B28" s="193">
        <v>22</v>
      </c>
      <c r="C28" s="193">
        <v>5</v>
      </c>
      <c r="D28" s="193">
        <v>5</v>
      </c>
      <c r="E28" s="193">
        <v>10</v>
      </c>
      <c r="F28" s="193">
        <v>12</v>
      </c>
      <c r="G28" s="193"/>
      <c r="H28" s="193">
        <v>12</v>
      </c>
      <c r="I28" s="193">
        <v>-12</v>
      </c>
      <c r="J28" s="193"/>
      <c r="K28" s="193">
        <v>-12</v>
      </c>
      <c r="L28" s="193">
        <v>17</v>
      </c>
      <c r="M28" s="193">
        <v>29</v>
      </c>
      <c r="N28" s="193"/>
      <c r="O28" s="193"/>
      <c r="P28" s="193"/>
    </row>
    <row r="29" spans="1:16" ht="12" customHeight="1">
      <c r="A29" s="610" t="s">
        <v>793</v>
      </c>
      <c r="B29" s="193">
        <v>2</v>
      </c>
      <c r="C29" s="193">
        <v>1</v>
      </c>
      <c r="D29" s="193">
        <v>1</v>
      </c>
      <c r="E29" s="193">
        <v>2</v>
      </c>
      <c r="F29" s="193">
        <v>0</v>
      </c>
      <c r="G29" s="193"/>
      <c r="H29" s="193">
        <v>0</v>
      </c>
      <c r="I29" s="193">
        <v>0</v>
      </c>
      <c r="J29" s="193"/>
      <c r="K29" s="193">
        <v>0</v>
      </c>
      <c r="L29" s="193">
        <v>1</v>
      </c>
      <c r="M29" s="193">
        <v>1</v>
      </c>
      <c r="N29" s="193"/>
      <c r="O29" s="193"/>
      <c r="P29" s="193"/>
    </row>
    <row r="30" spans="1:16" ht="12" customHeight="1">
      <c r="A30" s="610" t="s">
        <v>794</v>
      </c>
      <c r="B30" s="193">
        <v>11</v>
      </c>
      <c r="C30" s="193">
        <v>10</v>
      </c>
      <c r="D30" s="193"/>
      <c r="E30" s="193">
        <v>10</v>
      </c>
      <c r="F30" s="193">
        <v>1</v>
      </c>
      <c r="G30" s="193"/>
      <c r="H30" s="193">
        <v>1</v>
      </c>
      <c r="I30" s="193">
        <v>-1</v>
      </c>
      <c r="J30" s="193"/>
      <c r="K30" s="193">
        <v>-1</v>
      </c>
      <c r="L30" s="193">
        <v>8</v>
      </c>
      <c r="M30" s="193">
        <v>9</v>
      </c>
      <c r="N30" s="193"/>
      <c r="O30" s="193"/>
      <c r="P30" s="193"/>
    </row>
    <row r="31" spans="1:16" ht="12" customHeight="1">
      <c r="A31" s="610" t="s">
        <v>795</v>
      </c>
      <c r="B31" s="193">
        <v>5</v>
      </c>
      <c r="C31" s="193">
        <v>1</v>
      </c>
      <c r="D31" s="193">
        <v>1</v>
      </c>
      <c r="E31" s="193">
        <v>2</v>
      </c>
      <c r="F31" s="193">
        <v>3</v>
      </c>
      <c r="G31" s="193"/>
      <c r="H31" s="193">
        <v>3</v>
      </c>
      <c r="I31" s="193">
        <v>-3</v>
      </c>
      <c r="J31" s="193"/>
      <c r="K31" s="193">
        <v>-3</v>
      </c>
      <c r="L31" s="193">
        <v>2</v>
      </c>
      <c r="M31" s="193">
        <v>5</v>
      </c>
      <c r="N31" s="193"/>
      <c r="O31" s="193"/>
      <c r="P31" s="193"/>
    </row>
    <row r="32" spans="1:16" ht="12" customHeight="1">
      <c r="A32" s="610" t="s">
        <v>796</v>
      </c>
      <c r="B32" s="193">
        <v>6</v>
      </c>
      <c r="C32" s="193">
        <v>2</v>
      </c>
      <c r="D32" s="193">
        <v>2</v>
      </c>
      <c r="E32" s="193">
        <v>4</v>
      </c>
      <c r="F32" s="193">
        <v>2</v>
      </c>
      <c r="G32" s="193"/>
      <c r="H32" s="193">
        <v>2</v>
      </c>
      <c r="I32" s="193">
        <v>-2</v>
      </c>
      <c r="J32" s="193"/>
      <c r="K32" s="193">
        <v>-2</v>
      </c>
      <c r="L32" s="193">
        <v>4</v>
      </c>
      <c r="M32" s="193">
        <v>6</v>
      </c>
      <c r="N32" s="193"/>
      <c r="O32" s="193"/>
      <c r="P32" s="193"/>
    </row>
    <row r="33" spans="1:16" ht="12" customHeight="1">
      <c r="A33" s="610" t="s">
        <v>797</v>
      </c>
      <c r="B33" s="193"/>
      <c r="C33" s="193">
        <v>1</v>
      </c>
      <c r="D33" s="193"/>
      <c r="E33" s="193">
        <v>1</v>
      </c>
      <c r="F33" s="193">
        <v>-1</v>
      </c>
      <c r="G33" s="193"/>
      <c r="H33" s="193">
        <v>-1</v>
      </c>
      <c r="I33" s="193">
        <v>1</v>
      </c>
      <c r="J33" s="193"/>
      <c r="K33" s="193">
        <v>1</v>
      </c>
      <c r="L33" s="193">
        <v>3</v>
      </c>
      <c r="M33" s="193">
        <v>2</v>
      </c>
      <c r="N33" s="193"/>
      <c r="O33" s="193"/>
      <c r="P33" s="193"/>
    </row>
    <row r="34" spans="1:16" ht="12" customHeight="1">
      <c r="A34" s="610" t="s">
        <v>798</v>
      </c>
      <c r="B34" s="193">
        <v>8</v>
      </c>
      <c r="C34" s="193">
        <v>5</v>
      </c>
      <c r="D34" s="193">
        <v>3</v>
      </c>
      <c r="E34" s="193">
        <v>8</v>
      </c>
      <c r="F34" s="193">
        <v>0</v>
      </c>
      <c r="G34" s="193"/>
      <c r="H34" s="193">
        <v>0</v>
      </c>
      <c r="I34" s="193">
        <v>0</v>
      </c>
      <c r="J34" s="193"/>
      <c r="K34" s="193">
        <v>0</v>
      </c>
      <c r="L34" s="193">
        <v>4</v>
      </c>
      <c r="M34" s="193">
        <v>4</v>
      </c>
      <c r="N34" s="193"/>
      <c r="O34" s="193"/>
      <c r="P34" s="193"/>
    </row>
    <row r="35" spans="1:16" ht="12" customHeight="1">
      <c r="A35" s="610" t="s">
        <v>799</v>
      </c>
      <c r="B35" s="193">
        <v>3</v>
      </c>
      <c r="C35" s="193">
        <v>1</v>
      </c>
      <c r="D35" s="193">
        <v>1</v>
      </c>
      <c r="E35" s="193">
        <v>2</v>
      </c>
      <c r="F35" s="193">
        <v>1</v>
      </c>
      <c r="G35" s="193"/>
      <c r="H35" s="193">
        <v>1</v>
      </c>
      <c r="I35" s="193">
        <v>-1</v>
      </c>
      <c r="J35" s="193"/>
      <c r="K35" s="193">
        <v>-1</v>
      </c>
      <c r="L35" s="193">
        <v>4</v>
      </c>
      <c r="M35" s="193">
        <v>5</v>
      </c>
      <c r="N35" s="193"/>
      <c r="O35" s="193"/>
      <c r="P35" s="193"/>
    </row>
    <row r="36" spans="1:16" ht="12" customHeight="1">
      <c r="A36" s="610" t="s">
        <v>800</v>
      </c>
      <c r="B36" s="193">
        <v>10</v>
      </c>
      <c r="C36" s="193">
        <v>7</v>
      </c>
      <c r="D36" s="193">
        <v>4</v>
      </c>
      <c r="E36" s="193">
        <v>11</v>
      </c>
      <c r="F36" s="193">
        <v>-1</v>
      </c>
      <c r="G36" s="193"/>
      <c r="H36" s="193">
        <v>-1</v>
      </c>
      <c r="I36" s="193">
        <v>1</v>
      </c>
      <c r="J36" s="193"/>
      <c r="K36" s="193">
        <v>1</v>
      </c>
      <c r="L36" s="193">
        <v>15</v>
      </c>
      <c r="M36" s="193">
        <v>14</v>
      </c>
      <c r="N36" s="193"/>
      <c r="O36" s="193"/>
      <c r="P36" s="193"/>
    </row>
    <row r="37" spans="1:16" ht="12" customHeight="1">
      <c r="A37" s="610" t="s">
        <v>801</v>
      </c>
      <c r="B37" s="193">
        <v>6</v>
      </c>
      <c r="C37" s="193">
        <v>3</v>
      </c>
      <c r="D37" s="193">
        <v>1</v>
      </c>
      <c r="E37" s="193">
        <v>4</v>
      </c>
      <c r="F37" s="193">
        <v>2</v>
      </c>
      <c r="G37" s="193"/>
      <c r="H37" s="193">
        <v>2</v>
      </c>
      <c r="I37" s="193">
        <v>-2</v>
      </c>
      <c r="J37" s="193"/>
      <c r="K37" s="193">
        <v>-2</v>
      </c>
      <c r="L37" s="193">
        <v>1</v>
      </c>
      <c r="M37" s="193">
        <v>3</v>
      </c>
      <c r="N37" s="193"/>
      <c r="O37" s="193"/>
      <c r="P37" s="193"/>
    </row>
    <row r="38" spans="1:16" ht="12" customHeight="1">
      <c r="A38" s="610" t="s">
        <v>802</v>
      </c>
      <c r="B38" s="193">
        <v>39</v>
      </c>
      <c r="C38" s="193">
        <v>14</v>
      </c>
      <c r="D38" s="193">
        <v>8</v>
      </c>
      <c r="E38" s="193">
        <v>22</v>
      </c>
      <c r="F38" s="193">
        <v>17</v>
      </c>
      <c r="G38" s="193"/>
      <c r="H38" s="193">
        <v>17</v>
      </c>
      <c r="I38" s="193">
        <v>-17</v>
      </c>
      <c r="J38" s="193"/>
      <c r="K38" s="193">
        <v>-17</v>
      </c>
      <c r="L38" s="193">
        <v>17</v>
      </c>
      <c r="M38" s="193">
        <v>34</v>
      </c>
      <c r="N38" s="193"/>
      <c r="O38" s="193"/>
      <c r="P38" s="193"/>
    </row>
    <row r="39" spans="1:16" ht="12" customHeight="1">
      <c r="A39" s="610" t="s">
        <v>803</v>
      </c>
      <c r="B39" s="193">
        <v>13</v>
      </c>
      <c r="C39" s="193">
        <v>7</v>
      </c>
      <c r="D39" s="193">
        <v>1</v>
      </c>
      <c r="E39" s="193">
        <v>8</v>
      </c>
      <c r="F39" s="193">
        <v>5</v>
      </c>
      <c r="G39" s="193"/>
      <c r="H39" s="193">
        <v>5</v>
      </c>
      <c r="I39" s="193">
        <v>-5</v>
      </c>
      <c r="J39" s="193"/>
      <c r="K39" s="193">
        <v>-5</v>
      </c>
      <c r="L39" s="193">
        <v>2</v>
      </c>
      <c r="M39" s="193">
        <v>7</v>
      </c>
      <c r="N39" s="193"/>
      <c r="O39" s="193"/>
      <c r="P39" s="193"/>
    </row>
    <row r="40" spans="1:16" ht="12" customHeight="1">
      <c r="A40" s="610" t="s">
        <v>804</v>
      </c>
      <c r="B40" s="193">
        <v>39</v>
      </c>
      <c r="C40" s="193">
        <v>9</v>
      </c>
      <c r="D40" s="193">
        <v>2</v>
      </c>
      <c r="E40" s="193">
        <v>11</v>
      </c>
      <c r="F40" s="193">
        <v>28</v>
      </c>
      <c r="G40" s="193"/>
      <c r="H40" s="193">
        <v>28</v>
      </c>
      <c r="I40" s="193">
        <v>-28</v>
      </c>
      <c r="J40" s="193"/>
      <c r="K40" s="193">
        <v>-28</v>
      </c>
      <c r="L40" s="193">
        <v>20</v>
      </c>
      <c r="M40" s="193">
        <v>48</v>
      </c>
      <c r="N40" s="193"/>
      <c r="O40" s="193"/>
      <c r="P40" s="193"/>
    </row>
    <row r="41" spans="1:16" ht="12" customHeight="1">
      <c r="A41" s="610" t="s">
        <v>805</v>
      </c>
      <c r="B41" s="193">
        <v>6</v>
      </c>
      <c r="C41" s="193">
        <v>10</v>
      </c>
      <c r="D41" s="193">
        <v>2</v>
      </c>
      <c r="E41" s="193">
        <v>12</v>
      </c>
      <c r="F41" s="193">
        <v>-6</v>
      </c>
      <c r="G41" s="193"/>
      <c r="H41" s="193">
        <v>-6</v>
      </c>
      <c r="I41" s="193">
        <v>6</v>
      </c>
      <c r="J41" s="193"/>
      <c r="K41" s="193">
        <v>6</v>
      </c>
      <c r="L41" s="193">
        <v>12</v>
      </c>
      <c r="M41" s="193">
        <v>6</v>
      </c>
      <c r="N41" s="193"/>
      <c r="O41" s="193"/>
      <c r="P41" s="193"/>
    </row>
    <row r="42" spans="1:16" ht="12" customHeight="1">
      <c r="A42" s="610" t="s">
        <v>806</v>
      </c>
      <c r="B42" s="193">
        <v>3</v>
      </c>
      <c r="C42" s="193">
        <v>2</v>
      </c>
      <c r="D42" s="193">
        <v>2</v>
      </c>
      <c r="E42" s="193">
        <v>4</v>
      </c>
      <c r="F42" s="193">
        <v>-1</v>
      </c>
      <c r="G42" s="193"/>
      <c r="H42" s="193">
        <v>-1</v>
      </c>
      <c r="I42" s="193">
        <v>1</v>
      </c>
      <c r="J42" s="193"/>
      <c r="K42" s="193">
        <v>1</v>
      </c>
      <c r="L42" s="193">
        <v>7</v>
      </c>
      <c r="M42" s="193">
        <v>6</v>
      </c>
      <c r="N42" s="193"/>
      <c r="O42" s="193"/>
      <c r="P42" s="193"/>
    </row>
    <row r="43" spans="1:16" ht="12" customHeight="1">
      <c r="A43" s="610" t="s">
        <v>807</v>
      </c>
      <c r="B43" s="193">
        <v>25</v>
      </c>
      <c r="C43" s="193">
        <v>14</v>
      </c>
      <c r="D43" s="193">
        <v>4</v>
      </c>
      <c r="E43" s="193">
        <v>18</v>
      </c>
      <c r="F43" s="193">
        <v>7</v>
      </c>
      <c r="G43" s="193"/>
      <c r="H43" s="193">
        <v>7</v>
      </c>
      <c r="I43" s="193">
        <v>-7</v>
      </c>
      <c r="J43" s="193"/>
      <c r="K43" s="193">
        <v>-7</v>
      </c>
      <c r="L43" s="193">
        <v>6</v>
      </c>
      <c r="M43" s="193">
        <v>13</v>
      </c>
      <c r="N43" s="193"/>
      <c r="O43" s="193"/>
      <c r="P43" s="193"/>
    </row>
    <row r="44" spans="1:16" ht="12" customHeight="1">
      <c r="A44" s="610" t="s">
        <v>808</v>
      </c>
      <c r="B44" s="193"/>
      <c r="C44" s="193">
        <v>1</v>
      </c>
      <c r="D44" s="193"/>
      <c r="E44" s="193">
        <v>1</v>
      </c>
      <c r="F44" s="193">
        <v>-1</v>
      </c>
      <c r="G44" s="193"/>
      <c r="H44" s="193">
        <v>-1</v>
      </c>
      <c r="I44" s="193">
        <v>1</v>
      </c>
      <c r="J44" s="193"/>
      <c r="K44" s="193">
        <v>1</v>
      </c>
      <c r="L44" s="193">
        <v>3</v>
      </c>
      <c r="M44" s="193">
        <v>2</v>
      </c>
      <c r="N44" s="193"/>
      <c r="O44" s="193"/>
      <c r="P44" s="193"/>
    </row>
    <row r="45" spans="1:16" ht="12" customHeight="1">
      <c r="A45" s="426" t="s">
        <v>809</v>
      </c>
      <c r="B45" s="193">
        <v>344</v>
      </c>
      <c r="C45" s="193">
        <v>197</v>
      </c>
      <c r="D45" s="193">
        <v>57</v>
      </c>
      <c r="E45" s="193">
        <v>254</v>
      </c>
      <c r="F45" s="193">
        <v>90</v>
      </c>
      <c r="G45" s="193">
        <v>0</v>
      </c>
      <c r="H45" s="193">
        <v>90</v>
      </c>
      <c r="I45" s="193">
        <v>-90</v>
      </c>
      <c r="J45" s="193">
        <v>0</v>
      </c>
      <c r="K45" s="193">
        <v>-90</v>
      </c>
      <c r="L45" s="193">
        <v>231</v>
      </c>
      <c r="M45" s="193">
        <v>321</v>
      </c>
      <c r="N45" s="193">
        <v>0</v>
      </c>
      <c r="O45" s="193">
        <v>0</v>
      </c>
      <c r="P45" s="193">
        <v>0</v>
      </c>
    </row>
    <row r="46" spans="1:16" ht="12" customHeight="1">
      <c r="A46" s="426" t="s">
        <v>810</v>
      </c>
      <c r="B46" s="193">
        <v>2004</v>
      </c>
      <c r="C46" s="193">
        <v>986</v>
      </c>
      <c r="D46" s="193">
        <v>738</v>
      </c>
      <c r="E46" s="193">
        <v>1724</v>
      </c>
      <c r="F46" s="193">
        <v>280</v>
      </c>
      <c r="G46" s="193">
        <v>-827</v>
      </c>
      <c r="H46" s="193">
        <v>1107</v>
      </c>
      <c r="I46" s="193">
        <v>-1107</v>
      </c>
      <c r="J46" s="193">
        <v>0</v>
      </c>
      <c r="K46" s="193">
        <v>-1107</v>
      </c>
      <c r="L46" s="193">
        <v>1845</v>
      </c>
      <c r="M46" s="193">
        <v>2952</v>
      </c>
      <c r="N46" s="193">
        <v>0</v>
      </c>
      <c r="O46" s="193">
        <v>0</v>
      </c>
      <c r="P46" s="193">
        <v>0</v>
      </c>
    </row>
    <row r="47" ht="17.25" customHeight="1"/>
    <row r="48" ht="17.25" customHeight="1"/>
    <row r="49" s="503" customFormat="1" ht="17.25" customHeight="1">
      <c r="A49" s="603"/>
    </row>
    <row r="54" spans="1:11" s="626" customFormat="1" ht="17.25" customHeight="1">
      <c r="A54" s="41" t="s">
        <v>17</v>
      </c>
      <c r="B54" s="39"/>
      <c r="C54" s="39"/>
      <c r="D54" s="498"/>
      <c r="E54" s="582"/>
      <c r="F54" s="498"/>
      <c r="H54" s="498"/>
      <c r="I54" s="503"/>
      <c r="K54" s="39" t="s">
        <v>215</v>
      </c>
    </row>
    <row r="56" spans="1:8" s="502" customFormat="1" ht="17.25" customHeight="1">
      <c r="A56" s="527"/>
      <c r="B56" s="620"/>
      <c r="C56" s="498"/>
      <c r="D56" s="619"/>
      <c r="E56" s="498"/>
      <c r="F56" s="619"/>
      <c r="G56" s="619"/>
      <c r="H56" s="498"/>
    </row>
    <row r="58" spans="1:16" s="503" customFormat="1" ht="17.25" customHeight="1">
      <c r="A58" s="549" t="s">
        <v>459</v>
      </c>
      <c r="B58" s="139"/>
      <c r="C58" s="1"/>
      <c r="D58" s="139"/>
      <c r="E58" s="139"/>
      <c r="F58" s="139"/>
      <c r="G58" s="1"/>
      <c r="H58" s="627"/>
      <c r="I58" s="139"/>
      <c r="J58" s="139"/>
      <c r="K58" s="139"/>
      <c r="L58" s="139"/>
      <c r="M58" s="139"/>
      <c r="N58" s="139"/>
      <c r="O58" s="139"/>
      <c r="P58" s="139"/>
    </row>
    <row r="59" s="626" customFormat="1" ht="17.25" customHeight="1">
      <c r="A59" s="519" t="s">
        <v>19</v>
      </c>
    </row>
    <row r="60" spans="1:6" s="626" customFormat="1" ht="17.25" customHeight="1">
      <c r="A60" s="628"/>
      <c r="B60" s="498"/>
      <c r="C60" s="498"/>
      <c r="D60" s="498"/>
      <c r="E60" s="498"/>
      <c r="F60" s="498"/>
    </row>
    <row r="61" ht="24" customHeight="1"/>
    <row r="67" ht="17.25" customHeight="1">
      <c r="A67" s="270"/>
    </row>
    <row r="68" s="270" customFormat="1" ht="17.25" customHeight="1">
      <c r="A68" s="517"/>
    </row>
    <row r="69" ht="17.25" customHeight="1">
      <c r="A69" s="517"/>
    </row>
  </sheetData>
  <mergeCells count="12">
    <mergeCell ref="P7:P9"/>
    <mergeCell ref="J8:O8"/>
    <mergeCell ref="A2:P2"/>
    <mergeCell ref="A4:P4"/>
    <mergeCell ref="A5:P5"/>
    <mergeCell ref="A7:A9"/>
    <mergeCell ref="B7:B9"/>
    <mergeCell ref="C7:E8"/>
    <mergeCell ref="F7:F9"/>
    <mergeCell ref="G7:G9"/>
    <mergeCell ref="H7:H9"/>
    <mergeCell ref="I7:I9"/>
  </mergeCells>
  <printOptions/>
  <pageMargins left="0.25" right="0.25" top="1" bottom="1" header="0.5" footer="0.5"/>
  <pageSetup firstPageNumber="42" useFirstPageNumber="1" horizontalDpi="600" verticalDpi="600" orientation="landscape" paperSize="9" scale="92" r:id="rId1"/>
  <headerFooter alignWithMargins="0">
    <oddFooter>&amp;R&amp;9&amp;P</oddFooter>
  </headerFooter>
  <rowBreaks count="1" manualBreakCount="1">
    <brk id="32" max="15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1:F53"/>
  <sheetViews>
    <sheetView workbookViewId="0" topLeftCell="A1">
      <selection activeCell="A21" sqref="A21"/>
    </sheetView>
  </sheetViews>
  <sheetFormatPr defaultColWidth="9.140625" defaultRowHeight="17.25" customHeight="1"/>
  <cols>
    <col min="1" max="1" width="36.28125" style="265" customWidth="1"/>
    <col min="2" max="2" width="14.421875" style="265" customWidth="1"/>
    <col min="3" max="3" width="11.00390625" style="42" customWidth="1"/>
    <col min="4" max="4" width="12.7109375" style="39" customWidth="1"/>
    <col min="5" max="5" width="9.8515625" style="42" customWidth="1"/>
  </cols>
  <sheetData>
    <row r="1" spans="2:5" ht="17.25" customHeight="1">
      <c r="B1" s="51"/>
      <c r="C1" s="420"/>
      <c r="E1" s="419" t="s">
        <v>838</v>
      </c>
    </row>
    <row r="2" ht="17.25" customHeight="1">
      <c r="A2" s="265" t="s">
        <v>528</v>
      </c>
    </row>
    <row r="4" spans="1:5" ht="30" customHeight="1">
      <c r="A4" s="748" t="s">
        <v>839</v>
      </c>
      <c r="B4" s="748"/>
      <c r="C4" s="748"/>
      <c r="D4" s="748"/>
      <c r="E4" s="748"/>
    </row>
    <row r="5" spans="1:5" ht="12.75" customHeight="1">
      <c r="A5" s="754" t="s">
        <v>28</v>
      </c>
      <c r="B5" s="754"/>
      <c r="C5" s="754"/>
      <c r="D5" s="754"/>
      <c r="E5" s="754"/>
    </row>
    <row r="6" ht="17.25" customHeight="1">
      <c r="E6" s="419" t="s">
        <v>94</v>
      </c>
    </row>
    <row r="7" spans="1:5" ht="38.25">
      <c r="A7" s="316" t="s">
        <v>47</v>
      </c>
      <c r="B7" s="554" t="s">
        <v>598</v>
      </c>
      <c r="C7" s="317" t="s">
        <v>531</v>
      </c>
      <c r="D7" s="316" t="s">
        <v>840</v>
      </c>
      <c r="E7" s="9" t="s">
        <v>38</v>
      </c>
    </row>
    <row r="8" spans="1:5" ht="17.25" customHeight="1">
      <c r="A8" s="276">
        <v>1</v>
      </c>
      <c r="B8" s="276">
        <v>2</v>
      </c>
      <c r="C8" s="365">
        <v>3</v>
      </c>
      <c r="D8" s="276">
        <v>4</v>
      </c>
      <c r="E8" s="365">
        <v>5</v>
      </c>
    </row>
    <row r="9" spans="1:5" ht="25.5">
      <c r="A9" s="94" t="s">
        <v>534</v>
      </c>
      <c r="B9" s="276" t="s">
        <v>53</v>
      </c>
      <c r="C9" s="424">
        <v>2004</v>
      </c>
      <c r="D9" s="629"/>
      <c r="E9" s="424">
        <v>902</v>
      </c>
    </row>
    <row r="10" spans="1:5" ht="25.5">
      <c r="A10" s="69" t="s">
        <v>535</v>
      </c>
      <c r="B10" s="276" t="s">
        <v>53</v>
      </c>
      <c r="C10" s="423">
        <v>1551</v>
      </c>
      <c r="D10" s="630"/>
      <c r="E10" s="423">
        <v>710</v>
      </c>
    </row>
    <row r="11" spans="1:5" ht="25.5">
      <c r="A11" s="69" t="s">
        <v>536</v>
      </c>
      <c r="B11" s="276" t="s">
        <v>53</v>
      </c>
      <c r="C11" s="423">
        <v>453</v>
      </c>
      <c r="D11" s="630"/>
      <c r="E11" s="423">
        <v>192</v>
      </c>
    </row>
    <row r="12" spans="1:5" ht="25.5">
      <c r="A12" s="69" t="s">
        <v>537</v>
      </c>
      <c r="B12" s="276" t="s">
        <v>53</v>
      </c>
      <c r="C12" s="423"/>
      <c r="D12" s="630"/>
      <c r="E12" s="423"/>
    </row>
    <row r="13" spans="1:5" ht="17.25" customHeight="1">
      <c r="A13" s="94" t="s">
        <v>538</v>
      </c>
      <c r="B13" s="98">
        <v>6121</v>
      </c>
      <c r="C13" s="98">
        <v>1724</v>
      </c>
      <c r="D13" s="214"/>
      <c r="E13" s="98">
        <v>499</v>
      </c>
    </row>
    <row r="14" spans="1:5" ht="17.25" customHeight="1">
      <c r="A14" s="100" t="s">
        <v>471</v>
      </c>
      <c r="B14" s="98">
        <v>3489</v>
      </c>
      <c r="C14" s="98">
        <v>987</v>
      </c>
      <c r="D14" s="214"/>
      <c r="E14" s="98">
        <v>278</v>
      </c>
    </row>
    <row r="15" spans="1:5" ht="17.25" customHeight="1">
      <c r="A15" s="100" t="s">
        <v>316</v>
      </c>
      <c r="B15" s="382">
        <v>3170</v>
      </c>
      <c r="C15" s="382">
        <v>888</v>
      </c>
      <c r="D15" s="214"/>
      <c r="E15" s="382">
        <v>267</v>
      </c>
    </row>
    <row r="16" spans="1:5" ht="17.25" customHeight="1">
      <c r="A16" s="251" t="s">
        <v>317</v>
      </c>
      <c r="B16" s="429">
        <v>351</v>
      </c>
      <c r="C16" s="423">
        <v>131</v>
      </c>
      <c r="D16" s="194"/>
      <c r="E16" s="423">
        <v>25</v>
      </c>
    </row>
    <row r="17" spans="1:5" ht="25.5">
      <c r="A17" s="69" t="s">
        <v>539</v>
      </c>
      <c r="B17" s="346" t="s">
        <v>53</v>
      </c>
      <c r="C17" s="423">
        <v>32</v>
      </c>
      <c r="D17" s="346" t="s">
        <v>53</v>
      </c>
      <c r="E17" s="423">
        <v>6</v>
      </c>
    </row>
    <row r="18" spans="1:5" ht="17.25" customHeight="1">
      <c r="A18" s="69" t="s">
        <v>319</v>
      </c>
      <c r="B18" s="346" t="s">
        <v>53</v>
      </c>
      <c r="C18" s="291">
        <v>725</v>
      </c>
      <c r="D18" s="346" t="s">
        <v>53</v>
      </c>
      <c r="E18" s="291">
        <v>236</v>
      </c>
    </row>
    <row r="19" spans="1:5" ht="17.25" customHeight="1">
      <c r="A19" s="348" t="s">
        <v>541</v>
      </c>
      <c r="B19" s="432" t="s">
        <v>53</v>
      </c>
      <c r="C19" s="423">
        <v>679</v>
      </c>
      <c r="D19" s="432" t="s">
        <v>53</v>
      </c>
      <c r="E19" s="423">
        <v>220</v>
      </c>
    </row>
    <row r="20" spans="1:5" ht="17.25" customHeight="1">
      <c r="A20" s="348" t="s">
        <v>542</v>
      </c>
      <c r="B20" s="432" t="s">
        <v>53</v>
      </c>
      <c r="C20" s="423">
        <v>46</v>
      </c>
      <c r="D20" s="432" t="s">
        <v>53</v>
      </c>
      <c r="E20" s="423">
        <v>16</v>
      </c>
    </row>
    <row r="21" spans="1:5" ht="17.25" customHeight="1">
      <c r="A21" s="69" t="s">
        <v>543</v>
      </c>
      <c r="B21" s="346" t="s">
        <v>53</v>
      </c>
      <c r="C21" s="423"/>
      <c r="D21" s="346" t="s">
        <v>53</v>
      </c>
      <c r="E21" s="423"/>
    </row>
    <row r="22" spans="1:5" ht="25.5">
      <c r="A22" s="76" t="s">
        <v>320</v>
      </c>
      <c r="B22" s="346" t="s">
        <v>53</v>
      </c>
      <c r="C22" s="291"/>
      <c r="D22" s="631" t="s">
        <v>812</v>
      </c>
      <c r="E22" s="291"/>
    </row>
    <row r="23" spans="1:5" ht="25.5">
      <c r="A23" s="69" t="s">
        <v>544</v>
      </c>
      <c r="B23" s="346" t="s">
        <v>53</v>
      </c>
      <c r="C23" s="423"/>
      <c r="D23" s="346" t="s">
        <v>53</v>
      </c>
      <c r="E23" s="423"/>
    </row>
    <row r="24" spans="1:5" ht="25.5">
      <c r="A24" s="69" t="s">
        <v>545</v>
      </c>
      <c r="B24" s="346" t="s">
        <v>53</v>
      </c>
      <c r="C24" s="423"/>
      <c r="D24" s="346" t="s">
        <v>53</v>
      </c>
      <c r="E24" s="423"/>
    </row>
    <row r="25" spans="1:6" ht="17.25" customHeight="1">
      <c r="A25" s="32" t="s">
        <v>324</v>
      </c>
      <c r="B25" s="426">
        <v>319</v>
      </c>
      <c r="C25" s="382">
        <v>99</v>
      </c>
      <c r="D25" s="214">
        <v>31.03448275862069</v>
      </c>
      <c r="E25" s="382">
        <v>11</v>
      </c>
      <c r="F25" s="481"/>
    </row>
    <row r="26" spans="1:5" ht="17.25" customHeight="1">
      <c r="A26" s="251" t="s">
        <v>325</v>
      </c>
      <c r="B26" s="346" t="s">
        <v>53</v>
      </c>
      <c r="C26" s="423"/>
      <c r="D26" s="346" t="s">
        <v>53</v>
      </c>
      <c r="E26" s="423"/>
    </row>
    <row r="27" spans="1:5" ht="17.25" customHeight="1">
      <c r="A27" s="251" t="s">
        <v>326</v>
      </c>
      <c r="B27" s="346" t="s">
        <v>53</v>
      </c>
      <c r="C27" s="423"/>
      <c r="D27" s="346" t="s">
        <v>53</v>
      </c>
      <c r="E27" s="423"/>
    </row>
    <row r="28" spans="1:5" ht="17.25" customHeight="1">
      <c r="A28" s="69" t="s">
        <v>327</v>
      </c>
      <c r="B28" s="346" t="s">
        <v>53</v>
      </c>
      <c r="C28" s="423"/>
      <c r="D28" s="346" t="s">
        <v>53</v>
      </c>
      <c r="E28" s="423"/>
    </row>
    <row r="29" spans="1:5" ht="17.25" customHeight="1">
      <c r="A29" s="69" t="s">
        <v>546</v>
      </c>
      <c r="B29" s="346" t="s">
        <v>53</v>
      </c>
      <c r="C29" s="423">
        <v>81</v>
      </c>
      <c r="D29" s="346" t="s">
        <v>53</v>
      </c>
      <c r="E29" s="423"/>
    </row>
    <row r="30" spans="1:5" ht="17.25" customHeight="1">
      <c r="A30" s="69" t="s">
        <v>330</v>
      </c>
      <c r="B30" s="346" t="s">
        <v>53</v>
      </c>
      <c r="C30" s="423">
        <v>18</v>
      </c>
      <c r="D30" s="346" t="s">
        <v>53</v>
      </c>
      <c r="E30" s="423">
        <v>2</v>
      </c>
    </row>
    <row r="31" spans="1:5" ht="17.25" customHeight="1">
      <c r="A31" s="130" t="s">
        <v>547</v>
      </c>
      <c r="B31" s="382">
        <v>2632</v>
      </c>
      <c r="C31" s="382">
        <v>737</v>
      </c>
      <c r="D31" s="214">
        <v>28.001519756838906</v>
      </c>
      <c r="E31" s="382">
        <v>221</v>
      </c>
    </row>
    <row r="32" spans="1:5" ht="17.25" customHeight="1">
      <c r="A32" s="69" t="s">
        <v>548</v>
      </c>
      <c r="B32" s="429">
        <v>2319</v>
      </c>
      <c r="C32" s="423">
        <v>688</v>
      </c>
      <c r="D32" s="194">
        <v>29.667960327727467</v>
      </c>
      <c r="E32" s="423">
        <v>223</v>
      </c>
    </row>
    <row r="33" spans="1:5" ht="17.25" customHeight="1">
      <c r="A33" s="69" t="s">
        <v>549</v>
      </c>
      <c r="B33" s="429">
        <v>313</v>
      </c>
      <c r="C33" s="423">
        <v>49</v>
      </c>
      <c r="D33" s="194">
        <v>15.654952076677317</v>
      </c>
      <c r="E33" s="423">
        <v>-2</v>
      </c>
    </row>
    <row r="34" spans="1:5" ht="17.25" customHeight="1">
      <c r="A34" s="555" t="s">
        <v>730</v>
      </c>
      <c r="B34" s="424">
        <v>-921</v>
      </c>
      <c r="C34" s="424">
        <v>-827</v>
      </c>
      <c r="D34" s="214">
        <v>89.79370249728555</v>
      </c>
      <c r="E34" s="424">
        <v>-10</v>
      </c>
    </row>
    <row r="35" spans="1:5" ht="17.25" customHeight="1">
      <c r="A35" s="556" t="s">
        <v>731</v>
      </c>
      <c r="B35" s="429"/>
      <c r="C35" s="423"/>
      <c r="D35" s="194"/>
      <c r="E35" s="423"/>
    </row>
    <row r="36" spans="1:5" ht="25.5">
      <c r="A36" s="556" t="s">
        <v>732</v>
      </c>
      <c r="B36" s="429">
        <v>921</v>
      </c>
      <c r="C36" s="423">
        <v>827</v>
      </c>
      <c r="D36" s="194">
        <v>89.79370249728555</v>
      </c>
      <c r="E36" s="423">
        <v>10</v>
      </c>
    </row>
    <row r="37" spans="1:5" ht="17.25" customHeight="1">
      <c r="A37" s="130" t="s">
        <v>841</v>
      </c>
      <c r="B37" s="382"/>
      <c r="C37" s="382">
        <v>1107</v>
      </c>
      <c r="D37" s="632" t="s">
        <v>53</v>
      </c>
      <c r="E37" s="633" t="s">
        <v>53</v>
      </c>
    </row>
    <row r="38" spans="1:5" ht="17.25" customHeight="1">
      <c r="A38" s="130" t="s">
        <v>350</v>
      </c>
      <c r="B38" s="382"/>
      <c r="C38" s="382">
        <v>-1107</v>
      </c>
      <c r="D38" s="632" t="s">
        <v>53</v>
      </c>
      <c r="E38" s="633" t="s">
        <v>53</v>
      </c>
    </row>
    <row r="39" spans="1:5" ht="25.5">
      <c r="A39" s="134" t="s">
        <v>551</v>
      </c>
      <c r="B39" s="437"/>
      <c r="C39" s="423">
        <v>-1107</v>
      </c>
      <c r="D39" s="346" t="s">
        <v>53</v>
      </c>
      <c r="E39" s="365" t="s">
        <v>53</v>
      </c>
    </row>
    <row r="40" spans="1:5" ht="17.25" customHeight="1">
      <c r="A40" s="737"/>
      <c r="B40" s="737"/>
      <c r="C40" s="737"/>
      <c r="D40" s="737"/>
      <c r="E40" s="737"/>
    </row>
    <row r="42" spans="1:5" ht="17.25" customHeight="1">
      <c r="A42" s="86"/>
      <c r="B42" s="440"/>
      <c r="C42" s="442"/>
      <c r="D42" s="360"/>
      <c r="E42" s="442"/>
    </row>
    <row r="43" spans="1:5" ht="17.25" customHeight="1">
      <c r="A43" s="86"/>
      <c r="B43" s="86"/>
      <c r="C43" s="443"/>
      <c r="D43" s="393"/>
      <c r="E43" s="442"/>
    </row>
    <row r="44" spans="1:4" ht="17.25" customHeight="1">
      <c r="A44" s="41" t="s">
        <v>17</v>
      </c>
      <c r="B44" s="39"/>
      <c r="C44" s="39"/>
      <c r="D44" s="39" t="s">
        <v>215</v>
      </c>
    </row>
    <row r="45" spans="1:4" ht="17.25" customHeight="1">
      <c r="A45" s="86"/>
      <c r="B45" s="440"/>
      <c r="C45" s="442"/>
      <c r="D45" s="360"/>
    </row>
    <row r="46" spans="2:5" ht="17.25" customHeight="1">
      <c r="B46" s="444"/>
      <c r="C46" s="420"/>
      <c r="D46" s="445"/>
      <c r="E46" s="420"/>
    </row>
    <row r="47" spans="2:4" ht="17.25" customHeight="1">
      <c r="B47" s="42"/>
      <c r="D47" s="445"/>
    </row>
    <row r="48" spans="2:4" ht="17.25" customHeight="1">
      <c r="B48" s="42"/>
      <c r="D48" s="445"/>
    </row>
    <row r="49" spans="1:4" ht="17.25" customHeight="1">
      <c r="A49" s="49" t="s">
        <v>90</v>
      </c>
      <c r="B49" s="42"/>
      <c r="D49" s="445"/>
    </row>
    <row r="50" spans="1:4" ht="17.25" customHeight="1">
      <c r="A50" s="49" t="s">
        <v>19</v>
      </c>
      <c r="B50" s="42"/>
      <c r="D50" s="445"/>
    </row>
    <row r="51" ht="17.25" customHeight="1">
      <c r="A51" s="1"/>
    </row>
    <row r="52" ht="17.25" customHeight="1">
      <c r="A52" s="306"/>
    </row>
    <row r="53" spans="2:4" ht="17.25" customHeight="1">
      <c r="B53" s="42"/>
      <c r="D53" s="445"/>
    </row>
  </sheetData>
  <mergeCells count="3">
    <mergeCell ref="A4:E4"/>
    <mergeCell ref="A5:E5"/>
    <mergeCell ref="A40:E40"/>
  </mergeCells>
  <printOptions/>
  <pageMargins left="0.75" right="0.75" top="1" bottom="1" header="0.5" footer="0.5"/>
  <pageSetup firstPageNumber="44" useFirstPageNumber="1" horizontalDpi="600" verticalDpi="600" orientation="portrait" paperSize="9" r:id="rId1"/>
  <headerFooter alignWithMargins="0">
    <oddFooter>&amp;R&amp;9&amp;P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BT38"/>
  <sheetViews>
    <sheetView workbookViewId="0" topLeftCell="A17">
      <selection activeCell="K52" sqref="K52"/>
    </sheetView>
  </sheetViews>
  <sheetFormatPr defaultColWidth="9.140625" defaultRowHeight="17.25" customHeight="1"/>
  <cols>
    <col min="1" max="1" width="36.7109375" style="520" customWidth="1"/>
    <col min="2" max="2" width="11.140625" style="565" customWidth="1"/>
    <col min="3" max="3" width="11.421875" style="498" customWidth="1"/>
    <col min="4" max="4" width="14.28125" style="498" customWidth="1"/>
    <col min="5" max="5" width="14.57421875" style="498" customWidth="1"/>
    <col min="6" max="6" width="8.28125" style="0" customWidth="1"/>
    <col min="9" max="9" width="8.421875" style="0" customWidth="1"/>
    <col min="73" max="16384" width="9.140625" style="498" customWidth="1"/>
  </cols>
  <sheetData>
    <row r="1" spans="2:5" ht="17.25" customHeight="1">
      <c r="B1" s="521"/>
      <c r="C1" s="51"/>
      <c r="D1" s="51"/>
      <c r="E1" s="51" t="s">
        <v>842</v>
      </c>
    </row>
    <row r="2" spans="1:5" ht="12.75">
      <c r="A2" s="781" t="s">
        <v>174</v>
      </c>
      <c r="B2" s="781"/>
      <c r="C2" s="781"/>
      <c r="D2" s="781"/>
      <c r="E2" s="781"/>
    </row>
    <row r="3" spans="1:72" s="38" customFormat="1" ht="17.25" customHeight="1">
      <c r="A3" s="521"/>
      <c r="B3" s="551"/>
      <c r="C3" s="89"/>
      <c r="D3" s="89"/>
      <c r="E3" s="89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</row>
    <row r="4" spans="1:5" ht="17.25" customHeight="1">
      <c r="A4" s="782" t="s">
        <v>843</v>
      </c>
      <c r="B4" s="782"/>
      <c r="C4" s="782"/>
      <c r="D4" s="782"/>
      <c r="E4" s="782"/>
    </row>
    <row r="5" spans="1:72" s="524" customFormat="1" ht="17.25" customHeight="1">
      <c r="A5" s="754" t="s">
        <v>28</v>
      </c>
      <c r="B5" s="754"/>
      <c r="C5" s="754"/>
      <c r="D5" s="754"/>
      <c r="E5" s="754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</row>
    <row r="6" spans="2:5" ht="17.25" customHeight="1">
      <c r="B6" s="553"/>
      <c r="C6" s="38"/>
      <c r="E6" s="2" t="s">
        <v>94</v>
      </c>
    </row>
    <row r="7" spans="1:72" s="38" customFormat="1" ht="22.5">
      <c r="A7" s="554" t="s">
        <v>47</v>
      </c>
      <c r="B7" s="531" t="s">
        <v>598</v>
      </c>
      <c r="C7" s="531" t="s">
        <v>96</v>
      </c>
      <c r="D7" s="531" t="s">
        <v>650</v>
      </c>
      <c r="E7" s="9" t="s">
        <v>38</v>
      </c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</row>
    <row r="8" spans="1:5" ht="12.75">
      <c r="A8" s="532" t="s">
        <v>651</v>
      </c>
      <c r="B8" s="533" t="s">
        <v>694</v>
      </c>
      <c r="C8" s="533" t="s">
        <v>695</v>
      </c>
      <c r="D8" s="533" t="s">
        <v>696</v>
      </c>
      <c r="E8" s="533" t="s">
        <v>652</v>
      </c>
    </row>
    <row r="9" spans="1:5" ht="12.75">
      <c r="A9" s="535" t="s">
        <v>844</v>
      </c>
      <c r="B9" s="185">
        <v>5200</v>
      </c>
      <c r="C9" s="185">
        <v>897</v>
      </c>
      <c r="D9" s="226">
        <v>17.25</v>
      </c>
      <c r="E9" s="185">
        <v>489</v>
      </c>
    </row>
    <row r="10" spans="1:72" s="49" customFormat="1" ht="17.25" customHeight="1">
      <c r="A10" s="555" t="s">
        <v>845</v>
      </c>
      <c r="B10" s="185">
        <v>5198</v>
      </c>
      <c r="C10" s="185">
        <v>895</v>
      </c>
      <c r="D10" s="226">
        <v>17.21816083108888</v>
      </c>
      <c r="E10" s="185">
        <v>489</v>
      </c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</row>
    <row r="11" spans="1:72" s="1" customFormat="1" ht="25.5">
      <c r="A11" s="539" t="s">
        <v>699</v>
      </c>
      <c r="B11" s="193">
        <v>126</v>
      </c>
      <c r="C11" s="193">
        <v>85</v>
      </c>
      <c r="D11" s="209">
        <v>67.46031746031747</v>
      </c>
      <c r="E11" s="193">
        <v>27</v>
      </c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</row>
    <row r="12" spans="1:72" s="1" customFormat="1" ht="17.25" customHeight="1">
      <c r="A12" s="539" t="s">
        <v>366</v>
      </c>
      <c r="B12" s="193"/>
      <c r="C12" s="193"/>
      <c r="D12" s="209"/>
      <c r="E12" s="193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</row>
    <row r="13" spans="1:72" s="1" customFormat="1" ht="25.5">
      <c r="A13" s="539" t="s">
        <v>367</v>
      </c>
      <c r="B13" s="193">
        <v>7</v>
      </c>
      <c r="C13" s="193">
        <v>3</v>
      </c>
      <c r="D13" s="209">
        <v>42.857142857142854</v>
      </c>
      <c r="E13" s="193">
        <v>0</v>
      </c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</row>
    <row r="14" spans="1:72" s="1" customFormat="1" ht="12.75">
      <c r="A14" s="539" t="s">
        <v>368</v>
      </c>
      <c r="B14" s="193">
        <v>898</v>
      </c>
      <c r="C14" s="193">
        <v>277</v>
      </c>
      <c r="D14" s="209">
        <v>30.846325167037865</v>
      </c>
      <c r="E14" s="193">
        <v>67</v>
      </c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</row>
    <row r="15" spans="1:72" s="1" customFormat="1" ht="12.75">
      <c r="A15" s="539" t="s">
        <v>369</v>
      </c>
      <c r="B15" s="193">
        <v>33</v>
      </c>
      <c r="C15" s="193">
        <v>9</v>
      </c>
      <c r="D15" s="209">
        <v>27.27272727272727</v>
      </c>
      <c r="E15" s="193">
        <v>5</v>
      </c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</row>
    <row r="16" spans="1:72" s="1" customFormat="1" ht="25.5">
      <c r="A16" s="539" t="s">
        <v>370</v>
      </c>
      <c r="B16" s="193">
        <v>135</v>
      </c>
      <c r="C16" s="193">
        <v>54</v>
      </c>
      <c r="D16" s="209">
        <v>40</v>
      </c>
      <c r="E16" s="193">
        <v>16</v>
      </c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</row>
    <row r="17" spans="1:72" s="1" customFormat="1" ht="25.5">
      <c r="A17" s="539" t="s">
        <v>371</v>
      </c>
      <c r="B17" s="193">
        <v>3292</v>
      </c>
      <c r="C17" s="193">
        <v>860</v>
      </c>
      <c r="D17" s="209">
        <v>26.123936816524907</v>
      </c>
      <c r="E17" s="193">
        <v>297</v>
      </c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</row>
    <row r="18" spans="1:72" s="1" customFormat="1" ht="12.75">
      <c r="A18" s="539" t="s">
        <v>564</v>
      </c>
      <c r="B18" s="193">
        <v>977</v>
      </c>
      <c r="C18" s="193">
        <v>330</v>
      </c>
      <c r="D18" s="209">
        <v>33.776867963152505</v>
      </c>
      <c r="E18" s="193">
        <v>68</v>
      </c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</row>
    <row r="19" spans="1:72" s="1" customFormat="1" ht="25.5">
      <c r="A19" s="539" t="s">
        <v>373</v>
      </c>
      <c r="B19" s="193">
        <v>-22</v>
      </c>
      <c r="C19" s="193">
        <v>-9</v>
      </c>
      <c r="D19" s="209">
        <v>40.909090909090914</v>
      </c>
      <c r="E19" s="193">
        <v>-2</v>
      </c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</row>
    <row r="20" spans="1:72" s="1" customFormat="1" ht="25.5">
      <c r="A20" s="539" t="s">
        <v>567</v>
      </c>
      <c r="D20" s="209"/>
      <c r="E20" s="193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</row>
    <row r="21" spans="1:72" s="1" customFormat="1" ht="25.5">
      <c r="A21" s="539" t="s">
        <v>375</v>
      </c>
      <c r="B21" s="193"/>
      <c r="C21" s="193"/>
      <c r="D21" s="209"/>
      <c r="E21" s="193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</row>
    <row r="22" spans="1:72" s="1" customFormat="1" ht="12.75">
      <c r="A22" s="539" t="s">
        <v>700</v>
      </c>
      <c r="B22" s="193">
        <v>-756</v>
      </c>
      <c r="C22" s="193">
        <v>-752</v>
      </c>
      <c r="D22" s="209">
        <v>99.47089947089947</v>
      </c>
      <c r="E22" s="193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</row>
    <row r="23" spans="1:72" s="1" customFormat="1" ht="12.75">
      <c r="A23" s="539" t="s">
        <v>377</v>
      </c>
      <c r="B23" s="193">
        <v>307</v>
      </c>
      <c r="C23" s="193">
        <v>38</v>
      </c>
      <c r="D23" s="209">
        <v>12.37785016286645</v>
      </c>
      <c r="E23" s="193">
        <v>13</v>
      </c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</row>
    <row r="24" spans="1:72" s="1" customFormat="1" ht="25.5">
      <c r="A24" s="539" t="s">
        <v>701</v>
      </c>
      <c r="B24" s="193"/>
      <c r="C24" s="193"/>
      <c r="D24" s="209"/>
      <c r="E24" s="193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</row>
    <row r="25" spans="1:72" s="1" customFormat="1" ht="25.5">
      <c r="A25" s="539" t="s">
        <v>702</v>
      </c>
      <c r="B25" s="193"/>
      <c r="C25" s="193"/>
      <c r="D25" s="209"/>
      <c r="E25" s="193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</row>
    <row r="26" spans="1:72" s="1" customFormat="1" ht="12.75">
      <c r="A26" s="539" t="s">
        <v>703</v>
      </c>
      <c r="B26" s="193">
        <v>0</v>
      </c>
      <c r="C26" s="193"/>
      <c r="D26" s="209"/>
      <c r="E26" s="193">
        <v>-1</v>
      </c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</row>
    <row r="27" spans="1:72" s="1" customFormat="1" ht="25.5">
      <c r="A27" s="539" t="s">
        <v>846</v>
      </c>
      <c r="B27" s="193">
        <v>201</v>
      </c>
      <c r="C27" s="193"/>
      <c r="D27" s="209">
        <v>0</v>
      </c>
      <c r="E27" s="193">
        <v>-1</v>
      </c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</row>
    <row r="28" spans="1:72" s="1" customFormat="1" ht="12.75">
      <c r="A28" s="535" t="s">
        <v>674</v>
      </c>
      <c r="B28" s="185">
        <v>2</v>
      </c>
      <c r="C28" s="185">
        <v>2</v>
      </c>
      <c r="D28" s="226">
        <v>100</v>
      </c>
      <c r="E28" s="193">
        <v>0</v>
      </c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</row>
    <row r="29" spans="1:72" s="88" customFormat="1" ht="17.25" customHeight="1">
      <c r="A29" s="559"/>
      <c r="B29" s="139"/>
      <c r="C29" s="139"/>
      <c r="D29" s="139"/>
      <c r="E29" s="13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</row>
    <row r="30" spans="1:72" s="1" customFormat="1" ht="17.25" customHeight="1">
      <c r="A30" s="561"/>
      <c r="B30" s="562"/>
      <c r="C30" s="560"/>
      <c r="D30" s="139"/>
      <c r="E30" s="498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</row>
    <row r="31" spans="1:72" s="1" customFormat="1" ht="17.25" customHeight="1">
      <c r="A31" s="561"/>
      <c r="B31" s="562"/>
      <c r="C31" s="560"/>
      <c r="D31" s="139"/>
      <c r="E31" s="498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</row>
    <row r="32" spans="1:72" s="1" customFormat="1" ht="17.25" customHeight="1">
      <c r="A32" s="49" t="s">
        <v>37</v>
      </c>
      <c r="B32" s="49"/>
      <c r="C32" s="39"/>
      <c r="D32" s="39"/>
      <c r="E32" s="58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</row>
    <row r="33" spans="1:72" s="503" customFormat="1" ht="17.25" customHeight="1">
      <c r="A33" s="49"/>
      <c r="B33" s="49"/>
      <c r="C33" s="518"/>
      <c r="D33" s="518"/>
      <c r="E33" s="518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</row>
    <row r="34" spans="1:72" s="503" customFormat="1" ht="17.25" customHeight="1">
      <c r="A34" s="49"/>
      <c r="B34" s="49"/>
      <c r="C34" s="635"/>
      <c r="D34" s="635"/>
      <c r="E34" s="626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</row>
    <row r="35" spans="1:72" s="503" customFormat="1" ht="17.25" customHeight="1">
      <c r="A35" s="38" t="s">
        <v>171</v>
      </c>
      <c r="B35" s="49"/>
      <c r="E35" s="626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</row>
    <row r="36" spans="1:72" s="503" customFormat="1" ht="17.25" customHeight="1">
      <c r="A36" s="38" t="s">
        <v>34</v>
      </c>
      <c r="B36" s="49"/>
      <c r="C36" s="635"/>
      <c r="D36" s="635"/>
      <c r="E36" s="62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</row>
    <row r="37" spans="1:72" s="503" customFormat="1" ht="17.25" customHeight="1">
      <c r="A37" s="526"/>
      <c r="B37" s="634"/>
      <c r="C37" s="635"/>
      <c r="E37" s="626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</row>
    <row r="38" spans="2:4" ht="17.25" customHeight="1">
      <c r="B38" s="564"/>
      <c r="C38" s="549"/>
      <c r="D38" s="306"/>
    </row>
  </sheetData>
  <mergeCells count="3">
    <mergeCell ref="A2:E2"/>
    <mergeCell ref="A4:E4"/>
    <mergeCell ref="A5:E5"/>
  </mergeCells>
  <printOptions/>
  <pageMargins left="0.75" right="0.27" top="1" bottom="1" header="0.5" footer="0.5"/>
  <pageSetup firstPageNumber="46" useFirstPageNumber="1" horizontalDpi="600" verticalDpi="600" orientation="portrait" paperSize="9" r:id="rId1"/>
  <headerFooter alignWithMargins="0">
    <oddFooter>&amp;R&amp;9&amp;P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F53"/>
  <sheetViews>
    <sheetView workbookViewId="0" topLeftCell="A1">
      <selection activeCell="A16" sqref="A16"/>
    </sheetView>
  </sheetViews>
  <sheetFormatPr defaultColWidth="9.140625" defaultRowHeight="17.25" customHeight="1"/>
  <cols>
    <col min="1" max="1" width="51.7109375" style="498" customWidth="1"/>
    <col min="2" max="2" width="19.140625" style="498" customWidth="1"/>
  </cols>
  <sheetData>
    <row r="1" spans="1:2" ht="17.25" customHeight="1">
      <c r="A1" s="38"/>
      <c r="B1" s="49" t="s">
        <v>847</v>
      </c>
    </row>
    <row r="2" spans="1:2" ht="17.25" customHeight="1">
      <c r="A2" s="755" t="s">
        <v>174</v>
      </c>
      <c r="B2" s="755"/>
    </row>
    <row r="3" spans="1:2" ht="17.25" customHeight="1">
      <c r="A3" s="1"/>
      <c r="B3" s="1"/>
    </row>
    <row r="4" spans="1:2" ht="17.25" customHeight="1">
      <c r="A4" s="756" t="s">
        <v>848</v>
      </c>
      <c r="B4" s="756"/>
    </row>
    <row r="5" spans="1:2" ht="13.5" customHeight="1">
      <c r="A5" s="743" t="s">
        <v>32</v>
      </c>
      <c r="B5" s="743"/>
    </row>
    <row r="6" spans="1:2" ht="17.25" customHeight="1">
      <c r="A6" s="502"/>
      <c r="B6" s="502"/>
    </row>
    <row r="7" spans="1:2" ht="17.25" customHeight="1">
      <c r="A7" s="503"/>
      <c r="B7" s="377" t="s">
        <v>579</v>
      </c>
    </row>
    <row r="8" spans="1:2" ht="17.25" customHeight="1">
      <c r="A8" s="276" t="s">
        <v>47</v>
      </c>
      <c r="B8" s="208" t="s">
        <v>849</v>
      </c>
    </row>
    <row r="9" spans="1:2" ht="12.75">
      <c r="A9" s="276">
        <v>1</v>
      </c>
      <c r="B9" s="208">
        <v>2</v>
      </c>
    </row>
    <row r="10" spans="1:2" ht="18.75" customHeight="1">
      <c r="A10" s="76" t="s">
        <v>850</v>
      </c>
      <c r="B10" s="186">
        <v>14373362</v>
      </c>
    </row>
    <row r="11" spans="1:2" ht="25.5">
      <c r="A11" s="636" t="s">
        <v>851</v>
      </c>
      <c r="B11" s="637"/>
    </row>
    <row r="12" spans="1:2" ht="19.5" customHeight="1">
      <c r="A12" s="638" t="s">
        <v>852</v>
      </c>
      <c r="B12" s="637">
        <v>3171123</v>
      </c>
    </row>
    <row r="13" spans="1:2" ht="19.5" customHeight="1">
      <c r="A13" s="69" t="s">
        <v>853</v>
      </c>
      <c r="B13" s="639">
        <v>11202239</v>
      </c>
    </row>
    <row r="14" spans="1:2" ht="19.5" customHeight="1">
      <c r="A14" s="69" t="s">
        <v>854</v>
      </c>
      <c r="B14" s="639"/>
    </row>
    <row r="15" spans="1:2" ht="19.5" customHeight="1">
      <c r="A15" s="100" t="s">
        <v>855</v>
      </c>
      <c r="B15" s="186">
        <v>14317547</v>
      </c>
    </row>
    <row r="16" spans="1:2" ht="19.5" customHeight="1">
      <c r="A16" s="69" t="s">
        <v>856</v>
      </c>
      <c r="B16" s="639">
        <v>14317547</v>
      </c>
    </row>
    <row r="17" spans="1:2" ht="19.5" customHeight="1">
      <c r="A17" s="100" t="s">
        <v>857</v>
      </c>
      <c r="B17" s="186">
        <v>64997</v>
      </c>
    </row>
    <row r="18" spans="1:2" ht="19.5" customHeight="1">
      <c r="A18" s="69" t="s">
        <v>858</v>
      </c>
      <c r="B18" s="639">
        <v>9182</v>
      </c>
    </row>
    <row r="19" spans="1:2" ht="17.25" customHeight="1">
      <c r="A19" s="85"/>
      <c r="B19" s="85"/>
    </row>
    <row r="20" spans="1:2" ht="17.25" customHeight="1">
      <c r="A20" s="85"/>
      <c r="B20" s="85"/>
    </row>
    <row r="21" spans="1:2" ht="17.25" customHeight="1">
      <c r="A21" s="85"/>
      <c r="B21" s="85"/>
    </row>
    <row r="22" spans="1:6" ht="17.25" customHeight="1">
      <c r="A22" s="49" t="s">
        <v>37</v>
      </c>
      <c r="B22" s="49"/>
      <c r="C22" s="49"/>
      <c r="D22" s="49"/>
      <c r="E22" s="498"/>
      <c r="F22" s="498"/>
    </row>
    <row r="23" spans="1:6" ht="17.25" customHeight="1">
      <c r="A23" s="49"/>
      <c r="B23" s="49"/>
      <c r="C23" s="49"/>
      <c r="D23" s="49"/>
      <c r="E23" s="498"/>
      <c r="F23" s="498"/>
    </row>
    <row r="24" spans="1:6" ht="17.25" customHeight="1">
      <c r="A24" s="49"/>
      <c r="B24" s="49"/>
      <c r="C24" s="49"/>
      <c r="D24" s="49"/>
      <c r="E24" s="498"/>
      <c r="F24" s="498"/>
    </row>
    <row r="25" spans="1:6" ht="17.25" customHeight="1">
      <c r="A25" s="38" t="s">
        <v>171</v>
      </c>
      <c r="B25" s="49"/>
      <c r="C25" s="49"/>
      <c r="D25" s="49"/>
      <c r="E25" s="498"/>
      <c r="F25" s="498"/>
    </row>
    <row r="26" spans="1:6" ht="17.25" customHeight="1">
      <c r="A26" s="38" t="s">
        <v>34</v>
      </c>
      <c r="B26" s="49"/>
      <c r="C26" s="38"/>
      <c r="D26" s="38"/>
      <c r="E26" s="498"/>
      <c r="F26" s="498"/>
    </row>
    <row r="27" spans="1:2" ht="17.25" customHeight="1">
      <c r="A27" s="5"/>
      <c r="B27" s="641"/>
    </row>
    <row r="28" spans="1:2" ht="17.25" customHeight="1">
      <c r="A28" s="5"/>
      <c r="B28" s="1"/>
    </row>
    <row r="29" spans="1:2" ht="17.25" customHeight="1">
      <c r="A29" s="5"/>
      <c r="B29" s="1"/>
    </row>
    <row r="30" spans="1:2" ht="17.25" customHeight="1">
      <c r="A30" s="5"/>
      <c r="B30" s="1"/>
    </row>
    <row r="31" spans="1:2" ht="17.25" customHeight="1">
      <c r="A31" s="5"/>
      <c r="B31" s="1"/>
    </row>
    <row r="32" spans="1:2" ht="17.25" customHeight="1">
      <c r="A32" s="1"/>
      <c r="B32" s="1"/>
    </row>
    <row r="33" spans="1:2" ht="17.25" customHeight="1">
      <c r="A33" s="1"/>
      <c r="B33" s="1"/>
    </row>
    <row r="34" spans="1:2" ht="17.25" customHeight="1">
      <c r="A34" s="5"/>
      <c r="B34" s="1"/>
    </row>
    <row r="35" spans="1:2" ht="17.25" customHeight="1">
      <c r="A35" s="5"/>
      <c r="B35" s="1"/>
    </row>
    <row r="36" spans="1:2" ht="17.25" customHeight="1">
      <c r="A36" s="5"/>
      <c r="B36" s="1"/>
    </row>
    <row r="38" ht="17.25" customHeight="1">
      <c r="A38" s="49"/>
    </row>
    <row r="39" ht="17.25" customHeight="1">
      <c r="A39" s="49"/>
    </row>
    <row r="42" ht="17.25" customHeight="1">
      <c r="A42" s="5"/>
    </row>
    <row r="43" ht="17.25" customHeight="1">
      <c r="A43" s="5"/>
    </row>
    <row r="46" ht="17.25" customHeight="1">
      <c r="A46" s="5"/>
    </row>
    <row r="47" ht="17.25" customHeight="1">
      <c r="A47" s="5"/>
    </row>
    <row r="48" ht="17.25" customHeight="1">
      <c r="A48" s="5"/>
    </row>
    <row r="49" ht="17.25" customHeight="1">
      <c r="A49" s="5"/>
    </row>
    <row r="50" ht="17.25" customHeight="1">
      <c r="A50" s="5"/>
    </row>
    <row r="51" ht="17.25" customHeight="1">
      <c r="A51" s="5"/>
    </row>
    <row r="52" ht="17.25" customHeight="1">
      <c r="A52" s="5"/>
    </row>
    <row r="53" ht="17.25" customHeight="1">
      <c r="A53" s="5"/>
    </row>
  </sheetData>
  <mergeCells count="3">
    <mergeCell ref="A2:B2"/>
    <mergeCell ref="A4:B4"/>
    <mergeCell ref="A5:B5"/>
  </mergeCells>
  <printOptions/>
  <pageMargins left="0.75" right="0.75" top="1" bottom="1" header="0.5" footer="0.5"/>
  <pageSetup firstPageNumber="47" useFirstPageNumber="1" horizontalDpi="600" verticalDpi="600" orientation="portrait" paperSize="9" r:id="rId1"/>
  <headerFooter alignWithMargins="0">
    <oddFooter>&amp;R&amp;9&amp;P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J62"/>
  <sheetViews>
    <sheetView workbookViewId="0" topLeftCell="A1">
      <selection activeCell="K22" sqref="K22"/>
    </sheetView>
  </sheetViews>
  <sheetFormatPr defaultColWidth="9.140625" defaultRowHeight="17.25" customHeight="1"/>
  <cols>
    <col min="1" max="1" width="19.8515625" style="498" customWidth="1"/>
    <col min="2" max="2" width="11.00390625" style="498" customWidth="1"/>
    <col min="3" max="4" width="12.7109375" style="498" customWidth="1"/>
    <col min="5" max="5" width="12.140625" style="498" customWidth="1"/>
    <col min="6" max="6" width="10.7109375" style="498" customWidth="1"/>
    <col min="7" max="7" width="12.7109375" style="498" customWidth="1"/>
    <col min="8" max="8" width="11.140625" style="498" customWidth="1"/>
    <col min="9" max="9" width="14.00390625" style="498" customWidth="1"/>
    <col min="10" max="16384" width="12.7109375" style="498" customWidth="1"/>
  </cols>
  <sheetData>
    <row r="1" spans="2:10" ht="17.25" customHeight="1">
      <c r="B1" s="49"/>
      <c r="C1" s="49"/>
      <c r="D1" s="49"/>
      <c r="E1" s="49"/>
      <c r="F1" s="49"/>
      <c r="G1" s="49"/>
      <c r="H1" s="49"/>
      <c r="I1" s="39" t="s">
        <v>859</v>
      </c>
      <c r="J1" s="642"/>
    </row>
    <row r="2" spans="1:9" ht="17.25" customHeight="1">
      <c r="A2" s="755" t="s">
        <v>174</v>
      </c>
      <c r="B2" s="755"/>
      <c r="C2" s="755"/>
      <c r="D2" s="755"/>
      <c r="E2" s="755"/>
      <c r="F2" s="755"/>
      <c r="G2" s="755"/>
      <c r="H2" s="755"/>
      <c r="I2" s="755"/>
    </row>
    <row r="3" spans="1:9" ht="17.25" customHeight="1">
      <c r="A3" s="1"/>
      <c r="B3" s="1"/>
      <c r="C3" s="1"/>
      <c r="D3" s="1"/>
      <c r="E3" s="1"/>
      <c r="F3" s="1"/>
      <c r="G3" s="1"/>
      <c r="H3" s="1"/>
      <c r="I3" s="1"/>
    </row>
    <row r="4" spans="1:9" ht="17.25" customHeight="1">
      <c r="A4" s="756" t="s">
        <v>860</v>
      </c>
      <c r="B4" s="756"/>
      <c r="C4" s="756"/>
      <c r="D4" s="756"/>
      <c r="E4" s="756"/>
      <c r="F4" s="756"/>
      <c r="G4" s="756"/>
      <c r="H4" s="756"/>
      <c r="I4" s="756"/>
    </row>
    <row r="5" spans="1:9" ht="17.25" customHeight="1">
      <c r="A5" s="743" t="s">
        <v>28</v>
      </c>
      <c r="B5" s="743"/>
      <c r="C5" s="743"/>
      <c r="D5" s="743"/>
      <c r="E5" s="743"/>
      <c r="F5" s="743"/>
      <c r="G5" s="743"/>
      <c r="H5" s="743"/>
      <c r="I5" s="743"/>
    </row>
    <row r="6" spans="1:9" ht="17.25" customHeight="1">
      <c r="A6" s="583"/>
      <c r="B6" s="1"/>
      <c r="C6" s="1"/>
      <c r="D6" s="1"/>
      <c r="E6" s="1"/>
      <c r="F6" s="1"/>
      <c r="G6" s="1"/>
      <c r="H6" s="1"/>
      <c r="I6" s="1"/>
    </row>
    <row r="7" spans="1:9" ht="17.25" customHeight="1">
      <c r="A7" s="502"/>
      <c r="B7" s="502"/>
      <c r="C7" s="502"/>
      <c r="D7" s="502"/>
      <c r="E7" s="502"/>
      <c r="F7" s="502"/>
      <c r="G7" s="502"/>
      <c r="H7" s="502"/>
      <c r="I7" s="502" t="s">
        <v>861</v>
      </c>
    </row>
    <row r="8" spans="1:9" ht="17.25" customHeight="1">
      <c r="A8" s="796" t="s">
        <v>862</v>
      </c>
      <c r="B8" s="796" t="s">
        <v>863</v>
      </c>
      <c r="C8" s="796" t="s">
        <v>864</v>
      </c>
      <c r="D8" s="796" t="s">
        <v>865</v>
      </c>
      <c r="E8" s="796" t="s">
        <v>866</v>
      </c>
      <c r="F8" s="796" t="s">
        <v>867</v>
      </c>
      <c r="G8" s="589" t="s">
        <v>868</v>
      </c>
      <c r="H8" s="643"/>
      <c r="I8" s="796" t="s">
        <v>869</v>
      </c>
    </row>
    <row r="9" spans="1:9" ht="39.75" customHeight="1">
      <c r="A9" s="798"/>
      <c r="B9" s="798"/>
      <c r="C9" s="798"/>
      <c r="D9" s="798"/>
      <c r="E9" s="798"/>
      <c r="F9" s="798"/>
      <c r="G9" s="9" t="s">
        <v>870</v>
      </c>
      <c r="H9" s="9" t="s">
        <v>871</v>
      </c>
      <c r="I9" s="798"/>
    </row>
    <row r="10" spans="1:9" ht="11.25">
      <c r="A10" s="22">
        <v>1</v>
      </c>
      <c r="B10" s="22">
        <v>2</v>
      </c>
      <c r="C10" s="22">
        <v>3</v>
      </c>
      <c r="D10" s="22">
        <v>4</v>
      </c>
      <c r="E10" s="22">
        <v>5</v>
      </c>
      <c r="F10" s="22">
        <v>6</v>
      </c>
      <c r="G10" s="22">
        <v>7</v>
      </c>
      <c r="H10" s="22">
        <v>8</v>
      </c>
      <c r="I10" s="22">
        <v>9</v>
      </c>
    </row>
    <row r="11" spans="1:9" ht="12">
      <c r="A11" s="610" t="s">
        <v>774</v>
      </c>
      <c r="B11" s="639">
        <v>28700</v>
      </c>
      <c r="C11" s="639">
        <v>1789758</v>
      </c>
      <c r="D11" s="407">
        <v>22006</v>
      </c>
      <c r="E11" s="639">
        <v>9109832</v>
      </c>
      <c r="F11" s="407"/>
      <c r="G11" s="407"/>
      <c r="H11" s="407"/>
      <c r="I11" s="639">
        <v>10950296</v>
      </c>
    </row>
    <row r="12" spans="1:9" ht="12">
      <c r="A12" s="610" t="s">
        <v>775</v>
      </c>
      <c r="B12" s="407">
        <v>138000</v>
      </c>
      <c r="C12" s="407">
        <v>234052</v>
      </c>
      <c r="D12" s="407">
        <v>2162</v>
      </c>
      <c r="E12" s="639">
        <v>1452153</v>
      </c>
      <c r="F12" s="407"/>
      <c r="G12" s="407">
        <v>11250</v>
      </c>
      <c r="H12" s="407"/>
      <c r="I12" s="639">
        <v>1837617</v>
      </c>
    </row>
    <row r="13" spans="1:9" ht="12" customHeight="1">
      <c r="A13" s="610" t="s">
        <v>776</v>
      </c>
      <c r="B13" s="407">
        <v>192000</v>
      </c>
      <c r="C13" s="407">
        <v>200500</v>
      </c>
      <c r="D13" s="407">
        <v>6125</v>
      </c>
      <c r="E13" s="639">
        <v>863638</v>
      </c>
      <c r="F13" s="407"/>
      <c r="G13" s="407">
        <v>6092</v>
      </c>
      <c r="H13" s="407"/>
      <c r="I13" s="639">
        <v>1268355</v>
      </c>
    </row>
    <row r="14" spans="1:9" ht="12" customHeight="1">
      <c r="A14" s="610" t="s">
        <v>777</v>
      </c>
      <c r="B14" s="407">
        <v>10000</v>
      </c>
      <c r="C14" s="407">
        <v>50220</v>
      </c>
      <c r="D14" s="407">
        <v>384</v>
      </c>
      <c r="E14" s="639">
        <v>664974</v>
      </c>
      <c r="F14" s="407"/>
      <c r="G14" s="407"/>
      <c r="H14" s="407"/>
      <c r="I14" s="639">
        <v>725578</v>
      </c>
    </row>
    <row r="15" spans="1:9" ht="12" customHeight="1">
      <c r="A15" s="610" t="s">
        <v>778</v>
      </c>
      <c r="B15" s="407">
        <v>150000</v>
      </c>
      <c r="C15" s="407">
        <v>272677</v>
      </c>
      <c r="D15" s="407">
        <v>2162</v>
      </c>
      <c r="E15" s="639">
        <v>1059364</v>
      </c>
      <c r="F15" s="407"/>
      <c r="G15" s="407"/>
      <c r="H15" s="407"/>
      <c r="I15" s="639">
        <v>1484203</v>
      </c>
    </row>
    <row r="16" spans="1:9" ht="12" customHeight="1">
      <c r="A16" s="610" t="s">
        <v>779</v>
      </c>
      <c r="B16" s="407">
        <v>45300</v>
      </c>
      <c r="C16" s="407">
        <v>193429</v>
      </c>
      <c r="D16" s="407">
        <v>1801</v>
      </c>
      <c r="E16" s="407">
        <v>479730</v>
      </c>
      <c r="F16" s="407"/>
      <c r="G16" s="407">
        <v>7500</v>
      </c>
      <c r="H16" s="407"/>
      <c r="I16" s="639">
        <v>727760</v>
      </c>
    </row>
    <row r="17" spans="1:9" ht="12" customHeight="1">
      <c r="A17" s="610" t="s">
        <v>780</v>
      </c>
      <c r="C17" s="407">
        <v>19209</v>
      </c>
      <c r="D17" s="407">
        <v>1441</v>
      </c>
      <c r="E17" s="639">
        <v>517988</v>
      </c>
      <c r="F17" s="407"/>
      <c r="G17" s="407">
        <v>11250</v>
      </c>
      <c r="H17" s="407"/>
      <c r="I17" s="639">
        <v>549888</v>
      </c>
    </row>
    <row r="18" spans="1:9" ht="12" customHeight="1">
      <c r="A18" s="610" t="s">
        <v>783</v>
      </c>
      <c r="B18" s="407">
        <v>111800</v>
      </c>
      <c r="C18" s="407">
        <v>181265</v>
      </c>
      <c r="D18" s="407">
        <v>1441</v>
      </c>
      <c r="E18" s="639">
        <v>717506</v>
      </c>
      <c r="F18" s="407"/>
      <c r="G18" s="407">
        <v>15750</v>
      </c>
      <c r="H18" s="407">
        <v>4838</v>
      </c>
      <c r="I18" s="639">
        <v>1032600</v>
      </c>
    </row>
    <row r="19" spans="1:9" ht="12" customHeight="1">
      <c r="A19" s="610" t="s">
        <v>784</v>
      </c>
      <c r="B19" s="407">
        <v>13800</v>
      </c>
      <c r="C19" s="407">
        <v>216338</v>
      </c>
      <c r="D19" s="407">
        <v>1802</v>
      </c>
      <c r="E19" s="407">
        <v>458045</v>
      </c>
      <c r="F19" s="407"/>
      <c r="G19" s="407"/>
      <c r="H19" s="407"/>
      <c r="I19" s="639">
        <v>689985</v>
      </c>
    </row>
    <row r="20" spans="1:9" ht="12" customHeight="1">
      <c r="A20" s="610" t="s">
        <v>785</v>
      </c>
      <c r="B20" s="407">
        <v>177500</v>
      </c>
      <c r="C20" s="407">
        <v>174270</v>
      </c>
      <c r="D20" s="407">
        <v>2883</v>
      </c>
      <c r="E20" s="407">
        <v>517488</v>
      </c>
      <c r="F20" s="407"/>
      <c r="G20" s="407"/>
      <c r="H20" s="407">
        <v>3675</v>
      </c>
      <c r="I20" s="639">
        <v>875816</v>
      </c>
    </row>
    <row r="21" spans="1:9" ht="12" customHeight="1">
      <c r="A21" s="610" t="s">
        <v>786</v>
      </c>
      <c r="B21" s="407">
        <v>128000</v>
      </c>
      <c r="C21" s="407">
        <v>289325</v>
      </c>
      <c r="D21" s="407">
        <v>2522</v>
      </c>
      <c r="E21" s="639">
        <v>841834</v>
      </c>
      <c r="F21" s="407"/>
      <c r="G21" s="407">
        <v>9750</v>
      </c>
      <c r="H21" s="407"/>
      <c r="I21" s="639">
        <v>1271431</v>
      </c>
    </row>
    <row r="22" spans="1:9" ht="12" customHeight="1">
      <c r="A22" s="610" t="s">
        <v>787</v>
      </c>
      <c r="B22" s="407">
        <v>26500</v>
      </c>
      <c r="C22" s="639">
        <v>533335</v>
      </c>
      <c r="D22" s="407">
        <v>2883</v>
      </c>
      <c r="E22" s="639">
        <v>998215</v>
      </c>
      <c r="F22" s="407"/>
      <c r="G22" s="407">
        <v>19838</v>
      </c>
      <c r="H22" s="407">
        <v>15750</v>
      </c>
      <c r="I22" s="639">
        <v>1596521</v>
      </c>
    </row>
    <row r="23" spans="1:9" ht="12" customHeight="1">
      <c r="A23" s="610" t="s">
        <v>788</v>
      </c>
      <c r="B23" s="407">
        <v>130300</v>
      </c>
      <c r="C23" s="407">
        <v>171045</v>
      </c>
      <c r="D23" s="407">
        <v>1081</v>
      </c>
      <c r="E23" s="639">
        <v>575761</v>
      </c>
      <c r="F23" s="407"/>
      <c r="G23" s="407">
        <v>37500</v>
      </c>
      <c r="H23" s="407">
        <v>8325</v>
      </c>
      <c r="I23" s="639">
        <v>924012</v>
      </c>
    </row>
    <row r="24" spans="1:9" ht="12" customHeight="1">
      <c r="A24" s="610" t="s">
        <v>789</v>
      </c>
      <c r="B24" s="407">
        <v>74550</v>
      </c>
      <c r="C24" s="407">
        <v>75250</v>
      </c>
      <c r="D24" s="407">
        <v>1802</v>
      </c>
      <c r="E24" s="639">
        <v>718424</v>
      </c>
      <c r="F24" s="407"/>
      <c r="G24" s="407">
        <v>40763</v>
      </c>
      <c r="H24" s="407">
        <v>13620</v>
      </c>
      <c r="I24" s="639">
        <v>924409</v>
      </c>
    </row>
    <row r="25" spans="1:9" ht="12" customHeight="1">
      <c r="A25" s="610" t="s">
        <v>790</v>
      </c>
      <c r="B25" s="407">
        <v>35000</v>
      </c>
      <c r="C25" s="407">
        <v>73000</v>
      </c>
      <c r="D25" s="407">
        <v>1081</v>
      </c>
      <c r="E25" s="407">
        <v>498006</v>
      </c>
      <c r="F25" s="407"/>
      <c r="G25" s="407">
        <v>5250</v>
      </c>
      <c r="H25" s="407">
        <v>11250</v>
      </c>
      <c r="I25" s="639">
        <v>623587</v>
      </c>
    </row>
    <row r="26" spans="1:9" ht="12" customHeight="1">
      <c r="A26" s="610" t="s">
        <v>791</v>
      </c>
      <c r="B26" s="407">
        <v>25000</v>
      </c>
      <c r="C26" s="407">
        <v>141000</v>
      </c>
      <c r="D26" s="407">
        <v>1441</v>
      </c>
      <c r="E26" s="639">
        <v>623849</v>
      </c>
      <c r="F26" s="407"/>
      <c r="G26" s="407"/>
      <c r="H26" s="407">
        <v>16557</v>
      </c>
      <c r="I26" s="639">
        <v>807847</v>
      </c>
    </row>
    <row r="27" spans="1:9" ht="12" customHeight="1">
      <c r="A27" s="610" t="s">
        <v>792</v>
      </c>
      <c r="B27" s="407">
        <v>142750</v>
      </c>
      <c r="C27" s="407">
        <v>222250</v>
      </c>
      <c r="D27" s="407">
        <v>1802</v>
      </c>
      <c r="E27" s="639">
        <v>833466</v>
      </c>
      <c r="F27" s="407"/>
      <c r="G27" s="407">
        <v>19819</v>
      </c>
      <c r="H27" s="407">
        <v>4215</v>
      </c>
      <c r="I27" s="639">
        <v>1224302</v>
      </c>
    </row>
    <row r="28" spans="1:9" ht="12" customHeight="1">
      <c r="A28" s="610" t="s">
        <v>793</v>
      </c>
      <c r="B28" s="407">
        <v>4000</v>
      </c>
      <c r="C28" s="407">
        <v>85150</v>
      </c>
      <c r="D28" s="407">
        <v>1146</v>
      </c>
      <c r="E28" s="639">
        <v>595554</v>
      </c>
      <c r="F28" s="407"/>
      <c r="G28" s="407">
        <v>5250</v>
      </c>
      <c r="H28" s="407">
        <v>19275</v>
      </c>
      <c r="I28" s="639">
        <v>710375</v>
      </c>
    </row>
    <row r="29" spans="1:9" ht="12" customHeight="1">
      <c r="A29" s="610" t="s">
        <v>794</v>
      </c>
      <c r="B29" s="407">
        <v>375500</v>
      </c>
      <c r="C29" s="407">
        <v>231250</v>
      </c>
      <c r="D29" s="407">
        <v>1802</v>
      </c>
      <c r="E29" s="639">
        <v>666705</v>
      </c>
      <c r="F29" s="407"/>
      <c r="G29" s="407">
        <v>41400</v>
      </c>
      <c r="H29" s="407">
        <v>15475</v>
      </c>
      <c r="I29" s="639">
        <v>1332132</v>
      </c>
    </row>
    <row r="30" spans="1:9" ht="12" customHeight="1">
      <c r="A30" s="610" t="s">
        <v>795</v>
      </c>
      <c r="B30" s="407">
        <v>15500</v>
      </c>
      <c r="C30" s="407">
        <v>257060</v>
      </c>
      <c r="D30" s="407">
        <v>1801</v>
      </c>
      <c r="E30" s="639">
        <v>793684</v>
      </c>
      <c r="F30" s="407"/>
      <c r="G30" s="407">
        <v>31500</v>
      </c>
      <c r="H30" s="407">
        <v>10549</v>
      </c>
      <c r="I30" s="639">
        <v>1110094</v>
      </c>
    </row>
    <row r="31" spans="1:9" ht="12" customHeight="1">
      <c r="A31" s="610" t="s">
        <v>796</v>
      </c>
      <c r="B31" s="407">
        <v>10000</v>
      </c>
      <c r="C31" s="407">
        <v>76525</v>
      </c>
      <c r="D31" s="407">
        <v>1801</v>
      </c>
      <c r="E31" s="639">
        <v>641900</v>
      </c>
      <c r="F31" s="407"/>
      <c r="G31" s="407">
        <v>10200</v>
      </c>
      <c r="H31" s="407"/>
      <c r="I31" s="639">
        <v>740426</v>
      </c>
    </row>
    <row r="32" spans="1:9" ht="12" customHeight="1">
      <c r="A32" s="610" t="s">
        <v>797</v>
      </c>
      <c r="B32" s="407">
        <v>170800</v>
      </c>
      <c r="C32" s="407">
        <v>75570</v>
      </c>
      <c r="D32" s="407">
        <v>1801</v>
      </c>
      <c r="E32" s="639">
        <v>533458</v>
      </c>
      <c r="F32" s="407"/>
      <c r="G32" s="407">
        <v>30135</v>
      </c>
      <c r="H32" s="407">
        <v>1411</v>
      </c>
      <c r="I32" s="639">
        <v>813175</v>
      </c>
    </row>
    <row r="33" spans="1:9" ht="12" customHeight="1">
      <c r="A33" s="610" t="s">
        <v>798</v>
      </c>
      <c r="B33" s="407">
        <v>433500</v>
      </c>
      <c r="C33" s="407">
        <v>140820</v>
      </c>
      <c r="D33" s="407">
        <v>3243</v>
      </c>
      <c r="E33" s="639">
        <v>776906</v>
      </c>
      <c r="F33" s="407"/>
      <c r="G33" s="407">
        <v>4425</v>
      </c>
      <c r="H33" s="407"/>
      <c r="I33" s="639">
        <v>1358894</v>
      </c>
    </row>
    <row r="34" spans="1:9" ht="12" customHeight="1">
      <c r="A34" s="610" t="s">
        <v>799</v>
      </c>
      <c r="B34" s="407">
        <v>64641</v>
      </c>
      <c r="C34" s="407">
        <v>122965</v>
      </c>
      <c r="D34" s="407">
        <v>2883</v>
      </c>
      <c r="E34" s="639">
        <v>879132</v>
      </c>
      <c r="F34" s="407"/>
      <c r="G34" s="407"/>
      <c r="H34" s="407">
        <v>10500</v>
      </c>
      <c r="I34" s="639">
        <v>1080121</v>
      </c>
    </row>
    <row r="35" spans="1:9" ht="12" customHeight="1">
      <c r="A35" s="610" t="s">
        <v>800</v>
      </c>
      <c r="B35" s="407">
        <v>230000</v>
      </c>
      <c r="C35" s="407">
        <v>222675</v>
      </c>
      <c r="D35" s="407">
        <v>2883</v>
      </c>
      <c r="E35" s="639">
        <v>713401</v>
      </c>
      <c r="F35" s="407"/>
      <c r="G35" s="407"/>
      <c r="H35" s="407">
        <v>27885</v>
      </c>
      <c r="I35" s="639">
        <v>1196844</v>
      </c>
    </row>
    <row r="36" spans="1:9" ht="12" customHeight="1">
      <c r="A36" s="610" t="s">
        <v>801</v>
      </c>
      <c r="B36" s="407">
        <v>92000</v>
      </c>
      <c r="C36" s="407">
        <v>304310</v>
      </c>
      <c r="D36" s="407">
        <v>1801</v>
      </c>
      <c r="E36" s="639">
        <v>733184</v>
      </c>
      <c r="F36" s="407"/>
      <c r="G36" s="407">
        <v>36000</v>
      </c>
      <c r="H36" s="407"/>
      <c r="I36" s="639">
        <v>1167295</v>
      </c>
    </row>
    <row r="37" spans="1:9" ht="12" customHeight="1">
      <c r="A37" s="610" t="s">
        <v>802</v>
      </c>
      <c r="B37" s="407">
        <v>328672</v>
      </c>
      <c r="C37" s="407">
        <v>276025</v>
      </c>
      <c r="D37" s="407">
        <v>5765</v>
      </c>
      <c r="E37" s="639">
        <v>1763564</v>
      </c>
      <c r="F37" s="407"/>
      <c r="G37" s="407">
        <v>12000</v>
      </c>
      <c r="H37" s="407"/>
      <c r="I37" s="639">
        <v>2386026</v>
      </c>
    </row>
    <row r="38" spans="1:9" ht="12" customHeight="1">
      <c r="A38" s="610" t="s">
        <v>803</v>
      </c>
      <c r="B38" s="407">
        <v>242000</v>
      </c>
      <c r="C38" s="407">
        <v>289410</v>
      </c>
      <c r="D38" s="407">
        <v>1801</v>
      </c>
      <c r="E38" s="639">
        <v>693437</v>
      </c>
      <c r="F38" s="407"/>
      <c r="G38" s="407"/>
      <c r="H38" s="407"/>
      <c r="I38" s="639">
        <v>1226648</v>
      </c>
    </row>
    <row r="39" spans="1:9" ht="12" customHeight="1">
      <c r="A39" s="610" t="s">
        <v>804</v>
      </c>
      <c r="B39" s="407">
        <v>97400</v>
      </c>
      <c r="C39" s="407">
        <v>131500</v>
      </c>
      <c r="D39" s="407">
        <v>2522</v>
      </c>
      <c r="E39" s="639">
        <v>840567</v>
      </c>
      <c r="F39" s="407"/>
      <c r="G39" s="407">
        <v>5250</v>
      </c>
      <c r="H39" s="407"/>
      <c r="I39" s="639">
        <v>1077239</v>
      </c>
    </row>
    <row r="40" spans="1:9" ht="12" customHeight="1">
      <c r="A40" s="610" t="s">
        <v>805</v>
      </c>
      <c r="B40" s="639">
        <v>321300</v>
      </c>
      <c r="C40" s="407">
        <v>366564</v>
      </c>
      <c r="D40" s="407">
        <v>1801</v>
      </c>
      <c r="E40" s="639">
        <v>876829</v>
      </c>
      <c r="F40" s="639"/>
      <c r="G40" s="639">
        <v>17639</v>
      </c>
      <c r="H40" s="639">
        <v>19425</v>
      </c>
      <c r="I40" s="639">
        <v>1603558</v>
      </c>
    </row>
    <row r="41" spans="1:9" ht="12" customHeight="1">
      <c r="A41" s="610" t="s">
        <v>806</v>
      </c>
      <c r="B41" s="407">
        <v>50000</v>
      </c>
      <c r="C41" s="407">
        <v>96110</v>
      </c>
      <c r="D41" s="407">
        <v>2883</v>
      </c>
      <c r="E41" s="639">
        <v>537410</v>
      </c>
      <c r="F41" s="639"/>
      <c r="G41" s="639">
        <v>24600</v>
      </c>
      <c r="H41" s="639"/>
      <c r="I41" s="639">
        <v>711003</v>
      </c>
    </row>
    <row r="42" spans="1:9" ht="12" customHeight="1">
      <c r="A42" s="610" t="s">
        <v>807</v>
      </c>
      <c r="B42" s="407">
        <v>30000</v>
      </c>
      <c r="C42" s="407">
        <v>432400</v>
      </c>
      <c r="D42" s="407">
        <v>3243</v>
      </c>
      <c r="E42" s="639">
        <v>1074957</v>
      </c>
      <c r="F42" s="639">
        <v>2795</v>
      </c>
      <c r="G42" s="639">
        <v>7500</v>
      </c>
      <c r="H42" s="639">
        <v>5250</v>
      </c>
      <c r="I42" s="639">
        <v>1556145</v>
      </c>
    </row>
    <row r="43" spans="1:9" ht="12" customHeight="1">
      <c r="A43" s="610" t="s">
        <v>808</v>
      </c>
      <c r="B43" s="407"/>
      <c r="C43" s="407">
        <v>89920</v>
      </c>
      <c r="D43" s="407">
        <v>1377</v>
      </c>
      <c r="E43" s="407">
        <v>247184</v>
      </c>
      <c r="F43" s="558"/>
      <c r="G43" s="639">
        <v>21000</v>
      </c>
      <c r="H43" s="639"/>
      <c r="I43" s="639">
        <v>359481</v>
      </c>
    </row>
    <row r="44" spans="1:9" ht="12" customHeight="1">
      <c r="A44" s="426" t="s">
        <v>810</v>
      </c>
      <c r="B44" s="644">
        <v>3894513</v>
      </c>
      <c r="C44" s="644">
        <v>8035177</v>
      </c>
      <c r="D44" s="644">
        <v>93372</v>
      </c>
      <c r="E44" s="644">
        <v>33298145</v>
      </c>
      <c r="F44" s="644">
        <v>2795</v>
      </c>
      <c r="G44" s="644">
        <v>431661</v>
      </c>
      <c r="H44" s="644">
        <v>188000</v>
      </c>
      <c r="I44" s="644">
        <v>45943663</v>
      </c>
    </row>
    <row r="45" spans="1:9" ht="17.25" customHeight="1">
      <c r="A45" s="645"/>
      <c r="B45" s="646"/>
      <c r="C45" s="646"/>
      <c r="D45" s="646"/>
      <c r="E45" s="646"/>
      <c r="F45" s="646"/>
      <c r="G45" s="646"/>
      <c r="H45" s="646"/>
      <c r="I45" s="646"/>
    </row>
    <row r="46" spans="1:9" ht="17.25" customHeight="1">
      <c r="A46" s="645"/>
      <c r="B46" s="646"/>
      <c r="C46" s="646"/>
      <c r="D46" s="647"/>
      <c r="E46" s="646"/>
      <c r="F46" s="646"/>
      <c r="G46" s="646"/>
      <c r="H46" s="646"/>
      <c r="I46" s="646"/>
    </row>
    <row r="47" spans="1:9" ht="17.25" customHeight="1">
      <c r="A47" s="645"/>
      <c r="B47" s="646"/>
      <c r="C47" s="646"/>
      <c r="D47" s="646"/>
      <c r="E47" s="646"/>
      <c r="F47" s="646"/>
      <c r="G47" s="646"/>
      <c r="H47" s="646"/>
      <c r="I47" s="646"/>
    </row>
    <row r="48" spans="1:8" ht="17.25" customHeight="1">
      <c r="A48" s="648"/>
      <c r="B48" s="649"/>
      <c r="C48" s="650"/>
      <c r="D48" s="651"/>
      <c r="E48" s="651"/>
      <c r="F48" s="651"/>
      <c r="G48" s="651"/>
      <c r="H48" s="651"/>
    </row>
    <row r="49" spans="1:9" s="503" customFormat="1" ht="17.25" customHeight="1">
      <c r="A49" s="635"/>
      <c r="B49" s="635"/>
      <c r="C49" s="652"/>
      <c r="D49" s="515"/>
      <c r="E49" s="653"/>
      <c r="F49" s="635"/>
      <c r="G49" s="515"/>
      <c r="H49" s="653"/>
      <c r="I49" s="518"/>
    </row>
    <row r="50" spans="1:9" ht="17.25" customHeight="1">
      <c r="A50" s="654"/>
      <c r="B50" s="655"/>
      <c r="C50" s="655"/>
      <c r="D50" s="655"/>
      <c r="E50" s="515"/>
      <c r="F50" s="656"/>
      <c r="G50" s="656"/>
      <c r="H50" s="656"/>
      <c r="I50" s="515"/>
    </row>
    <row r="51" spans="1:7" ht="17.25" customHeight="1">
      <c r="A51" s="49" t="s">
        <v>35</v>
      </c>
      <c r="B51" s="49"/>
      <c r="C51" s="49"/>
      <c r="D51" s="49"/>
      <c r="G51" s="39"/>
    </row>
    <row r="52" spans="1:4" ht="17.25" customHeight="1">
      <c r="A52" s="49"/>
      <c r="B52" s="49"/>
      <c r="C52" s="49"/>
      <c r="D52" s="49"/>
    </row>
    <row r="53" spans="1:4" ht="17.25" customHeight="1">
      <c r="A53" s="49"/>
      <c r="B53" s="49"/>
      <c r="C53" s="49"/>
      <c r="D53" s="49"/>
    </row>
    <row r="54" spans="1:4" ht="17.25" customHeight="1">
      <c r="A54" s="38" t="s">
        <v>171</v>
      </c>
      <c r="B54" s="49"/>
      <c r="C54" s="49"/>
      <c r="D54" s="49"/>
    </row>
    <row r="55" spans="1:4" ht="17.25" customHeight="1">
      <c r="A55" s="38" t="s">
        <v>34</v>
      </c>
      <c r="B55" s="49"/>
      <c r="C55" s="38"/>
      <c r="D55" s="38"/>
    </row>
    <row r="62" ht="17.25" customHeight="1">
      <c r="A62" s="38"/>
    </row>
  </sheetData>
  <mergeCells count="10">
    <mergeCell ref="A2:I2"/>
    <mergeCell ref="A4:I4"/>
    <mergeCell ref="A5:I5"/>
    <mergeCell ref="A8:A9"/>
    <mergeCell ref="B8:B9"/>
    <mergeCell ref="C8:C9"/>
    <mergeCell ref="D8:D9"/>
    <mergeCell ref="E8:E9"/>
    <mergeCell ref="F8:F9"/>
    <mergeCell ref="I8:I9"/>
  </mergeCells>
  <printOptions/>
  <pageMargins left="1.21" right="0.75" top="1" bottom="1" header="0.5" footer="0.5"/>
  <pageSetup firstPageNumber="48" useFirstPageNumber="1" horizontalDpi="600" verticalDpi="600" orientation="landscape" paperSize="9" r:id="rId1"/>
  <headerFooter alignWithMargins="0">
    <oddFooter>&amp;R&amp;9&amp;P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CM63"/>
  <sheetViews>
    <sheetView workbookViewId="0" topLeftCell="A35">
      <selection activeCell="K52" sqref="K52"/>
    </sheetView>
  </sheetViews>
  <sheetFormatPr defaultColWidth="9.140625" defaultRowHeight="12.75"/>
  <cols>
    <col min="1" max="1" width="4.421875" style="49" customWidth="1"/>
    <col min="2" max="2" width="45.140625" style="49" customWidth="1"/>
    <col min="3" max="3" width="19.8515625" style="49" customWidth="1"/>
    <col min="4" max="4" width="21.140625" style="49" customWidth="1"/>
    <col min="92" max="16384" width="9.140625" style="49" customWidth="1"/>
  </cols>
  <sheetData>
    <row r="1" ht="12.75">
      <c r="D1" s="313" t="s">
        <v>872</v>
      </c>
    </row>
    <row r="2" spans="1:4" ht="12.75">
      <c r="A2" s="755" t="s">
        <v>174</v>
      </c>
      <c r="B2" s="755"/>
      <c r="C2" s="755"/>
      <c r="D2" s="755"/>
    </row>
    <row r="4" spans="1:91" s="583" customFormat="1" ht="15.75">
      <c r="A4" s="469" t="s">
        <v>873</v>
      </c>
      <c r="B4" s="469"/>
      <c r="C4" s="469"/>
      <c r="D4" s="469"/>
      <c r="E4" s="524"/>
      <c r="F4" s="524"/>
      <c r="G4" s="524"/>
      <c r="H4" s="524"/>
      <c r="I4" s="524"/>
      <c r="J4" s="524"/>
      <c r="K4" s="524"/>
      <c r="L4" s="524"/>
      <c r="M4" s="524"/>
      <c r="N4" s="524"/>
      <c r="O4" s="524"/>
      <c r="P4" s="524"/>
      <c r="Q4" s="524"/>
      <c r="R4" s="524"/>
      <c r="S4" s="524"/>
      <c r="T4" s="524"/>
      <c r="U4" s="524"/>
      <c r="V4" s="524"/>
      <c r="W4" s="524"/>
      <c r="X4" s="524"/>
      <c r="Y4" s="524"/>
      <c r="Z4" s="524"/>
      <c r="AA4" s="524"/>
      <c r="AB4" s="524"/>
      <c r="AC4" s="524"/>
      <c r="AD4" s="524"/>
      <c r="AE4" s="524"/>
      <c r="AF4" s="524"/>
      <c r="AG4" s="524"/>
      <c r="AH4" s="524"/>
      <c r="AI4" s="524"/>
      <c r="AJ4" s="524"/>
      <c r="AK4" s="524"/>
      <c r="AL4" s="524"/>
      <c r="AM4" s="524"/>
      <c r="AN4" s="524"/>
      <c r="AO4" s="524"/>
      <c r="AP4" s="524"/>
      <c r="AQ4" s="524"/>
      <c r="AR4" s="524"/>
      <c r="AS4" s="524"/>
      <c r="AT4" s="524"/>
      <c r="AU4" s="524"/>
      <c r="AV4" s="524"/>
      <c r="AW4" s="524"/>
      <c r="AX4" s="524"/>
      <c r="AY4" s="524"/>
      <c r="AZ4" s="524"/>
      <c r="BA4" s="524"/>
      <c r="BB4" s="524"/>
      <c r="BC4" s="524"/>
      <c r="BD4" s="524"/>
      <c r="BE4" s="524"/>
      <c r="BF4" s="524"/>
      <c r="BG4" s="524"/>
      <c r="BH4" s="524"/>
      <c r="BI4" s="524"/>
      <c r="BJ4" s="524"/>
      <c r="BK4" s="524"/>
      <c r="BL4" s="524"/>
      <c r="BM4" s="524"/>
      <c r="BN4" s="524"/>
      <c r="BO4" s="524"/>
      <c r="BP4" s="524"/>
      <c r="BQ4" s="524"/>
      <c r="BR4" s="524"/>
      <c r="BS4" s="524"/>
      <c r="BT4" s="524"/>
      <c r="BU4" s="524"/>
      <c r="BV4" s="524"/>
      <c r="BW4" s="524"/>
      <c r="BX4" s="524"/>
      <c r="BY4" s="524"/>
      <c r="BZ4" s="524"/>
      <c r="CA4" s="524"/>
      <c r="CB4" s="524"/>
      <c r="CC4" s="524"/>
      <c r="CD4" s="524"/>
      <c r="CE4" s="524"/>
      <c r="CF4" s="524"/>
      <c r="CG4" s="524"/>
      <c r="CH4" s="524"/>
      <c r="CI4" s="524"/>
      <c r="CJ4" s="524"/>
      <c r="CK4" s="524"/>
      <c r="CL4" s="524"/>
      <c r="CM4" s="524"/>
    </row>
    <row r="5" spans="1:91" s="583" customFormat="1" ht="15.75">
      <c r="A5" s="470" t="s">
        <v>18</v>
      </c>
      <c r="B5" s="469"/>
      <c r="C5" s="469"/>
      <c r="D5" s="469"/>
      <c r="E5" s="524"/>
      <c r="F5" s="524"/>
      <c r="G5" s="524"/>
      <c r="H5" s="524"/>
      <c r="I5" s="524"/>
      <c r="J5" s="524"/>
      <c r="K5" s="524"/>
      <c r="L5" s="524"/>
      <c r="M5" s="524"/>
      <c r="N5" s="524"/>
      <c r="O5" s="524"/>
      <c r="P5" s="524"/>
      <c r="Q5" s="524"/>
      <c r="R5" s="524"/>
      <c r="S5" s="524"/>
      <c r="T5" s="524"/>
      <c r="U5" s="524"/>
      <c r="V5" s="524"/>
      <c r="W5" s="524"/>
      <c r="X5" s="524"/>
      <c r="Y5" s="524"/>
      <c r="Z5" s="524"/>
      <c r="AA5" s="524"/>
      <c r="AB5" s="524"/>
      <c r="AC5" s="524"/>
      <c r="AD5" s="524"/>
      <c r="AE5" s="524"/>
      <c r="AF5" s="524"/>
      <c r="AG5" s="524"/>
      <c r="AH5" s="524"/>
      <c r="AI5" s="524"/>
      <c r="AJ5" s="524"/>
      <c r="AK5" s="524"/>
      <c r="AL5" s="524"/>
      <c r="AM5" s="524"/>
      <c r="AN5" s="524"/>
      <c r="AO5" s="524"/>
      <c r="AP5" s="524"/>
      <c r="AQ5" s="524"/>
      <c r="AR5" s="524"/>
      <c r="AS5" s="524"/>
      <c r="AT5" s="524"/>
      <c r="AU5" s="524"/>
      <c r="AV5" s="524"/>
      <c r="AW5" s="524"/>
      <c r="AX5" s="524"/>
      <c r="AY5" s="524"/>
      <c r="AZ5" s="524"/>
      <c r="BA5" s="524"/>
      <c r="BB5" s="524"/>
      <c r="BC5" s="524"/>
      <c r="BD5" s="524"/>
      <c r="BE5" s="524"/>
      <c r="BF5" s="524"/>
      <c r="BG5" s="524"/>
      <c r="BH5" s="524"/>
      <c r="BI5" s="524"/>
      <c r="BJ5" s="524"/>
      <c r="BK5" s="524"/>
      <c r="BL5" s="524"/>
      <c r="BM5" s="524"/>
      <c r="BN5" s="524"/>
      <c r="BO5" s="524"/>
      <c r="BP5" s="524"/>
      <c r="BQ5" s="524"/>
      <c r="BR5" s="524"/>
      <c r="BS5" s="524"/>
      <c r="BT5" s="524"/>
      <c r="BU5" s="524"/>
      <c r="BV5" s="524"/>
      <c r="BW5" s="524"/>
      <c r="BX5" s="524"/>
      <c r="BY5" s="524"/>
      <c r="BZ5" s="524"/>
      <c r="CA5" s="524"/>
      <c r="CB5" s="524"/>
      <c r="CC5" s="524"/>
      <c r="CD5" s="524"/>
      <c r="CE5" s="524"/>
      <c r="CF5" s="524"/>
      <c r="CG5" s="524"/>
      <c r="CH5" s="524"/>
      <c r="CI5" s="524"/>
      <c r="CJ5" s="524"/>
      <c r="CK5" s="524"/>
      <c r="CL5" s="524"/>
      <c r="CM5" s="524"/>
    </row>
    <row r="7" spans="1:91" s="660" customFormat="1" ht="15">
      <c r="A7" s="657"/>
      <c r="B7" s="658" t="s">
        <v>874</v>
      </c>
      <c r="C7" s="659" t="s">
        <v>875</v>
      </c>
      <c r="D7" s="659" t="s">
        <v>876</v>
      </c>
      <c r="E7" s="524"/>
      <c r="F7" s="524"/>
      <c r="G7" s="524"/>
      <c r="H7" s="524"/>
      <c r="I7" s="524"/>
      <c r="J7" s="524"/>
      <c r="K7" s="524"/>
      <c r="L7" s="524"/>
      <c r="M7" s="524"/>
      <c r="N7" s="524"/>
      <c r="O7" s="524"/>
      <c r="P7" s="524"/>
      <c r="Q7" s="524"/>
      <c r="R7" s="524"/>
      <c r="S7" s="524"/>
      <c r="T7" s="524"/>
      <c r="U7" s="524"/>
      <c r="V7" s="524"/>
      <c r="W7" s="524"/>
      <c r="X7" s="524"/>
      <c r="Y7" s="524"/>
      <c r="Z7" s="524"/>
      <c r="AA7" s="524"/>
      <c r="AB7" s="524"/>
      <c r="AC7" s="524"/>
      <c r="AD7" s="524"/>
      <c r="AE7" s="524"/>
      <c r="AF7" s="524"/>
      <c r="AG7" s="524"/>
      <c r="AH7" s="524"/>
      <c r="AI7" s="524"/>
      <c r="AJ7" s="524"/>
      <c r="AK7" s="524"/>
      <c r="AL7" s="524"/>
      <c r="AM7" s="524"/>
      <c r="AN7" s="524"/>
      <c r="AO7" s="524"/>
      <c r="AP7" s="524"/>
      <c r="AQ7" s="524"/>
      <c r="AR7" s="524"/>
      <c r="AS7" s="524"/>
      <c r="AT7" s="524"/>
      <c r="AU7" s="524"/>
      <c r="AV7" s="524"/>
      <c r="AW7" s="524"/>
      <c r="AX7" s="524"/>
      <c r="AY7" s="524"/>
      <c r="AZ7" s="524"/>
      <c r="BA7" s="524"/>
      <c r="BB7" s="524"/>
      <c r="BC7" s="524"/>
      <c r="BD7" s="524"/>
      <c r="BE7" s="524"/>
      <c r="BF7" s="524"/>
      <c r="BG7" s="524"/>
      <c r="BH7" s="524"/>
      <c r="BI7" s="524"/>
      <c r="BJ7" s="524"/>
      <c r="BK7" s="524"/>
      <c r="BL7" s="524"/>
      <c r="BM7" s="524"/>
      <c r="BN7" s="524"/>
      <c r="BO7" s="524"/>
      <c r="BP7" s="524"/>
      <c r="BQ7" s="524"/>
      <c r="BR7" s="524"/>
      <c r="BS7" s="524"/>
      <c r="BT7" s="524"/>
      <c r="BU7" s="524"/>
      <c r="BV7" s="524"/>
      <c r="BW7" s="524"/>
      <c r="BX7" s="524"/>
      <c r="BY7" s="524"/>
      <c r="BZ7" s="524"/>
      <c r="CA7" s="524"/>
      <c r="CB7" s="524"/>
      <c r="CC7" s="524"/>
      <c r="CD7" s="524"/>
      <c r="CE7" s="524"/>
      <c r="CF7" s="524"/>
      <c r="CG7" s="524"/>
      <c r="CH7" s="524"/>
      <c r="CI7" s="524"/>
      <c r="CJ7" s="524"/>
      <c r="CK7" s="524"/>
      <c r="CL7" s="524"/>
      <c r="CM7" s="524"/>
    </row>
    <row r="8" spans="1:91" s="664" customFormat="1" ht="6" customHeight="1">
      <c r="A8" s="661"/>
      <c r="B8" s="662"/>
      <c r="C8" s="663"/>
      <c r="D8" s="662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</row>
    <row r="9" spans="1:91" s="5" customFormat="1" ht="15">
      <c r="A9" s="665" t="s">
        <v>877</v>
      </c>
      <c r="B9" s="666" t="s">
        <v>878</v>
      </c>
      <c r="D9" s="667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</row>
    <row r="10" spans="1:91" s="5" customFormat="1" ht="15">
      <c r="A10" s="665"/>
      <c r="B10" s="666" t="s">
        <v>879</v>
      </c>
      <c r="C10" s="668" t="s">
        <v>880</v>
      </c>
      <c r="D10" s="669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</row>
    <row r="11" spans="1:91" s="5" customFormat="1" ht="8.25" customHeight="1">
      <c r="A11" s="665"/>
      <c r="B11" s="666"/>
      <c r="C11" s="668"/>
      <c r="D11" s="669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</row>
    <row r="12" spans="1:91" s="5" customFormat="1" ht="14.25">
      <c r="A12" s="670"/>
      <c r="B12" s="671" t="s">
        <v>881</v>
      </c>
      <c r="C12" s="672">
        <v>20</v>
      </c>
      <c r="D12" s="672">
        <v>10</v>
      </c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</row>
    <row r="13" spans="1:91" s="5" customFormat="1" ht="14.25">
      <c r="A13" s="670"/>
      <c r="B13" s="671" t="s">
        <v>882</v>
      </c>
      <c r="C13" s="672"/>
      <c r="D13" s="672">
        <v>30</v>
      </c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</row>
    <row r="14" spans="1:91" s="5" customFormat="1" ht="14.25">
      <c r="A14" s="670"/>
      <c r="B14" s="671" t="s">
        <v>883</v>
      </c>
      <c r="C14" s="672">
        <v>46</v>
      </c>
      <c r="D14" s="672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</row>
    <row r="15" spans="1:91" s="5" customFormat="1" ht="14.25">
      <c r="A15" s="670"/>
      <c r="B15" s="671" t="s">
        <v>884</v>
      </c>
      <c r="C15" s="672">
        <v>62</v>
      </c>
      <c r="D15" s="672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</row>
    <row r="16" spans="1:91" s="5" customFormat="1" ht="14.25">
      <c r="A16" s="670"/>
      <c r="B16" s="671" t="s">
        <v>885</v>
      </c>
      <c r="C16" s="672">
        <v>79</v>
      </c>
      <c r="D16" s="672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</row>
    <row r="17" spans="1:91" s="5" customFormat="1" ht="14.25">
      <c r="A17" s="670"/>
      <c r="B17" s="673" t="s">
        <v>886</v>
      </c>
      <c r="C17" s="672"/>
      <c r="D17" s="672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</row>
    <row r="18" spans="1:91" s="5" customFormat="1" ht="6" customHeight="1">
      <c r="A18" s="674"/>
      <c r="B18" s="667"/>
      <c r="C18" s="378"/>
      <c r="D18" s="675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</row>
    <row r="19" spans="1:91" s="5" customFormat="1" ht="15">
      <c r="A19" s="665" t="s">
        <v>887</v>
      </c>
      <c r="B19" s="666" t="s">
        <v>888</v>
      </c>
      <c r="C19" s="668" t="s">
        <v>889</v>
      </c>
      <c r="D19" s="66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</row>
    <row r="20" spans="1:91" s="5" customFormat="1" ht="15">
      <c r="A20" s="665"/>
      <c r="B20" s="666" t="s">
        <v>890</v>
      </c>
      <c r="C20" s="49"/>
      <c r="D20" s="676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</row>
    <row r="21" spans="1:91" s="5" customFormat="1" ht="16.5" customHeight="1">
      <c r="A21" s="670"/>
      <c r="C21" s="677" t="s">
        <v>891</v>
      </c>
      <c r="D21" s="677" t="s">
        <v>892</v>
      </c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</row>
    <row r="22" spans="1:91" s="5" customFormat="1" ht="14.25">
      <c r="A22" s="670"/>
      <c r="B22" s="678" t="s">
        <v>893</v>
      </c>
      <c r="C22" s="679" t="s">
        <v>894</v>
      </c>
      <c r="D22" s="679" t="s">
        <v>894</v>
      </c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</row>
    <row r="23" spans="1:91" s="5" customFormat="1" ht="14.25">
      <c r="A23" s="670"/>
      <c r="B23" s="671" t="s">
        <v>895</v>
      </c>
      <c r="C23" s="680" t="s">
        <v>896</v>
      </c>
      <c r="D23" s="680" t="s">
        <v>897</v>
      </c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</row>
    <row r="24" spans="1:91" s="5" customFormat="1" ht="14.25">
      <c r="A24" s="670"/>
      <c r="B24" s="671" t="s">
        <v>898</v>
      </c>
      <c r="C24" s="680"/>
      <c r="D24" s="680" t="s">
        <v>897</v>
      </c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</row>
    <row r="25" spans="1:91" s="5" customFormat="1" ht="14.25">
      <c r="A25" s="670"/>
      <c r="B25" s="671" t="s">
        <v>899</v>
      </c>
      <c r="C25" s="680" t="s">
        <v>900</v>
      </c>
      <c r="D25" s="680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</row>
    <row r="26" spans="1:91" s="5" customFormat="1" ht="14.25">
      <c r="A26" s="670"/>
      <c r="B26" s="671" t="s">
        <v>901</v>
      </c>
      <c r="C26" s="680" t="s">
        <v>902</v>
      </c>
      <c r="D26" s="681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</row>
    <row r="27" spans="1:91" s="5" customFormat="1" ht="14.25">
      <c r="A27" s="670"/>
      <c r="B27" s="671" t="s">
        <v>903</v>
      </c>
      <c r="C27" s="680" t="s">
        <v>904</v>
      </c>
      <c r="D27" s="681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</row>
    <row r="28" spans="1:91" s="5" customFormat="1" ht="14.25">
      <c r="A28" s="670"/>
      <c r="B28" s="671"/>
      <c r="C28" s="680"/>
      <c r="D28" s="680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</row>
    <row r="29" spans="1:91" s="5" customFormat="1" ht="12" customHeight="1">
      <c r="A29" s="670"/>
      <c r="B29" s="667"/>
      <c r="C29" s="682"/>
      <c r="D29" s="666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</row>
    <row r="30" spans="1:91" s="5" customFormat="1" ht="15">
      <c r="A30" s="665" t="s">
        <v>905</v>
      </c>
      <c r="B30" s="666" t="s">
        <v>906</v>
      </c>
      <c r="D30" s="667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</row>
    <row r="31" spans="1:91" s="5" customFormat="1" ht="15">
      <c r="A31" s="665"/>
      <c r="B31" s="666" t="s">
        <v>907</v>
      </c>
      <c r="C31" s="668" t="s">
        <v>880</v>
      </c>
      <c r="D31" s="669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</row>
    <row r="32" spans="1:4" ht="12" customHeight="1">
      <c r="A32" s="683"/>
      <c r="B32" s="684"/>
      <c r="D32" s="685"/>
    </row>
    <row r="33" spans="1:91" s="5" customFormat="1" ht="14.25">
      <c r="A33" s="670"/>
      <c r="B33" s="671" t="s">
        <v>895</v>
      </c>
      <c r="C33" s="672">
        <v>0</v>
      </c>
      <c r="D33" s="672">
        <v>0</v>
      </c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</row>
    <row r="34" spans="1:91" s="5" customFormat="1" ht="14.25">
      <c r="A34" s="670"/>
      <c r="B34" s="671" t="s">
        <v>898</v>
      </c>
      <c r="C34" s="672"/>
      <c r="D34" s="672">
        <v>0</v>
      </c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</row>
    <row r="35" spans="1:91" s="5" customFormat="1" ht="14.25">
      <c r="A35" s="670"/>
      <c r="B35" s="671" t="s">
        <v>899</v>
      </c>
      <c r="C35" s="672">
        <v>0</v>
      </c>
      <c r="D35" s="672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</row>
    <row r="36" spans="1:91" s="5" customFormat="1" ht="14.25">
      <c r="A36" s="670"/>
      <c r="B36" s="671" t="s">
        <v>901</v>
      </c>
      <c r="C36" s="672">
        <v>0</v>
      </c>
      <c r="D36" s="672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</row>
    <row r="37" spans="1:91" s="5" customFormat="1" ht="14.25">
      <c r="A37" s="670"/>
      <c r="B37" s="671" t="s">
        <v>903</v>
      </c>
      <c r="C37" s="672">
        <v>0</v>
      </c>
      <c r="D37" s="672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</row>
    <row r="38" spans="1:91" s="5" customFormat="1" ht="14.25">
      <c r="A38" s="670"/>
      <c r="B38" s="671"/>
      <c r="C38" s="672"/>
      <c r="D38" s="672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</row>
    <row r="39" spans="1:4" ht="12.75">
      <c r="A39" s="683"/>
      <c r="B39" s="676"/>
      <c r="C39" s="393"/>
      <c r="D39" s="686"/>
    </row>
    <row r="40" spans="1:91" s="5" customFormat="1" ht="15">
      <c r="A40" s="665" t="s">
        <v>908</v>
      </c>
      <c r="B40" s="666" t="s">
        <v>909</v>
      </c>
      <c r="D40" s="667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</row>
    <row r="41" spans="1:91" s="5" customFormat="1" ht="15">
      <c r="A41" s="665"/>
      <c r="B41" s="666" t="s">
        <v>910</v>
      </c>
      <c r="C41" s="668" t="s">
        <v>880</v>
      </c>
      <c r="D41" s="669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</row>
    <row r="42" spans="1:4" ht="12" customHeight="1">
      <c r="A42" s="683"/>
      <c r="B42" s="684"/>
      <c r="D42" s="676"/>
    </row>
    <row r="43" spans="1:91" s="5" customFormat="1" ht="14.25">
      <c r="A43" s="670"/>
      <c r="B43" s="671" t="s">
        <v>881</v>
      </c>
      <c r="C43" s="672">
        <v>295</v>
      </c>
      <c r="D43" s="672">
        <v>299</v>
      </c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</row>
    <row r="44" spans="1:91" s="5" customFormat="1" ht="14.25">
      <c r="A44" s="670"/>
      <c r="B44" s="671" t="s">
        <v>882</v>
      </c>
      <c r="C44" s="672"/>
      <c r="D44" s="672">
        <v>520</v>
      </c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</row>
    <row r="45" spans="1:91" s="5" customFormat="1" ht="14.25">
      <c r="A45" s="670"/>
      <c r="B45" s="671" t="s">
        <v>911</v>
      </c>
      <c r="C45" s="672">
        <v>606</v>
      </c>
      <c r="D45" s="672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</row>
    <row r="46" spans="1:91" s="5" customFormat="1" ht="14.25">
      <c r="A46" s="670"/>
      <c r="B46" s="671" t="s">
        <v>912</v>
      </c>
      <c r="C46" s="672">
        <v>920</v>
      </c>
      <c r="D46" s="672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</row>
    <row r="47" spans="1:91" s="5" customFormat="1" ht="14.25">
      <c r="A47" s="670"/>
      <c r="B47" s="671" t="s">
        <v>913</v>
      </c>
      <c r="C47" s="672">
        <v>1247</v>
      </c>
      <c r="D47" s="672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</row>
    <row r="48" spans="2:4" ht="12.75">
      <c r="B48" s="687" t="s">
        <v>25</v>
      </c>
      <c r="D48" s="688"/>
    </row>
    <row r="49" spans="1:4" ht="12.75">
      <c r="A49" s="689"/>
      <c r="B49" s="690" t="s">
        <v>26</v>
      </c>
      <c r="C49" s="689"/>
      <c r="D49" s="691"/>
    </row>
    <row r="54" ht="12.75">
      <c r="A54" s="49" t="s">
        <v>35</v>
      </c>
    </row>
    <row r="57" ht="12.75">
      <c r="A57" s="38" t="s">
        <v>171</v>
      </c>
    </row>
    <row r="58" spans="1:91" s="38" customFormat="1" ht="12.75">
      <c r="A58" s="38" t="s">
        <v>34</v>
      </c>
      <c r="B58" s="49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</row>
    <row r="62" spans="2:91" s="38" customFormat="1" ht="10.5" customHeight="1">
      <c r="B62" s="49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</row>
    <row r="63" spans="2:91" s="38" customFormat="1" ht="12.75">
      <c r="B63" s="49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</row>
  </sheetData>
  <mergeCells count="1">
    <mergeCell ref="A2:D2"/>
  </mergeCells>
  <printOptions/>
  <pageMargins left="0.75" right="0.27" top="0.51" bottom="0.2" header="0.5" footer="0.5"/>
  <pageSetup firstPageNumber="50" useFirstPageNumber="1" horizontalDpi="600" verticalDpi="600" orientation="portrait" paperSize="9" r:id="rId1"/>
  <headerFooter alignWithMargins="0">
    <oddFooter>&amp;R&amp;9&amp;P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DC229"/>
  <sheetViews>
    <sheetView workbookViewId="0" topLeftCell="K68">
      <selection activeCell="N100" sqref="N100"/>
    </sheetView>
  </sheetViews>
  <sheetFormatPr defaultColWidth="9.140625" defaultRowHeight="12.75"/>
  <cols>
    <col min="1" max="1" width="46.8515625" style="49" hidden="1" customWidth="1"/>
    <col min="2" max="2" width="10.57421875" style="49" hidden="1" customWidth="1"/>
    <col min="3" max="3" width="9.57421875" style="49" hidden="1" customWidth="1"/>
    <col min="4" max="4" width="5.8515625" style="49" hidden="1" customWidth="1"/>
    <col min="5" max="5" width="10.57421875" style="49" hidden="1" customWidth="1"/>
    <col min="6" max="6" width="9.57421875" style="49" hidden="1" customWidth="1"/>
    <col min="7" max="7" width="5.8515625" style="49" hidden="1" customWidth="1"/>
    <col min="8" max="8" width="10.57421875" style="49" hidden="1" customWidth="1"/>
    <col min="9" max="9" width="8.8515625" style="49" hidden="1" customWidth="1"/>
    <col min="10" max="10" width="6.140625" style="49" hidden="1" customWidth="1"/>
    <col min="11" max="11" width="47.28125" style="49" customWidth="1"/>
    <col min="12" max="12" width="9.8515625" style="49" customWidth="1"/>
    <col min="13" max="13" width="9.140625" style="49" customWidth="1"/>
    <col min="14" max="14" width="7.7109375" style="49" customWidth="1"/>
    <col min="15" max="15" width="10.140625" style="49" customWidth="1"/>
    <col min="16" max="16" width="8.8515625" style="49" customWidth="1"/>
    <col min="17" max="17" width="7.8515625" style="49" customWidth="1"/>
    <col min="18" max="18" width="10.140625" style="49" customWidth="1"/>
    <col min="19" max="19" width="8.8515625" style="49" customWidth="1"/>
    <col min="20" max="20" width="8.140625" style="49" customWidth="1"/>
    <col min="21" max="107" width="9.8515625" style="0" customWidth="1"/>
    <col min="108" max="16384" width="9.8515625" style="49" customWidth="1"/>
  </cols>
  <sheetData>
    <row r="1" ht="12.75">
      <c r="T1" s="313" t="s">
        <v>914</v>
      </c>
    </row>
    <row r="2" spans="1:19" ht="17.25" customHeight="1">
      <c r="A2" s="51" t="s">
        <v>218</v>
      </c>
      <c r="B2" s="51"/>
      <c r="C2" s="180"/>
      <c r="D2" s="51"/>
      <c r="E2" s="51"/>
      <c r="F2" s="180"/>
      <c r="G2" s="180"/>
      <c r="H2" s="180"/>
      <c r="I2" s="180"/>
      <c r="K2" s="51" t="s">
        <v>218</v>
      </c>
      <c r="L2" s="51"/>
      <c r="M2" s="180"/>
      <c r="N2" s="51"/>
      <c r="O2" s="51"/>
      <c r="P2" s="180"/>
      <c r="Q2" s="180"/>
      <c r="R2" s="180"/>
      <c r="S2" s="180"/>
    </row>
    <row r="3" spans="1:20" ht="12.75">
      <c r="A3" s="51"/>
      <c r="B3" s="51"/>
      <c r="C3" s="180"/>
      <c r="D3" s="51"/>
      <c r="E3" s="51"/>
      <c r="F3" s="180"/>
      <c r="G3" s="180"/>
      <c r="H3" s="180"/>
      <c r="I3" s="180"/>
      <c r="J3" s="1"/>
      <c r="K3" s="51"/>
      <c r="L3" s="51"/>
      <c r="M3" s="180"/>
      <c r="N3" s="51"/>
      <c r="O3" s="51"/>
      <c r="P3" s="180"/>
      <c r="Q3" s="180"/>
      <c r="R3" s="180"/>
      <c r="S3" s="180"/>
      <c r="T3" s="1"/>
    </row>
    <row r="4" spans="1:20" ht="18.75" customHeight="1">
      <c r="A4" s="756" t="s">
        <v>915</v>
      </c>
      <c r="B4" s="756"/>
      <c r="C4" s="756"/>
      <c r="D4" s="756"/>
      <c r="E4" s="756"/>
      <c r="F4" s="756"/>
      <c r="G4" s="756"/>
      <c r="H4" s="756"/>
      <c r="I4" s="756"/>
      <c r="J4" s="756"/>
      <c r="K4" s="756" t="s">
        <v>916</v>
      </c>
      <c r="L4" s="756"/>
      <c r="M4" s="756"/>
      <c r="N4" s="756"/>
      <c r="O4" s="756"/>
      <c r="P4" s="756"/>
      <c r="Q4" s="756"/>
      <c r="R4" s="756"/>
      <c r="S4" s="756"/>
      <c r="T4" s="756"/>
    </row>
    <row r="5" spans="1:20" ht="18.75" customHeight="1">
      <c r="A5" s="756" t="s">
        <v>917</v>
      </c>
      <c r="B5" s="756"/>
      <c r="C5" s="756"/>
      <c r="D5" s="756"/>
      <c r="E5" s="756"/>
      <c r="F5" s="756"/>
      <c r="G5" s="756"/>
      <c r="H5" s="756"/>
      <c r="I5" s="756"/>
      <c r="J5" s="756"/>
      <c r="K5" s="756" t="s">
        <v>917</v>
      </c>
      <c r="L5" s="756"/>
      <c r="M5" s="756"/>
      <c r="N5" s="756"/>
      <c r="O5" s="756"/>
      <c r="P5" s="756"/>
      <c r="Q5" s="756"/>
      <c r="R5" s="756"/>
      <c r="S5" s="756"/>
      <c r="T5" s="756"/>
    </row>
    <row r="6" spans="1:20" ht="19.5" customHeight="1">
      <c r="A6" s="756" t="s">
        <v>918</v>
      </c>
      <c r="B6" s="756"/>
      <c r="C6" s="756"/>
      <c r="D6" s="756"/>
      <c r="E6" s="756"/>
      <c r="F6" s="756"/>
      <c r="G6" s="756"/>
      <c r="H6" s="756"/>
      <c r="I6" s="756"/>
      <c r="J6" s="756"/>
      <c r="K6" s="765" t="s">
        <v>18</v>
      </c>
      <c r="L6" s="765"/>
      <c r="M6" s="765"/>
      <c r="N6" s="765"/>
      <c r="O6" s="765"/>
      <c r="P6" s="765"/>
      <c r="Q6" s="765"/>
      <c r="R6" s="765"/>
      <c r="S6" s="765"/>
      <c r="T6" s="765"/>
    </row>
    <row r="7" spans="1:20" ht="11.25" customHeight="1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</row>
    <row r="8" spans="1:20" ht="11.25" customHeight="1">
      <c r="A8" s="48"/>
      <c r="B8" s="48"/>
      <c r="C8" s="48"/>
      <c r="D8" s="48"/>
      <c r="E8" s="48"/>
      <c r="F8" s="48"/>
      <c r="G8" s="48"/>
      <c r="H8" s="48"/>
      <c r="I8" s="48"/>
      <c r="J8" s="2" t="s">
        <v>579</v>
      </c>
      <c r="K8" s="48"/>
      <c r="L8" s="48"/>
      <c r="M8" s="48"/>
      <c r="N8" s="48"/>
      <c r="O8" s="48"/>
      <c r="P8" s="48"/>
      <c r="Q8" s="48"/>
      <c r="R8" s="48"/>
      <c r="S8" s="48"/>
      <c r="T8" s="2" t="s">
        <v>94</v>
      </c>
    </row>
    <row r="9" spans="1:20" s="38" customFormat="1" ht="24" customHeight="1">
      <c r="A9" s="692"/>
      <c r="B9" s="810" t="s">
        <v>919</v>
      </c>
      <c r="C9" s="811"/>
      <c r="D9" s="812"/>
      <c r="E9" s="810" t="s">
        <v>920</v>
      </c>
      <c r="F9" s="811"/>
      <c r="G9" s="812"/>
      <c r="H9" s="813" t="s">
        <v>921</v>
      </c>
      <c r="I9" s="814"/>
      <c r="J9" s="815"/>
      <c r="K9" s="692"/>
      <c r="L9" s="810" t="s">
        <v>919</v>
      </c>
      <c r="M9" s="811"/>
      <c r="N9" s="812"/>
      <c r="O9" s="810" t="s">
        <v>920</v>
      </c>
      <c r="P9" s="811"/>
      <c r="Q9" s="812"/>
      <c r="R9" s="813" t="s">
        <v>921</v>
      </c>
      <c r="S9" s="814"/>
      <c r="T9" s="815"/>
    </row>
    <row r="10" spans="1:20" ht="56.25">
      <c r="A10" s="608" t="s">
        <v>47</v>
      </c>
      <c r="B10" s="693" t="s">
        <v>922</v>
      </c>
      <c r="C10" s="9" t="s">
        <v>923</v>
      </c>
      <c r="D10" s="9" t="s">
        <v>650</v>
      </c>
      <c r="E10" s="9" t="s">
        <v>922</v>
      </c>
      <c r="F10" s="9" t="s">
        <v>923</v>
      </c>
      <c r="G10" s="9" t="s">
        <v>924</v>
      </c>
      <c r="H10" s="9" t="s">
        <v>922</v>
      </c>
      <c r="I10" s="9" t="s">
        <v>923</v>
      </c>
      <c r="J10" s="9" t="s">
        <v>925</v>
      </c>
      <c r="K10" s="608" t="s">
        <v>47</v>
      </c>
      <c r="L10" s="693" t="s">
        <v>922</v>
      </c>
      <c r="M10" s="9" t="s">
        <v>923</v>
      </c>
      <c r="N10" s="9" t="s">
        <v>650</v>
      </c>
      <c r="O10" s="9" t="s">
        <v>922</v>
      </c>
      <c r="P10" s="9" t="s">
        <v>923</v>
      </c>
      <c r="Q10" s="9" t="s">
        <v>924</v>
      </c>
      <c r="R10" s="9" t="s">
        <v>922</v>
      </c>
      <c r="S10" s="9" t="s">
        <v>923</v>
      </c>
      <c r="T10" s="9" t="s">
        <v>925</v>
      </c>
    </row>
    <row r="11" spans="1:20" ht="12.75">
      <c r="A11" s="608">
        <v>1</v>
      </c>
      <c r="B11" s="9">
        <v>2</v>
      </c>
      <c r="C11" s="9">
        <v>3</v>
      </c>
      <c r="D11" s="9">
        <v>4</v>
      </c>
      <c r="E11" s="9">
        <v>5</v>
      </c>
      <c r="F11" s="9">
        <v>6</v>
      </c>
      <c r="G11" s="9">
        <v>7</v>
      </c>
      <c r="H11" s="9">
        <v>8</v>
      </c>
      <c r="I11" s="9">
        <v>9</v>
      </c>
      <c r="J11" s="9">
        <v>10</v>
      </c>
      <c r="K11" s="608">
        <v>1</v>
      </c>
      <c r="L11" s="9">
        <v>2</v>
      </c>
      <c r="M11" s="9">
        <v>3</v>
      </c>
      <c r="N11" s="9">
        <v>4</v>
      </c>
      <c r="O11" s="9">
        <v>5</v>
      </c>
      <c r="P11" s="9">
        <v>6</v>
      </c>
      <c r="Q11" s="9">
        <v>7</v>
      </c>
      <c r="R11" s="9">
        <v>8</v>
      </c>
      <c r="S11" s="9">
        <v>9</v>
      </c>
      <c r="T11" s="9">
        <v>10</v>
      </c>
    </row>
    <row r="12" spans="1:107" ht="12.75">
      <c r="A12" s="471" t="s">
        <v>827</v>
      </c>
      <c r="B12" s="400">
        <f>B19+B23+B26+B30+B35+B40+B46+B51+B56+B59+B63+B66+B69+B72+B77+B79+B83+B81+B85</f>
        <v>103812481</v>
      </c>
      <c r="C12" s="400">
        <f>C19+C23+C26+C30+C35+C40+C46+C51+C56+C59+C63+C66+C69+C72+C77+C79+C83+C81+C85</f>
        <v>39893272</v>
      </c>
      <c r="D12" s="694">
        <f aca="true" t="shared" si="0" ref="D12:D43">C12/B12*100</f>
        <v>38.428204022982555</v>
      </c>
      <c r="E12" s="400">
        <f>E19+E23+E26+E30+E35+E40+E46+E51+E56+E59+E63+E66+E69+E72+E77+E79+E83+E81+E85</f>
        <v>100366224</v>
      </c>
      <c r="F12" s="400">
        <f>F19+F23+F26+F30+F35+F40+F46+F51+F56+F59+F63+F66+F69+F72+F77+F79+F83+F81+F85</f>
        <v>35393446</v>
      </c>
      <c r="G12" s="694">
        <f aca="true" t="shared" si="1" ref="G12:G23">F12/E12*100</f>
        <v>35.264299671172246</v>
      </c>
      <c r="H12" s="400">
        <f>H19+H23+H26+H30+H35+H40+H46+H51+H56+H59+H63+H66+H69+H72+H77+H79+H83+H81+H85</f>
        <v>145335515</v>
      </c>
      <c r="I12" s="400">
        <f>I19+I23+I26+I30+I35+I40+I46+I51+I56+I59+I63+I66+I69+I72+I77+I79+I83+I81+I85</f>
        <v>1817330</v>
      </c>
      <c r="J12" s="694">
        <f aca="true" t="shared" si="2" ref="J12:J19">I12/H12*100</f>
        <v>1.2504376511137005</v>
      </c>
      <c r="K12" s="471" t="s">
        <v>827</v>
      </c>
      <c r="L12" s="400">
        <v>103812</v>
      </c>
      <c r="M12" s="400">
        <v>40967</v>
      </c>
      <c r="N12" s="694">
        <v>39.46268254151736</v>
      </c>
      <c r="O12" s="400">
        <v>100366</v>
      </c>
      <c r="P12" s="400">
        <v>36425</v>
      </c>
      <c r="Q12" s="694">
        <v>36.29217065540123</v>
      </c>
      <c r="R12" s="400">
        <v>145335</v>
      </c>
      <c r="S12" s="400">
        <v>1817</v>
      </c>
      <c r="T12" s="694">
        <v>1.2502150204699487</v>
      </c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49"/>
      <c r="DA12" s="49"/>
      <c r="DB12" s="49"/>
      <c r="DC12" s="49"/>
    </row>
    <row r="13" spans="1:107" s="697" customFormat="1" ht="15" customHeight="1">
      <c r="A13" s="695" t="s">
        <v>926</v>
      </c>
      <c r="B13" s="483">
        <f>B31+B52+B73</f>
        <v>250090</v>
      </c>
      <c r="C13" s="483">
        <f>C31+C52+C73</f>
        <v>0</v>
      </c>
      <c r="D13" s="573">
        <f t="shared" si="0"/>
        <v>0</v>
      </c>
      <c r="E13" s="483">
        <f>E31+E52+E73</f>
        <v>221504</v>
      </c>
      <c r="F13" s="483">
        <f>F31+F52+F73</f>
        <v>0</v>
      </c>
      <c r="G13" s="573">
        <f t="shared" si="1"/>
        <v>0</v>
      </c>
      <c r="H13" s="483">
        <f>H31+H52+H73</f>
        <v>884917</v>
      </c>
      <c r="I13" s="483">
        <f>I31+I52+I73</f>
        <v>0</v>
      </c>
      <c r="J13" s="573">
        <f t="shared" si="2"/>
        <v>0</v>
      </c>
      <c r="K13" s="695" t="s">
        <v>926</v>
      </c>
      <c r="L13" s="483">
        <v>250</v>
      </c>
      <c r="M13" s="483">
        <v>0</v>
      </c>
      <c r="N13" s="573">
        <v>0</v>
      </c>
      <c r="O13" s="483">
        <v>221</v>
      </c>
      <c r="P13" s="483">
        <v>0</v>
      </c>
      <c r="Q13" s="573">
        <v>0</v>
      </c>
      <c r="R13" s="483">
        <v>885</v>
      </c>
      <c r="S13" s="483">
        <v>0</v>
      </c>
      <c r="T13" s="573">
        <v>0</v>
      </c>
      <c r="U13" s="696"/>
      <c r="V13" s="696"/>
      <c r="W13" s="696"/>
      <c r="X13" s="696"/>
      <c r="Y13" s="696"/>
      <c r="Z13" s="696"/>
      <c r="AA13" s="696"/>
      <c r="AB13" s="696"/>
      <c r="AC13" s="696"/>
      <c r="AD13" s="696"/>
      <c r="AE13" s="696"/>
      <c r="AF13" s="696"/>
      <c r="AG13" s="696"/>
      <c r="AH13" s="696"/>
      <c r="AI13" s="696"/>
      <c r="AJ13" s="696"/>
      <c r="AK13" s="696"/>
      <c r="AL13" s="696"/>
      <c r="AM13" s="696"/>
      <c r="AN13" s="696"/>
      <c r="AO13" s="696"/>
      <c r="AP13" s="696"/>
      <c r="AQ13" s="696"/>
      <c r="AR13" s="696"/>
      <c r="AS13" s="696"/>
      <c r="AT13" s="696"/>
      <c r="AU13" s="696"/>
      <c r="AV13" s="696"/>
      <c r="AW13" s="696"/>
      <c r="AX13" s="696"/>
      <c r="AY13" s="696"/>
      <c r="AZ13" s="696"/>
      <c r="BA13" s="696"/>
      <c r="BB13" s="696"/>
      <c r="BC13" s="696"/>
      <c r="BD13" s="696"/>
      <c r="BE13" s="696"/>
      <c r="BF13" s="696"/>
      <c r="BG13" s="696"/>
      <c r="BH13" s="696"/>
      <c r="BI13" s="696"/>
      <c r="BJ13" s="696"/>
      <c r="BK13" s="696"/>
      <c r="BL13" s="696"/>
      <c r="BM13" s="696"/>
      <c r="BN13" s="696"/>
      <c r="BO13" s="696"/>
      <c r="BP13" s="696"/>
      <c r="BQ13" s="696"/>
      <c r="BR13" s="696"/>
      <c r="BS13" s="696"/>
      <c r="BT13" s="696"/>
      <c r="BU13" s="696"/>
      <c r="BV13" s="696"/>
      <c r="BW13" s="696"/>
      <c r="BX13" s="696"/>
      <c r="BY13" s="696"/>
      <c r="BZ13" s="696"/>
      <c r="CA13" s="696"/>
      <c r="CB13" s="696"/>
      <c r="CC13" s="696"/>
      <c r="CD13" s="696"/>
      <c r="CE13" s="696"/>
      <c r="CF13" s="696"/>
      <c r="CG13" s="696"/>
      <c r="CH13" s="696"/>
      <c r="CI13" s="696"/>
      <c r="CJ13" s="696"/>
      <c r="CK13" s="696"/>
      <c r="CL13" s="696"/>
      <c r="CM13" s="696"/>
      <c r="CN13" s="696"/>
      <c r="CO13" s="696"/>
      <c r="CP13" s="696"/>
      <c r="CQ13" s="696"/>
      <c r="CR13" s="696"/>
      <c r="CS13" s="696"/>
      <c r="CT13" s="696"/>
      <c r="CU13" s="696"/>
      <c r="CV13" s="696"/>
      <c r="CW13" s="696"/>
      <c r="CX13" s="696"/>
      <c r="CY13" s="696"/>
      <c r="CZ13" s="696"/>
      <c r="DA13" s="696"/>
      <c r="DB13" s="696"/>
      <c r="DC13" s="696"/>
    </row>
    <row r="14" spans="1:107" s="697" customFormat="1" ht="15" customHeight="1">
      <c r="A14" s="695" t="s">
        <v>320</v>
      </c>
      <c r="B14" s="483">
        <f>B32+B36+B41+B53+B60+B74</f>
        <v>54157124</v>
      </c>
      <c r="C14" s="483">
        <f>C32+C36+C41+C53+C60+C20+C74</f>
        <v>35373799</v>
      </c>
      <c r="D14" s="573">
        <f t="shared" si="0"/>
        <v>65.31698212039473</v>
      </c>
      <c r="E14" s="483">
        <f>E32+E36+E41+E53+E60+E74</f>
        <v>59438812</v>
      </c>
      <c r="F14" s="483">
        <f>F32+F36+F41+F53+F60+F74+F20</f>
        <v>32846578</v>
      </c>
      <c r="G14" s="573">
        <f t="shared" si="1"/>
        <v>55.26116168001474</v>
      </c>
      <c r="H14" s="483">
        <f>H32+H36+H41+H53+H60+H74</f>
        <v>552321</v>
      </c>
      <c r="I14" s="483">
        <f>I32+I36+I41+I53+I60+I74</f>
        <v>72330</v>
      </c>
      <c r="J14" s="573">
        <f t="shared" si="2"/>
        <v>13.095645467038189</v>
      </c>
      <c r="K14" s="695" t="s">
        <v>320</v>
      </c>
      <c r="L14" s="483">
        <v>54157</v>
      </c>
      <c r="M14" s="483">
        <v>36448</v>
      </c>
      <c r="N14" s="573">
        <v>67.30062595786325</v>
      </c>
      <c r="O14" s="483">
        <v>59439</v>
      </c>
      <c r="P14" s="483">
        <v>33879</v>
      </c>
      <c r="Q14" s="573">
        <v>56.99793065159239</v>
      </c>
      <c r="R14" s="483">
        <v>552</v>
      </c>
      <c r="S14" s="483">
        <v>72</v>
      </c>
      <c r="T14" s="573">
        <v>13.043478260869565</v>
      </c>
      <c r="U14" s="696"/>
      <c r="V14" s="696"/>
      <c r="W14" s="696"/>
      <c r="X14" s="696"/>
      <c r="Y14" s="696"/>
      <c r="Z14" s="696"/>
      <c r="AA14" s="696"/>
      <c r="AB14" s="696"/>
      <c r="AC14" s="696"/>
      <c r="AD14" s="696"/>
      <c r="AE14" s="696"/>
      <c r="AF14" s="696"/>
      <c r="AG14" s="696"/>
      <c r="AH14" s="696"/>
      <c r="AI14" s="696"/>
      <c r="AJ14" s="696"/>
      <c r="AK14" s="696"/>
      <c r="AL14" s="696"/>
      <c r="AM14" s="696"/>
      <c r="AN14" s="696"/>
      <c r="AO14" s="696"/>
      <c r="AP14" s="696"/>
      <c r="AQ14" s="696"/>
      <c r="AR14" s="696"/>
      <c r="AS14" s="696"/>
      <c r="AT14" s="696"/>
      <c r="AU14" s="696"/>
      <c r="AV14" s="696"/>
      <c r="AW14" s="696"/>
      <c r="AX14" s="696"/>
      <c r="AY14" s="696"/>
      <c r="AZ14" s="696"/>
      <c r="BA14" s="696"/>
      <c r="BB14" s="696"/>
      <c r="BC14" s="696"/>
      <c r="BD14" s="696"/>
      <c r="BE14" s="696"/>
      <c r="BF14" s="696"/>
      <c r="BG14" s="696"/>
      <c r="BH14" s="696"/>
      <c r="BI14" s="696"/>
      <c r="BJ14" s="696"/>
      <c r="BK14" s="696"/>
      <c r="BL14" s="696"/>
      <c r="BM14" s="696"/>
      <c r="BN14" s="696"/>
      <c r="BO14" s="696"/>
      <c r="BP14" s="696"/>
      <c r="BQ14" s="696"/>
      <c r="BR14" s="696"/>
      <c r="BS14" s="696"/>
      <c r="BT14" s="696"/>
      <c r="BU14" s="696"/>
      <c r="BV14" s="696"/>
      <c r="BW14" s="696"/>
      <c r="BX14" s="696"/>
      <c r="BY14" s="696"/>
      <c r="BZ14" s="696"/>
      <c r="CA14" s="696"/>
      <c r="CB14" s="696"/>
      <c r="CC14" s="696"/>
      <c r="CD14" s="696"/>
      <c r="CE14" s="696"/>
      <c r="CF14" s="696"/>
      <c r="CG14" s="696"/>
      <c r="CH14" s="696"/>
      <c r="CI14" s="696"/>
      <c r="CJ14" s="696"/>
      <c r="CK14" s="696"/>
      <c r="CL14" s="696"/>
      <c r="CM14" s="696"/>
      <c r="CN14" s="696"/>
      <c r="CO14" s="696"/>
      <c r="CP14" s="696"/>
      <c r="CQ14" s="696"/>
      <c r="CR14" s="696"/>
      <c r="CS14" s="696"/>
      <c r="CT14" s="696"/>
      <c r="CU14" s="696"/>
      <c r="CV14" s="696"/>
      <c r="CW14" s="696"/>
      <c r="CX14" s="696"/>
      <c r="CY14" s="696"/>
      <c r="CZ14" s="696"/>
      <c r="DA14" s="696"/>
      <c r="DB14" s="696"/>
      <c r="DC14" s="696"/>
    </row>
    <row r="15" spans="1:107" s="74" customFormat="1" ht="13.5" customHeight="1">
      <c r="A15" s="479" t="s">
        <v>927</v>
      </c>
      <c r="B15" s="483">
        <f>B21+B24+B27+B33+B37+B42+B47+B54+B57+B61+B64+B67+B70+B75+B78+B80</f>
        <v>6665290</v>
      </c>
      <c r="C15" s="483">
        <f>C21+C24+C27+C33+C37+C42+C47+C54+C57+C61+C64+C67+C70+C75+C78+C80</f>
        <v>2550840</v>
      </c>
      <c r="D15" s="573">
        <f t="shared" si="0"/>
        <v>38.27050285884035</v>
      </c>
      <c r="E15" s="483">
        <f>E21+E24+E27+E33+E37+E42+E47+E54+E57+E61+E64+E67+E70+E75+E78+E80</f>
        <v>4960075</v>
      </c>
      <c r="F15" s="483">
        <f>F21+F24+F27+F33+F37+F42+F47+F54+F57+F61+F64+F67+F70+F75+F78+F80</f>
        <v>1661840</v>
      </c>
      <c r="G15" s="573">
        <f t="shared" si="1"/>
        <v>33.504332091752644</v>
      </c>
      <c r="H15" s="483">
        <f>H21+H24+H27+H33+H37+H42+H47+H54+H57+H61+H64+H67+H70+H75+H78+H80</f>
        <v>10717433</v>
      </c>
      <c r="I15" s="483">
        <f>I21+I24+I27+I33+I37+I42+I47+I54+I57+I61+I64+I67+I70+I75+I78+I80</f>
        <v>50000</v>
      </c>
      <c r="J15" s="573">
        <f t="shared" si="2"/>
        <v>0.46652962514437923</v>
      </c>
      <c r="K15" s="479" t="s">
        <v>927</v>
      </c>
      <c r="L15" s="483">
        <v>6665</v>
      </c>
      <c r="M15" s="483">
        <v>2551</v>
      </c>
      <c r="N15" s="573">
        <v>38.27456864216054</v>
      </c>
      <c r="O15" s="483">
        <v>4960</v>
      </c>
      <c r="P15" s="483">
        <v>1661</v>
      </c>
      <c r="Q15" s="573">
        <v>33.487903225806456</v>
      </c>
      <c r="R15" s="483">
        <v>10717</v>
      </c>
      <c r="S15" s="483">
        <v>50</v>
      </c>
      <c r="T15" s="573">
        <v>0.4665484743864887</v>
      </c>
      <c r="U15" s="696"/>
      <c r="V15" s="696"/>
      <c r="W15" s="696"/>
      <c r="X15" s="696"/>
      <c r="Y15" s="696"/>
      <c r="Z15" s="696"/>
      <c r="AA15" s="696"/>
      <c r="AB15" s="696"/>
      <c r="AC15" s="696"/>
      <c r="AD15" s="696"/>
      <c r="AE15" s="696"/>
      <c r="AF15" s="696"/>
      <c r="AG15" s="696"/>
      <c r="AH15" s="696"/>
      <c r="AI15" s="696"/>
      <c r="AJ15" s="696"/>
      <c r="AK15" s="696"/>
      <c r="AL15" s="696"/>
      <c r="AM15" s="696"/>
      <c r="AN15" s="696"/>
      <c r="AO15" s="696"/>
      <c r="AP15" s="696"/>
      <c r="AQ15" s="696"/>
      <c r="AR15" s="696"/>
      <c r="AS15" s="696"/>
      <c r="AT15" s="696"/>
      <c r="AU15" s="696"/>
      <c r="AV15" s="696"/>
      <c r="AW15" s="696"/>
      <c r="AX15" s="696"/>
      <c r="AY15" s="696"/>
      <c r="AZ15" s="696"/>
      <c r="BA15" s="696"/>
      <c r="BB15" s="696"/>
      <c r="BC15" s="696"/>
      <c r="BD15" s="696"/>
      <c r="BE15" s="696"/>
      <c r="BF15" s="696"/>
      <c r="BG15" s="696"/>
      <c r="BH15" s="696"/>
      <c r="BI15" s="696"/>
      <c r="BJ15" s="696"/>
      <c r="BK15" s="696"/>
      <c r="BL15" s="696"/>
      <c r="BM15" s="696"/>
      <c r="BN15" s="696"/>
      <c r="BO15" s="696"/>
      <c r="BP15" s="696"/>
      <c r="BQ15" s="696"/>
      <c r="BR15" s="696"/>
      <c r="BS15" s="696"/>
      <c r="BT15" s="696"/>
      <c r="BU15" s="696"/>
      <c r="BV15" s="696"/>
      <c r="BW15" s="696"/>
      <c r="BX15" s="696"/>
      <c r="BY15" s="696"/>
      <c r="BZ15" s="696"/>
      <c r="CA15" s="696"/>
      <c r="CB15" s="696"/>
      <c r="CC15" s="696"/>
      <c r="CD15" s="696"/>
      <c r="CE15" s="696"/>
      <c r="CF15" s="696"/>
      <c r="CG15" s="696"/>
      <c r="CH15" s="696"/>
      <c r="CI15" s="696"/>
      <c r="CJ15" s="696"/>
      <c r="CK15" s="696"/>
      <c r="CL15" s="696"/>
      <c r="CM15" s="696"/>
      <c r="CN15" s="696"/>
      <c r="CO15" s="696"/>
      <c r="CP15" s="696"/>
      <c r="CQ15" s="696"/>
      <c r="CR15" s="696"/>
      <c r="CS15" s="696"/>
      <c r="CT15" s="696"/>
      <c r="CU15" s="696"/>
      <c r="CV15" s="696"/>
      <c r="CW15" s="696"/>
      <c r="CX15" s="696"/>
      <c r="CY15" s="696"/>
      <c r="CZ15" s="696"/>
      <c r="DA15" s="696"/>
      <c r="DB15" s="696"/>
      <c r="DC15" s="696"/>
    </row>
    <row r="16" spans="1:107" s="74" customFormat="1" ht="14.25" customHeight="1">
      <c r="A16" s="479" t="s">
        <v>549</v>
      </c>
      <c r="B16" s="483">
        <f>B25+B38+B43+B48+B55+B58+B62+B65+B68+B71+B76+B84+B86</f>
        <v>37789881</v>
      </c>
      <c r="C16" s="483">
        <f>C25+C38+C43+C48+C55+C58+C62+C65+C68+C71+C76+C84+C86</f>
        <v>1764662</v>
      </c>
      <c r="D16" s="573">
        <f t="shared" si="0"/>
        <v>4.669668052143376</v>
      </c>
      <c r="E16" s="483">
        <f>E25+E38+E43+E48+E55+E58+E62+E65+E68+E71+E76+E84+E86</f>
        <v>33023681</v>
      </c>
      <c r="F16" s="483">
        <f>F25+F38+F43+F48+F55+F58+F62+F65+F68+F71+F76+F84+F86</f>
        <v>862000</v>
      </c>
      <c r="G16" s="573">
        <f t="shared" si="1"/>
        <v>2.6102480822776846</v>
      </c>
      <c r="H16" s="483">
        <f>H25+H38+H43+H48+H55+H58+H62+H65+H68+H71+H76+H84+H86</f>
        <v>124710064</v>
      </c>
      <c r="I16" s="483">
        <f>I25+I38+I43+I48+I55+I58+I62+I65+I68+I71+I76+I84+I86</f>
        <v>1695000</v>
      </c>
      <c r="J16" s="573">
        <f t="shared" si="2"/>
        <v>1.3591525380020655</v>
      </c>
      <c r="K16" s="479" t="s">
        <v>549</v>
      </c>
      <c r="L16" s="483">
        <v>37790</v>
      </c>
      <c r="M16" s="483">
        <v>1764</v>
      </c>
      <c r="N16" s="573">
        <v>4.667901561259592</v>
      </c>
      <c r="O16" s="483">
        <v>33024</v>
      </c>
      <c r="P16" s="483">
        <v>862</v>
      </c>
      <c r="Q16" s="573">
        <v>2.6102228682170545</v>
      </c>
      <c r="R16" s="483">
        <v>124710</v>
      </c>
      <c r="S16" s="483">
        <v>1695</v>
      </c>
      <c r="T16" s="573">
        <v>1.3591532355063747</v>
      </c>
      <c r="U16" s="696"/>
      <c r="V16" s="696"/>
      <c r="W16" s="696"/>
      <c r="X16" s="696"/>
      <c r="Y16" s="696"/>
      <c r="Z16" s="696"/>
      <c r="AA16" s="696"/>
      <c r="AB16" s="696"/>
      <c r="AC16" s="696"/>
      <c r="AD16" s="696"/>
      <c r="AE16" s="696"/>
      <c r="AF16" s="696"/>
      <c r="AG16" s="696"/>
      <c r="AH16" s="696"/>
      <c r="AI16" s="696"/>
      <c r="AJ16" s="696"/>
      <c r="AK16" s="696"/>
      <c r="AL16" s="696"/>
      <c r="AM16" s="696"/>
      <c r="AN16" s="696"/>
      <c r="AO16" s="696"/>
      <c r="AP16" s="696"/>
      <c r="AQ16" s="696"/>
      <c r="AR16" s="696"/>
      <c r="AS16" s="696"/>
      <c r="AT16" s="696"/>
      <c r="AU16" s="696"/>
      <c r="AV16" s="696"/>
      <c r="AW16" s="696"/>
      <c r="AX16" s="696"/>
      <c r="AY16" s="696"/>
      <c r="AZ16" s="696"/>
      <c r="BA16" s="696"/>
      <c r="BB16" s="696"/>
      <c r="BC16" s="696"/>
      <c r="BD16" s="696"/>
      <c r="BE16" s="696"/>
      <c r="BF16" s="696"/>
      <c r="BG16" s="696"/>
      <c r="BH16" s="696"/>
      <c r="BI16" s="696"/>
      <c r="BJ16" s="696"/>
      <c r="BK16" s="696"/>
      <c r="BL16" s="696"/>
      <c r="BM16" s="696"/>
      <c r="BN16" s="696"/>
      <c r="BO16" s="696"/>
      <c r="BP16" s="696"/>
      <c r="BQ16" s="696"/>
      <c r="BR16" s="696"/>
      <c r="BS16" s="696"/>
      <c r="BT16" s="696"/>
      <c r="BU16" s="696"/>
      <c r="BV16" s="696"/>
      <c r="BW16" s="696"/>
      <c r="BX16" s="696"/>
      <c r="BY16" s="696"/>
      <c r="BZ16" s="696"/>
      <c r="CA16" s="696"/>
      <c r="CB16" s="696"/>
      <c r="CC16" s="696"/>
      <c r="CD16" s="696"/>
      <c r="CE16" s="696"/>
      <c r="CF16" s="696"/>
      <c r="CG16" s="696"/>
      <c r="CH16" s="696"/>
      <c r="CI16" s="696"/>
      <c r="CJ16" s="696"/>
      <c r="CK16" s="696"/>
      <c r="CL16" s="696"/>
      <c r="CM16" s="696"/>
      <c r="CN16" s="696"/>
      <c r="CO16" s="696"/>
      <c r="CP16" s="696"/>
      <c r="CQ16" s="696"/>
      <c r="CR16" s="696"/>
      <c r="CS16" s="696"/>
      <c r="CT16" s="696"/>
      <c r="CU16" s="696"/>
      <c r="CV16" s="696"/>
      <c r="CW16" s="696"/>
      <c r="CX16" s="696"/>
      <c r="CY16" s="696"/>
      <c r="CZ16" s="696"/>
      <c r="DA16" s="696"/>
      <c r="DB16" s="696"/>
      <c r="DC16" s="696"/>
    </row>
    <row r="17" spans="1:107" s="74" customFormat="1" ht="14.25" customHeight="1">
      <c r="A17" s="695" t="s">
        <v>928</v>
      </c>
      <c r="B17" s="483">
        <f>B28+B44+B49</f>
        <v>269904</v>
      </c>
      <c r="C17" s="483">
        <f>C28+C44+C49+C22</f>
        <v>28171</v>
      </c>
      <c r="D17" s="573">
        <f t="shared" si="0"/>
        <v>10.437414784515976</v>
      </c>
      <c r="E17" s="483">
        <f>E28+E44+E49</f>
        <v>149500</v>
      </c>
      <c r="F17" s="483">
        <f>F28+F44+F49+F22</f>
        <v>23028</v>
      </c>
      <c r="G17" s="573">
        <f t="shared" si="1"/>
        <v>15.403344481605352</v>
      </c>
      <c r="H17" s="483">
        <f>H28+H44+H49</f>
        <v>9600</v>
      </c>
      <c r="I17" s="483">
        <f>I28+I44+I49</f>
        <v>0</v>
      </c>
      <c r="J17" s="573">
        <f t="shared" si="2"/>
        <v>0</v>
      </c>
      <c r="K17" s="695" t="s">
        <v>928</v>
      </c>
      <c r="L17" s="483">
        <v>270</v>
      </c>
      <c r="M17" s="483">
        <v>28</v>
      </c>
      <c r="N17" s="573">
        <v>10.37037037037037</v>
      </c>
      <c r="O17" s="483">
        <v>149</v>
      </c>
      <c r="P17" s="483">
        <v>23</v>
      </c>
      <c r="Q17" s="573">
        <v>15.436241610738255</v>
      </c>
      <c r="R17" s="483">
        <v>10</v>
      </c>
      <c r="S17" s="483">
        <v>0</v>
      </c>
      <c r="T17" s="573">
        <v>0</v>
      </c>
      <c r="U17" s="696"/>
      <c r="V17" s="696"/>
      <c r="W17" s="696"/>
      <c r="X17" s="696"/>
      <c r="Y17" s="696"/>
      <c r="Z17" s="696"/>
      <c r="AA17" s="696"/>
      <c r="AB17" s="696"/>
      <c r="AC17" s="696"/>
      <c r="AD17" s="696"/>
      <c r="AE17" s="696"/>
      <c r="AF17" s="696"/>
      <c r="AG17" s="696"/>
      <c r="AH17" s="696"/>
      <c r="AI17" s="696"/>
      <c r="AJ17" s="696"/>
      <c r="AK17" s="696"/>
      <c r="AL17" s="696"/>
      <c r="AM17" s="696"/>
      <c r="AN17" s="696"/>
      <c r="AO17" s="696"/>
      <c r="AP17" s="696"/>
      <c r="AQ17" s="696"/>
      <c r="AR17" s="696"/>
      <c r="AS17" s="696"/>
      <c r="AT17" s="696"/>
      <c r="AU17" s="696"/>
      <c r="AV17" s="696"/>
      <c r="AW17" s="696"/>
      <c r="AX17" s="696"/>
      <c r="AY17" s="696"/>
      <c r="AZ17" s="696"/>
      <c r="BA17" s="696"/>
      <c r="BB17" s="696"/>
      <c r="BC17" s="696"/>
      <c r="BD17" s="696"/>
      <c r="BE17" s="696"/>
      <c r="BF17" s="696"/>
      <c r="BG17" s="696"/>
      <c r="BH17" s="696"/>
      <c r="BI17" s="696"/>
      <c r="BJ17" s="696"/>
      <c r="BK17" s="696"/>
      <c r="BL17" s="696"/>
      <c r="BM17" s="696"/>
      <c r="BN17" s="696"/>
      <c r="BO17" s="696"/>
      <c r="BP17" s="696"/>
      <c r="BQ17" s="696"/>
      <c r="BR17" s="696"/>
      <c r="BS17" s="696"/>
      <c r="BT17" s="696"/>
      <c r="BU17" s="696"/>
      <c r="BV17" s="696"/>
      <c r="BW17" s="696"/>
      <c r="BX17" s="696"/>
      <c r="BY17" s="696"/>
      <c r="BZ17" s="696"/>
      <c r="CA17" s="696"/>
      <c r="CB17" s="696"/>
      <c r="CC17" s="696"/>
      <c r="CD17" s="696"/>
      <c r="CE17" s="696"/>
      <c r="CF17" s="696"/>
      <c r="CG17" s="696"/>
      <c r="CH17" s="696"/>
      <c r="CI17" s="696"/>
      <c r="CJ17" s="696"/>
      <c r="CK17" s="696"/>
      <c r="CL17" s="696"/>
      <c r="CM17" s="696"/>
      <c r="CN17" s="696"/>
      <c r="CO17" s="696"/>
      <c r="CP17" s="696"/>
      <c r="CQ17" s="696"/>
      <c r="CR17" s="696"/>
      <c r="CS17" s="696"/>
      <c r="CT17" s="696"/>
      <c r="CU17" s="696"/>
      <c r="CV17" s="696"/>
      <c r="CW17" s="696"/>
      <c r="CX17" s="696"/>
      <c r="CY17" s="696"/>
      <c r="CZ17" s="696"/>
      <c r="DA17" s="696"/>
      <c r="DB17" s="696"/>
      <c r="DC17" s="696"/>
    </row>
    <row r="18" spans="1:107" s="74" customFormat="1" ht="13.5" customHeight="1">
      <c r="A18" s="479" t="s">
        <v>929</v>
      </c>
      <c r="B18" s="483">
        <f>B29+B34+B39+B45+B50+B82</f>
        <v>4680192</v>
      </c>
      <c r="C18" s="483">
        <f>C29+C34+C39+C45+C50+C82</f>
        <v>175800</v>
      </c>
      <c r="D18" s="573">
        <f t="shared" si="0"/>
        <v>3.756256153593699</v>
      </c>
      <c r="E18" s="483">
        <f>E29+E34+E39+E45+E50+E82</f>
        <v>2572652</v>
      </c>
      <c r="F18" s="483">
        <f>F29+F34+F39+F45+F50+F82</f>
        <v>0</v>
      </c>
      <c r="G18" s="573">
        <f t="shared" si="1"/>
        <v>0</v>
      </c>
      <c r="H18" s="483">
        <f>H29+H34+H39+H45+H50+H82</f>
        <v>8461180</v>
      </c>
      <c r="I18" s="483">
        <f>I29+I34+I39+I45+I50+I82</f>
        <v>0</v>
      </c>
      <c r="J18" s="573">
        <f t="shared" si="2"/>
        <v>0</v>
      </c>
      <c r="K18" s="479" t="s">
        <v>929</v>
      </c>
      <c r="L18" s="483">
        <v>4680</v>
      </c>
      <c r="M18" s="483">
        <v>176</v>
      </c>
      <c r="N18" s="573">
        <v>3.7606837606837606</v>
      </c>
      <c r="O18" s="483">
        <v>2573</v>
      </c>
      <c r="P18" s="483">
        <v>0</v>
      </c>
      <c r="Q18" s="573">
        <v>0</v>
      </c>
      <c r="R18" s="483">
        <v>8461</v>
      </c>
      <c r="S18" s="483">
        <v>0</v>
      </c>
      <c r="T18" s="573">
        <v>0</v>
      </c>
      <c r="U18" s="696"/>
      <c r="V18" s="696"/>
      <c r="W18" s="696"/>
      <c r="X18" s="696"/>
      <c r="Y18" s="696"/>
      <c r="Z18" s="696"/>
      <c r="AA18" s="696"/>
      <c r="AB18" s="696"/>
      <c r="AC18" s="696"/>
      <c r="AD18" s="696"/>
      <c r="AE18" s="696"/>
      <c r="AF18" s="696"/>
      <c r="AG18" s="696"/>
      <c r="AH18" s="696"/>
      <c r="AI18" s="696"/>
      <c r="AJ18" s="696"/>
      <c r="AK18" s="696"/>
      <c r="AL18" s="696"/>
      <c r="AM18" s="696"/>
      <c r="AN18" s="696"/>
      <c r="AO18" s="696"/>
      <c r="AP18" s="696"/>
      <c r="AQ18" s="696"/>
      <c r="AR18" s="696"/>
      <c r="AS18" s="696"/>
      <c r="AT18" s="696"/>
      <c r="AU18" s="696"/>
      <c r="AV18" s="696"/>
      <c r="AW18" s="696"/>
      <c r="AX18" s="696"/>
      <c r="AY18" s="696"/>
      <c r="AZ18" s="696"/>
      <c r="BA18" s="696"/>
      <c r="BB18" s="696"/>
      <c r="BC18" s="696"/>
      <c r="BD18" s="696"/>
      <c r="BE18" s="696"/>
      <c r="BF18" s="696"/>
      <c r="BG18" s="696"/>
      <c r="BH18" s="696"/>
      <c r="BI18" s="696"/>
      <c r="BJ18" s="696"/>
      <c r="BK18" s="696"/>
      <c r="BL18" s="696"/>
      <c r="BM18" s="696"/>
      <c r="BN18" s="696"/>
      <c r="BO18" s="696"/>
      <c r="BP18" s="696"/>
      <c r="BQ18" s="696"/>
      <c r="BR18" s="696"/>
      <c r="BS18" s="696"/>
      <c r="BT18" s="696"/>
      <c r="BU18" s="696"/>
      <c r="BV18" s="696"/>
      <c r="BW18" s="696"/>
      <c r="BX18" s="696"/>
      <c r="BY18" s="696"/>
      <c r="BZ18" s="696"/>
      <c r="CA18" s="696"/>
      <c r="CB18" s="696"/>
      <c r="CC18" s="696"/>
      <c r="CD18" s="696"/>
      <c r="CE18" s="696"/>
      <c r="CF18" s="696"/>
      <c r="CG18" s="696"/>
      <c r="CH18" s="696"/>
      <c r="CI18" s="696"/>
      <c r="CJ18" s="696"/>
      <c r="CK18" s="696"/>
      <c r="CL18" s="696"/>
      <c r="CM18" s="696"/>
      <c r="CN18" s="696"/>
      <c r="CO18" s="696"/>
      <c r="CP18" s="696"/>
      <c r="CQ18" s="696"/>
      <c r="CR18" s="696"/>
      <c r="CS18" s="696"/>
      <c r="CT18" s="696"/>
      <c r="CU18" s="696"/>
      <c r="CV18" s="696"/>
      <c r="CW18" s="696"/>
      <c r="CX18" s="696"/>
      <c r="CY18" s="696"/>
      <c r="CZ18" s="696"/>
      <c r="DA18" s="696"/>
      <c r="DB18" s="696"/>
      <c r="DC18" s="696"/>
    </row>
    <row r="19" spans="1:107" s="482" customFormat="1" ht="12.75">
      <c r="A19" s="479" t="s">
        <v>242</v>
      </c>
      <c r="B19" s="11">
        <f>B21</f>
        <v>77100</v>
      </c>
      <c r="C19" s="11">
        <f>SUM(C20:C22)</f>
        <v>31402</v>
      </c>
      <c r="D19" s="698">
        <f t="shared" si="0"/>
        <v>40.728923476005185</v>
      </c>
      <c r="E19" s="11">
        <f>E21</f>
        <v>80000</v>
      </c>
      <c r="F19" s="11">
        <f>SUM(F20:F22)</f>
        <v>23842</v>
      </c>
      <c r="G19" s="698">
        <f t="shared" si="1"/>
        <v>29.8025</v>
      </c>
      <c r="H19" s="11">
        <f>H21</f>
        <v>0</v>
      </c>
      <c r="I19" s="11">
        <f>I21</f>
        <v>0</v>
      </c>
      <c r="J19" s="698" t="e">
        <f t="shared" si="2"/>
        <v>#DIV/0!</v>
      </c>
      <c r="K19" s="479" t="s">
        <v>242</v>
      </c>
      <c r="L19" s="11">
        <v>77</v>
      </c>
      <c r="M19" s="11">
        <v>31</v>
      </c>
      <c r="N19" s="698">
        <v>40.25974025974026</v>
      </c>
      <c r="O19" s="11">
        <v>80</v>
      </c>
      <c r="P19" s="11">
        <v>24</v>
      </c>
      <c r="Q19" s="698">
        <v>30</v>
      </c>
      <c r="R19" s="11">
        <v>0</v>
      </c>
      <c r="S19" s="11">
        <v>0</v>
      </c>
      <c r="T19" s="698"/>
      <c r="U19" s="481"/>
      <c r="V19" s="481"/>
      <c r="W19" s="481"/>
      <c r="X19" s="481"/>
      <c r="Y19" s="481"/>
      <c r="Z19" s="481"/>
      <c r="AA19" s="481"/>
      <c r="AB19" s="481"/>
      <c r="AC19" s="481"/>
      <c r="AD19" s="481"/>
      <c r="AE19" s="481"/>
      <c r="AF19" s="481"/>
      <c r="AG19" s="481"/>
      <c r="AH19" s="481"/>
      <c r="AI19" s="481"/>
      <c r="AJ19" s="481"/>
      <c r="AK19" s="481"/>
      <c r="AL19" s="481"/>
      <c r="AM19" s="481"/>
      <c r="AN19" s="481"/>
      <c r="AO19" s="481"/>
      <c r="AP19" s="481"/>
      <c r="AQ19" s="481"/>
      <c r="AR19" s="481"/>
      <c r="AS19" s="481"/>
      <c r="AT19" s="481"/>
      <c r="AU19" s="481"/>
      <c r="AV19" s="481"/>
      <c r="AW19" s="481"/>
      <c r="AX19" s="481"/>
      <c r="AY19" s="481"/>
      <c r="AZ19" s="481"/>
      <c r="BA19" s="481"/>
      <c r="BB19" s="481"/>
      <c r="BC19" s="481"/>
      <c r="BD19" s="481"/>
      <c r="BE19" s="481"/>
      <c r="BF19" s="481"/>
      <c r="BG19" s="481"/>
      <c r="BH19" s="481"/>
      <c r="BI19" s="481"/>
      <c r="BJ19" s="481"/>
      <c r="BK19" s="481"/>
      <c r="BL19" s="481"/>
      <c r="BM19" s="481"/>
      <c r="BN19" s="481"/>
      <c r="BO19" s="481"/>
      <c r="BP19" s="481"/>
      <c r="BQ19" s="481"/>
      <c r="BR19" s="481"/>
      <c r="BS19" s="481"/>
      <c r="BT19" s="481"/>
      <c r="BU19" s="481"/>
      <c r="BV19" s="481"/>
      <c r="BW19" s="481"/>
      <c r="BX19" s="481"/>
      <c r="BY19" s="481"/>
      <c r="BZ19" s="481"/>
      <c r="CA19" s="481"/>
      <c r="CB19" s="481"/>
      <c r="CC19" s="481"/>
      <c r="CD19" s="481"/>
      <c r="CE19" s="481"/>
      <c r="CF19" s="481"/>
      <c r="CG19" s="481"/>
      <c r="CH19" s="481"/>
      <c r="CI19" s="481"/>
      <c r="CJ19" s="481"/>
      <c r="CK19" s="481"/>
      <c r="CL19" s="481"/>
      <c r="CM19" s="481"/>
      <c r="CN19" s="481"/>
      <c r="CO19" s="481"/>
      <c r="CP19" s="481"/>
      <c r="CQ19" s="481"/>
      <c r="CR19" s="481"/>
      <c r="CS19" s="481"/>
      <c r="CT19" s="481"/>
      <c r="CU19" s="481"/>
      <c r="CV19" s="481"/>
      <c r="CW19" s="481"/>
      <c r="CX19" s="481"/>
      <c r="CY19" s="481"/>
      <c r="CZ19" s="481"/>
      <c r="DA19" s="481"/>
      <c r="DB19" s="481"/>
      <c r="DC19" s="481"/>
    </row>
    <row r="20" spans="1:107" s="482" customFormat="1" ht="12.75">
      <c r="A20" s="487" t="s">
        <v>320</v>
      </c>
      <c r="B20" s="27"/>
      <c r="C20" s="27">
        <v>3231</v>
      </c>
      <c r="D20" s="699" t="e">
        <f t="shared" si="0"/>
        <v>#DIV/0!</v>
      </c>
      <c r="E20" s="27"/>
      <c r="F20" s="27">
        <v>814</v>
      </c>
      <c r="G20" s="699" t="e">
        <f t="shared" si="1"/>
        <v>#DIV/0!</v>
      </c>
      <c r="H20" s="27"/>
      <c r="I20" s="27"/>
      <c r="J20" s="699"/>
      <c r="K20" s="487" t="s">
        <v>320</v>
      </c>
      <c r="L20" s="27"/>
      <c r="M20" s="27">
        <v>3</v>
      </c>
      <c r="N20" s="699"/>
      <c r="O20" s="27"/>
      <c r="P20" s="27">
        <v>1</v>
      </c>
      <c r="Q20" s="699"/>
      <c r="R20" s="27"/>
      <c r="S20" s="27"/>
      <c r="T20" s="699"/>
      <c r="U20" s="481"/>
      <c r="V20" s="481"/>
      <c r="W20" s="481"/>
      <c r="X20" s="481"/>
      <c r="Y20" s="481"/>
      <c r="Z20" s="481"/>
      <c r="AA20" s="481"/>
      <c r="AB20" s="481"/>
      <c r="AC20" s="481"/>
      <c r="AD20" s="481"/>
      <c r="AE20" s="481"/>
      <c r="AF20" s="481"/>
      <c r="AG20" s="481"/>
      <c r="AH20" s="481"/>
      <c r="AI20" s="481"/>
      <c r="AJ20" s="481"/>
      <c r="AK20" s="481"/>
      <c r="AL20" s="481"/>
      <c r="AM20" s="481"/>
      <c r="AN20" s="481"/>
      <c r="AO20" s="481"/>
      <c r="AP20" s="481"/>
      <c r="AQ20" s="481"/>
      <c r="AR20" s="481"/>
      <c r="AS20" s="481"/>
      <c r="AT20" s="481"/>
      <c r="AU20" s="481"/>
      <c r="AV20" s="481"/>
      <c r="AW20" s="481"/>
      <c r="AX20" s="481"/>
      <c r="AY20" s="481"/>
      <c r="AZ20" s="481"/>
      <c r="BA20" s="481"/>
      <c r="BB20" s="481"/>
      <c r="BC20" s="481"/>
      <c r="BD20" s="481"/>
      <c r="BE20" s="481"/>
      <c r="BF20" s="481"/>
      <c r="BG20" s="481"/>
      <c r="BH20" s="481"/>
      <c r="BI20" s="481"/>
      <c r="BJ20" s="481"/>
      <c r="BK20" s="481"/>
      <c r="BL20" s="481"/>
      <c r="BM20" s="481"/>
      <c r="BN20" s="481"/>
      <c r="BO20" s="481"/>
      <c r="BP20" s="481"/>
      <c r="BQ20" s="481"/>
      <c r="BR20" s="481"/>
      <c r="BS20" s="481"/>
      <c r="BT20" s="481"/>
      <c r="BU20" s="481"/>
      <c r="BV20" s="481"/>
      <c r="BW20" s="481"/>
      <c r="BX20" s="481"/>
      <c r="BY20" s="481"/>
      <c r="BZ20" s="481"/>
      <c r="CA20" s="481"/>
      <c r="CB20" s="481"/>
      <c r="CC20" s="481"/>
      <c r="CD20" s="481"/>
      <c r="CE20" s="481"/>
      <c r="CF20" s="481"/>
      <c r="CG20" s="481"/>
      <c r="CH20" s="481"/>
      <c r="CI20" s="481"/>
      <c r="CJ20" s="481"/>
      <c r="CK20" s="481"/>
      <c r="CL20" s="481"/>
      <c r="CM20" s="481"/>
      <c r="CN20" s="481"/>
      <c r="CO20" s="481"/>
      <c r="CP20" s="481"/>
      <c r="CQ20" s="481"/>
      <c r="CR20" s="481"/>
      <c r="CS20" s="481"/>
      <c r="CT20" s="481"/>
      <c r="CU20" s="481"/>
      <c r="CV20" s="481"/>
      <c r="CW20" s="481"/>
      <c r="CX20" s="481"/>
      <c r="CY20" s="481"/>
      <c r="CZ20" s="481"/>
      <c r="DA20" s="481"/>
      <c r="DB20" s="481"/>
      <c r="DC20" s="481"/>
    </row>
    <row r="21" spans="1:107" s="482" customFormat="1" ht="12.75">
      <c r="A21" s="487" t="s">
        <v>927</v>
      </c>
      <c r="B21" s="27">
        <v>77100</v>
      </c>
      <c r="C21" s="27"/>
      <c r="D21" s="699">
        <f t="shared" si="0"/>
        <v>0</v>
      </c>
      <c r="E21" s="27">
        <v>80000</v>
      </c>
      <c r="F21" s="27"/>
      <c r="G21" s="699">
        <f t="shared" si="1"/>
        <v>0</v>
      </c>
      <c r="H21" s="27"/>
      <c r="I21" s="27"/>
      <c r="J21" s="699" t="e">
        <f>I21/H21*100</f>
        <v>#DIV/0!</v>
      </c>
      <c r="K21" s="487" t="s">
        <v>927</v>
      </c>
      <c r="L21" s="27">
        <v>77</v>
      </c>
      <c r="M21" s="27">
        <v>0</v>
      </c>
      <c r="N21" s="699">
        <v>0</v>
      </c>
      <c r="O21" s="27">
        <v>80</v>
      </c>
      <c r="P21" s="27">
        <v>0</v>
      </c>
      <c r="Q21" s="699">
        <v>0</v>
      </c>
      <c r="R21" s="27">
        <v>0</v>
      </c>
      <c r="S21" s="27">
        <v>0</v>
      </c>
      <c r="T21" s="699"/>
      <c r="U21" s="481"/>
      <c r="V21" s="481"/>
      <c r="W21" s="481"/>
      <c r="X21" s="481"/>
      <c r="Y21" s="481"/>
      <c r="Z21" s="481"/>
      <c r="AA21" s="481"/>
      <c r="AB21" s="481"/>
      <c r="AC21" s="481"/>
      <c r="AD21" s="481"/>
      <c r="AE21" s="481"/>
      <c r="AF21" s="481"/>
      <c r="AG21" s="481"/>
      <c r="AH21" s="481"/>
      <c r="AI21" s="481"/>
      <c r="AJ21" s="481"/>
      <c r="AK21" s="481"/>
      <c r="AL21" s="481"/>
      <c r="AM21" s="481"/>
      <c r="AN21" s="481"/>
      <c r="AO21" s="481"/>
      <c r="AP21" s="481"/>
      <c r="AQ21" s="481"/>
      <c r="AR21" s="481"/>
      <c r="AS21" s="481"/>
      <c r="AT21" s="481"/>
      <c r="AU21" s="481"/>
      <c r="AV21" s="481"/>
      <c r="AW21" s="481"/>
      <c r="AX21" s="481"/>
      <c r="AY21" s="481"/>
      <c r="AZ21" s="481"/>
      <c r="BA21" s="481"/>
      <c r="BB21" s="481"/>
      <c r="BC21" s="481"/>
      <c r="BD21" s="481"/>
      <c r="BE21" s="481"/>
      <c r="BF21" s="481"/>
      <c r="BG21" s="481"/>
      <c r="BH21" s="481"/>
      <c r="BI21" s="481"/>
      <c r="BJ21" s="481"/>
      <c r="BK21" s="481"/>
      <c r="BL21" s="481"/>
      <c r="BM21" s="481"/>
      <c r="BN21" s="481"/>
      <c r="BO21" s="481"/>
      <c r="BP21" s="481"/>
      <c r="BQ21" s="481"/>
      <c r="BR21" s="481"/>
      <c r="BS21" s="481"/>
      <c r="BT21" s="481"/>
      <c r="BU21" s="481"/>
      <c r="BV21" s="481"/>
      <c r="BW21" s="481"/>
      <c r="BX21" s="481"/>
      <c r="BY21" s="481"/>
      <c r="BZ21" s="481"/>
      <c r="CA21" s="481"/>
      <c r="CB21" s="481"/>
      <c r="CC21" s="481"/>
      <c r="CD21" s="481"/>
      <c r="CE21" s="481"/>
      <c r="CF21" s="481"/>
      <c r="CG21" s="481"/>
      <c r="CH21" s="481"/>
      <c r="CI21" s="481"/>
      <c r="CJ21" s="481"/>
      <c r="CK21" s="481"/>
      <c r="CL21" s="481"/>
      <c r="CM21" s="481"/>
      <c r="CN21" s="481"/>
      <c r="CO21" s="481"/>
      <c r="CP21" s="481"/>
      <c r="CQ21" s="481"/>
      <c r="CR21" s="481"/>
      <c r="CS21" s="481"/>
      <c r="CT21" s="481"/>
      <c r="CU21" s="481"/>
      <c r="CV21" s="481"/>
      <c r="CW21" s="481"/>
      <c r="CX21" s="481"/>
      <c r="CY21" s="481"/>
      <c r="CZ21" s="481"/>
      <c r="DA21" s="481"/>
      <c r="DB21" s="481"/>
      <c r="DC21" s="481"/>
    </row>
    <row r="22" spans="1:107" s="482" customFormat="1" ht="12.75">
      <c r="A22" s="487" t="s">
        <v>928</v>
      </c>
      <c r="B22" s="27"/>
      <c r="C22" s="27">
        <v>28171</v>
      </c>
      <c r="D22" s="699" t="e">
        <f t="shared" si="0"/>
        <v>#DIV/0!</v>
      </c>
      <c r="E22" s="27"/>
      <c r="F22" s="27">
        <v>23028</v>
      </c>
      <c r="G22" s="699" t="e">
        <f t="shared" si="1"/>
        <v>#DIV/0!</v>
      </c>
      <c r="H22" s="27"/>
      <c r="I22" s="27"/>
      <c r="J22" s="699"/>
      <c r="K22" s="487" t="s">
        <v>928</v>
      </c>
      <c r="L22" s="27"/>
      <c r="M22" s="27">
        <v>28</v>
      </c>
      <c r="N22" s="699"/>
      <c r="O22" s="27"/>
      <c r="P22" s="27">
        <v>23</v>
      </c>
      <c r="Q22" s="699"/>
      <c r="R22" s="27"/>
      <c r="S22" s="27"/>
      <c r="T22" s="699"/>
      <c r="U22" s="481"/>
      <c r="V22" s="481"/>
      <c r="W22" s="481"/>
      <c r="X22" s="481"/>
      <c r="Y22" s="481"/>
      <c r="Z22" s="481"/>
      <c r="AA22" s="481"/>
      <c r="AB22" s="481"/>
      <c r="AC22" s="481"/>
      <c r="AD22" s="481"/>
      <c r="AE22" s="481"/>
      <c r="AF22" s="481"/>
      <c r="AG22" s="481"/>
      <c r="AH22" s="481"/>
      <c r="AI22" s="481"/>
      <c r="AJ22" s="481"/>
      <c r="AK22" s="481"/>
      <c r="AL22" s="481"/>
      <c r="AM22" s="481"/>
      <c r="AN22" s="481"/>
      <c r="AO22" s="481"/>
      <c r="AP22" s="481"/>
      <c r="AQ22" s="481"/>
      <c r="AR22" s="481"/>
      <c r="AS22" s="481"/>
      <c r="AT22" s="481"/>
      <c r="AU22" s="481"/>
      <c r="AV22" s="481"/>
      <c r="AW22" s="481"/>
      <c r="AX22" s="481"/>
      <c r="AY22" s="481"/>
      <c r="AZ22" s="481"/>
      <c r="BA22" s="481"/>
      <c r="BB22" s="481"/>
      <c r="BC22" s="481"/>
      <c r="BD22" s="481"/>
      <c r="BE22" s="481"/>
      <c r="BF22" s="481"/>
      <c r="BG22" s="481"/>
      <c r="BH22" s="481"/>
      <c r="BI22" s="481"/>
      <c r="BJ22" s="481"/>
      <c r="BK22" s="481"/>
      <c r="BL22" s="481"/>
      <c r="BM22" s="481"/>
      <c r="BN22" s="481"/>
      <c r="BO22" s="481"/>
      <c r="BP22" s="481"/>
      <c r="BQ22" s="481"/>
      <c r="BR22" s="481"/>
      <c r="BS22" s="481"/>
      <c r="BT22" s="481"/>
      <c r="BU22" s="481"/>
      <c r="BV22" s="481"/>
      <c r="BW22" s="481"/>
      <c r="BX22" s="481"/>
      <c r="BY22" s="481"/>
      <c r="BZ22" s="481"/>
      <c r="CA22" s="481"/>
      <c r="CB22" s="481"/>
      <c r="CC22" s="481"/>
      <c r="CD22" s="481"/>
      <c r="CE22" s="481"/>
      <c r="CF22" s="481"/>
      <c r="CG22" s="481"/>
      <c r="CH22" s="481"/>
      <c r="CI22" s="481"/>
      <c r="CJ22" s="481"/>
      <c r="CK22" s="481"/>
      <c r="CL22" s="481"/>
      <c r="CM22" s="481"/>
      <c r="CN22" s="481"/>
      <c r="CO22" s="481"/>
      <c r="CP22" s="481"/>
      <c r="CQ22" s="481"/>
      <c r="CR22" s="481"/>
      <c r="CS22" s="481"/>
      <c r="CT22" s="481"/>
      <c r="CU22" s="481"/>
      <c r="CV22" s="481"/>
      <c r="CW22" s="481"/>
      <c r="CX22" s="481"/>
      <c r="CY22" s="481"/>
      <c r="CZ22" s="481"/>
      <c r="DA22" s="481"/>
      <c r="DB22" s="481"/>
      <c r="DC22" s="481"/>
    </row>
    <row r="23" spans="1:20" ht="12.75">
      <c r="A23" s="74" t="s">
        <v>246</v>
      </c>
      <c r="B23" s="485">
        <f>SUM(B24:B25)</f>
        <v>3445510</v>
      </c>
      <c r="C23" s="485">
        <f>SUM(C24:C25)</f>
        <v>0</v>
      </c>
      <c r="D23" s="698">
        <f t="shared" si="0"/>
        <v>0</v>
      </c>
      <c r="E23" s="485">
        <f>SUM(E24:E25)</f>
        <v>3279510</v>
      </c>
      <c r="F23" s="485">
        <f>SUM(F24:F25)</f>
        <v>0</v>
      </c>
      <c r="G23" s="698">
        <f t="shared" si="1"/>
        <v>0</v>
      </c>
      <c r="H23" s="485">
        <f>SUM(H24:H25)</f>
        <v>7392100</v>
      </c>
      <c r="I23" s="485">
        <f>SUM(I24:I25)</f>
        <v>0</v>
      </c>
      <c r="J23" s="698">
        <f>I23/H23*100</f>
        <v>0</v>
      </c>
      <c r="K23" s="74" t="s">
        <v>246</v>
      </c>
      <c r="L23" s="485">
        <v>3445</v>
      </c>
      <c r="M23" s="485">
        <v>0</v>
      </c>
      <c r="N23" s="698">
        <v>0</v>
      </c>
      <c r="O23" s="485">
        <v>3280</v>
      </c>
      <c r="P23" s="485">
        <v>0</v>
      </c>
      <c r="Q23" s="698">
        <v>0</v>
      </c>
      <c r="R23" s="485">
        <v>7392</v>
      </c>
      <c r="S23" s="485">
        <v>0</v>
      </c>
      <c r="T23" s="698">
        <v>0</v>
      </c>
    </row>
    <row r="24" spans="1:107" s="482" customFormat="1" ht="12.75">
      <c r="A24" s="487" t="s">
        <v>927</v>
      </c>
      <c r="B24" s="27">
        <v>4510</v>
      </c>
      <c r="C24" s="27"/>
      <c r="D24" s="699">
        <f t="shared" si="0"/>
        <v>0</v>
      </c>
      <c r="E24" s="27">
        <v>4510</v>
      </c>
      <c r="F24" s="27"/>
      <c r="G24" s="699"/>
      <c r="H24" s="27"/>
      <c r="I24" s="27"/>
      <c r="J24" s="699"/>
      <c r="K24" s="487" t="s">
        <v>927</v>
      </c>
      <c r="L24" s="27">
        <v>4</v>
      </c>
      <c r="M24" s="27">
        <v>0</v>
      </c>
      <c r="N24" s="699">
        <v>0</v>
      </c>
      <c r="O24" s="27">
        <v>5</v>
      </c>
      <c r="P24" s="27">
        <v>0</v>
      </c>
      <c r="Q24" s="699">
        <v>0</v>
      </c>
      <c r="R24" s="27">
        <v>0</v>
      </c>
      <c r="S24" s="27">
        <v>0</v>
      </c>
      <c r="T24" s="699"/>
      <c r="U24" s="481"/>
      <c r="V24" s="481"/>
      <c r="W24" s="481"/>
      <c r="X24" s="481"/>
      <c r="Y24" s="481"/>
      <c r="Z24" s="481"/>
      <c r="AA24" s="481"/>
      <c r="AB24" s="481"/>
      <c r="AC24" s="481"/>
      <c r="AD24" s="481"/>
      <c r="AE24" s="481"/>
      <c r="AF24" s="481"/>
      <c r="AG24" s="481"/>
      <c r="AH24" s="481"/>
      <c r="AI24" s="481"/>
      <c r="AJ24" s="481"/>
      <c r="AK24" s="481"/>
      <c r="AL24" s="481"/>
      <c r="AM24" s="481"/>
      <c r="AN24" s="481"/>
      <c r="AO24" s="481"/>
      <c r="AP24" s="481"/>
      <c r="AQ24" s="481"/>
      <c r="AR24" s="481"/>
      <c r="AS24" s="481"/>
      <c r="AT24" s="481"/>
      <c r="AU24" s="481"/>
      <c r="AV24" s="481"/>
      <c r="AW24" s="481"/>
      <c r="AX24" s="481"/>
      <c r="AY24" s="481"/>
      <c r="AZ24" s="481"/>
      <c r="BA24" s="481"/>
      <c r="BB24" s="481"/>
      <c r="BC24" s="481"/>
      <c r="BD24" s="481"/>
      <c r="BE24" s="481"/>
      <c r="BF24" s="481"/>
      <c r="BG24" s="481"/>
      <c r="BH24" s="481"/>
      <c r="BI24" s="481"/>
      <c r="BJ24" s="481"/>
      <c r="BK24" s="481"/>
      <c r="BL24" s="481"/>
      <c r="BM24" s="481"/>
      <c r="BN24" s="481"/>
      <c r="BO24" s="481"/>
      <c r="BP24" s="481"/>
      <c r="BQ24" s="481"/>
      <c r="BR24" s="481"/>
      <c r="BS24" s="481"/>
      <c r="BT24" s="481"/>
      <c r="BU24" s="481"/>
      <c r="BV24" s="481"/>
      <c r="BW24" s="481"/>
      <c r="BX24" s="481"/>
      <c r="BY24" s="481"/>
      <c r="BZ24" s="481"/>
      <c r="CA24" s="481"/>
      <c r="CB24" s="481"/>
      <c r="CC24" s="481"/>
      <c r="CD24" s="481"/>
      <c r="CE24" s="481"/>
      <c r="CF24" s="481"/>
      <c r="CG24" s="481"/>
      <c r="CH24" s="481"/>
      <c r="CI24" s="481"/>
      <c r="CJ24" s="481"/>
      <c r="CK24" s="481"/>
      <c r="CL24" s="481"/>
      <c r="CM24" s="481"/>
      <c r="CN24" s="481"/>
      <c r="CO24" s="481"/>
      <c r="CP24" s="481"/>
      <c r="CQ24" s="481"/>
      <c r="CR24" s="481"/>
      <c r="CS24" s="481"/>
      <c r="CT24" s="481"/>
      <c r="CU24" s="481"/>
      <c r="CV24" s="481"/>
      <c r="CW24" s="481"/>
      <c r="CX24" s="481"/>
      <c r="CY24" s="481"/>
      <c r="CZ24" s="481"/>
      <c r="DA24" s="481"/>
      <c r="DB24" s="481"/>
      <c r="DC24" s="481"/>
    </row>
    <row r="25" spans="1:107" s="482" customFormat="1" ht="12.75">
      <c r="A25" s="487" t="s">
        <v>549</v>
      </c>
      <c r="B25" s="27">
        <v>3441000</v>
      </c>
      <c r="D25" s="699">
        <f t="shared" si="0"/>
        <v>0</v>
      </c>
      <c r="E25" s="27">
        <v>3275000</v>
      </c>
      <c r="F25" s="27"/>
      <c r="G25" s="699">
        <f aca="true" t="shared" si="3" ref="G25:G56">F25/E25*100</f>
        <v>0</v>
      </c>
      <c r="H25" s="27">
        <v>7392100</v>
      </c>
      <c r="I25" s="27"/>
      <c r="J25" s="699">
        <f aca="true" t="shared" si="4" ref="J25:J35">I25/H25*100</f>
        <v>0</v>
      </c>
      <c r="K25" s="487" t="s">
        <v>549</v>
      </c>
      <c r="L25" s="27">
        <v>3441</v>
      </c>
      <c r="M25" s="27">
        <v>0</v>
      </c>
      <c r="N25" s="699">
        <v>0</v>
      </c>
      <c r="O25" s="27">
        <v>3275</v>
      </c>
      <c r="P25" s="27">
        <v>0</v>
      </c>
      <c r="Q25" s="699">
        <v>0</v>
      </c>
      <c r="R25" s="27">
        <v>7392</v>
      </c>
      <c r="S25" s="27">
        <v>0</v>
      </c>
      <c r="T25" s="699">
        <v>0</v>
      </c>
      <c r="U25" s="481"/>
      <c r="V25" s="481"/>
      <c r="W25" s="481"/>
      <c r="X25" s="481"/>
      <c r="Y25" s="481"/>
      <c r="Z25" s="481"/>
      <c r="AA25" s="481"/>
      <c r="AB25" s="481"/>
      <c r="AC25" s="481"/>
      <c r="AD25" s="481"/>
      <c r="AE25" s="481"/>
      <c r="AF25" s="481"/>
      <c r="AG25" s="481"/>
      <c r="AH25" s="481"/>
      <c r="AI25" s="481"/>
      <c r="AJ25" s="481"/>
      <c r="AK25" s="481"/>
      <c r="AL25" s="481"/>
      <c r="AM25" s="481"/>
      <c r="AN25" s="481"/>
      <c r="AO25" s="481"/>
      <c r="AP25" s="481"/>
      <c r="AQ25" s="481"/>
      <c r="AR25" s="481"/>
      <c r="AS25" s="481"/>
      <c r="AT25" s="481"/>
      <c r="AU25" s="481"/>
      <c r="AV25" s="481"/>
      <c r="AW25" s="481"/>
      <c r="AX25" s="481"/>
      <c r="AY25" s="481"/>
      <c r="AZ25" s="481"/>
      <c r="BA25" s="481"/>
      <c r="BB25" s="481"/>
      <c r="BC25" s="481"/>
      <c r="BD25" s="481"/>
      <c r="BE25" s="481"/>
      <c r="BF25" s="481"/>
      <c r="BG25" s="481"/>
      <c r="BH25" s="481"/>
      <c r="BI25" s="481"/>
      <c r="BJ25" s="481"/>
      <c r="BK25" s="481"/>
      <c r="BL25" s="481"/>
      <c r="BM25" s="481"/>
      <c r="BN25" s="481"/>
      <c r="BO25" s="481"/>
      <c r="BP25" s="481"/>
      <c r="BQ25" s="481"/>
      <c r="BR25" s="481"/>
      <c r="BS25" s="481"/>
      <c r="BT25" s="481"/>
      <c r="BU25" s="481"/>
      <c r="BV25" s="481"/>
      <c r="BW25" s="481"/>
      <c r="BX25" s="481"/>
      <c r="BY25" s="481"/>
      <c r="BZ25" s="481"/>
      <c r="CA25" s="481"/>
      <c r="CB25" s="481"/>
      <c r="CC25" s="481"/>
      <c r="CD25" s="481"/>
      <c r="CE25" s="481"/>
      <c r="CF25" s="481"/>
      <c r="CG25" s="481"/>
      <c r="CH25" s="481"/>
      <c r="CI25" s="481"/>
      <c r="CJ25" s="481"/>
      <c r="CK25" s="481"/>
      <c r="CL25" s="481"/>
      <c r="CM25" s="481"/>
      <c r="CN25" s="481"/>
      <c r="CO25" s="481"/>
      <c r="CP25" s="481"/>
      <c r="CQ25" s="481"/>
      <c r="CR25" s="481"/>
      <c r="CS25" s="481"/>
      <c r="CT25" s="481"/>
      <c r="CU25" s="481"/>
      <c r="CV25" s="481"/>
      <c r="CW25" s="481"/>
      <c r="CX25" s="481"/>
      <c r="CY25" s="481"/>
      <c r="CZ25" s="481"/>
      <c r="DA25" s="481"/>
      <c r="DB25" s="481"/>
      <c r="DC25" s="481"/>
    </row>
    <row r="26" spans="1:20" ht="12.75">
      <c r="A26" s="74" t="s">
        <v>248</v>
      </c>
      <c r="B26" s="485">
        <f>SUM(B27:B29)</f>
        <v>1416488</v>
      </c>
      <c r="C26" s="485">
        <f>SUM(C27:C29)</f>
        <v>1651840</v>
      </c>
      <c r="D26" s="698">
        <f t="shared" si="0"/>
        <v>116.61517782007331</v>
      </c>
      <c r="E26" s="485">
        <f>SUM(E27:E29)</f>
        <v>687936</v>
      </c>
      <c r="F26" s="485">
        <f>SUM(F27:F29)</f>
        <v>1651840</v>
      </c>
      <c r="G26" s="698">
        <f t="shared" si="3"/>
        <v>240.11535956833194</v>
      </c>
      <c r="H26" s="485">
        <f>SUM(H27:H29)</f>
        <v>893064</v>
      </c>
      <c r="I26" s="485">
        <f>SUM(I27:I29)</f>
        <v>0</v>
      </c>
      <c r="J26" s="698">
        <f t="shared" si="4"/>
        <v>0</v>
      </c>
      <c r="K26" s="74" t="s">
        <v>248</v>
      </c>
      <c r="L26" s="485">
        <v>1417</v>
      </c>
      <c r="M26" s="485">
        <v>1652</v>
      </c>
      <c r="N26" s="698">
        <v>116.58433309809458</v>
      </c>
      <c r="O26" s="485">
        <v>688</v>
      </c>
      <c r="P26" s="485">
        <v>1651</v>
      </c>
      <c r="Q26" s="698">
        <v>239.97093023255815</v>
      </c>
      <c r="R26" s="485">
        <v>894</v>
      </c>
      <c r="S26" s="485">
        <v>0</v>
      </c>
      <c r="T26" s="698">
        <v>0</v>
      </c>
    </row>
    <row r="27" spans="1:107" s="482" customFormat="1" ht="12.75">
      <c r="A27" s="487" t="s">
        <v>927</v>
      </c>
      <c r="B27" s="27">
        <v>1388740</v>
      </c>
      <c r="C27" s="27">
        <v>1651840</v>
      </c>
      <c r="D27" s="699">
        <f t="shared" si="0"/>
        <v>118.94523092875555</v>
      </c>
      <c r="E27" s="27">
        <v>660740</v>
      </c>
      <c r="F27" s="27">
        <v>1651840</v>
      </c>
      <c r="G27" s="699">
        <f t="shared" si="3"/>
        <v>249.9984865453885</v>
      </c>
      <c r="H27" s="27">
        <v>654740</v>
      </c>
      <c r="I27" s="27"/>
      <c r="J27" s="699">
        <f t="shared" si="4"/>
        <v>0</v>
      </c>
      <c r="K27" s="487" t="s">
        <v>927</v>
      </c>
      <c r="L27" s="27">
        <v>1389</v>
      </c>
      <c r="M27" s="27">
        <v>1652</v>
      </c>
      <c r="N27" s="699">
        <v>118.93448524118071</v>
      </c>
      <c r="O27" s="27">
        <v>661</v>
      </c>
      <c r="P27" s="27">
        <v>1651</v>
      </c>
      <c r="Q27" s="699">
        <v>249.7730711043873</v>
      </c>
      <c r="R27" s="27">
        <v>655</v>
      </c>
      <c r="S27" s="27">
        <v>0</v>
      </c>
      <c r="T27" s="699">
        <v>0</v>
      </c>
      <c r="U27" s="481"/>
      <c r="V27" s="481"/>
      <c r="W27" s="481"/>
      <c r="X27" s="481"/>
      <c r="Y27" s="481"/>
      <c r="Z27" s="481"/>
      <c r="AA27" s="481"/>
      <c r="AB27" s="481"/>
      <c r="AC27" s="481"/>
      <c r="AD27" s="481"/>
      <c r="AE27" s="481"/>
      <c r="AF27" s="481"/>
      <c r="AG27" s="481"/>
      <c r="AH27" s="481"/>
      <c r="AI27" s="481"/>
      <c r="AJ27" s="481"/>
      <c r="AK27" s="481"/>
      <c r="AL27" s="481"/>
      <c r="AM27" s="481"/>
      <c r="AN27" s="481"/>
      <c r="AO27" s="481"/>
      <c r="AP27" s="481"/>
      <c r="AQ27" s="481"/>
      <c r="AR27" s="481"/>
      <c r="AS27" s="481"/>
      <c r="AT27" s="481"/>
      <c r="AU27" s="481"/>
      <c r="AV27" s="481"/>
      <c r="AW27" s="481"/>
      <c r="AX27" s="481"/>
      <c r="AY27" s="481"/>
      <c r="AZ27" s="481"/>
      <c r="BA27" s="481"/>
      <c r="BB27" s="481"/>
      <c r="BC27" s="481"/>
      <c r="BD27" s="481"/>
      <c r="BE27" s="481"/>
      <c r="BF27" s="481"/>
      <c r="BG27" s="481"/>
      <c r="BH27" s="481"/>
      <c r="BI27" s="481"/>
      <c r="BJ27" s="481"/>
      <c r="BK27" s="481"/>
      <c r="BL27" s="481"/>
      <c r="BM27" s="481"/>
      <c r="BN27" s="481"/>
      <c r="BO27" s="481"/>
      <c r="BP27" s="481"/>
      <c r="BQ27" s="481"/>
      <c r="BR27" s="481"/>
      <c r="BS27" s="481"/>
      <c r="BT27" s="481"/>
      <c r="BU27" s="481"/>
      <c r="BV27" s="481"/>
      <c r="BW27" s="481"/>
      <c r="BX27" s="481"/>
      <c r="BY27" s="481"/>
      <c r="BZ27" s="481"/>
      <c r="CA27" s="481"/>
      <c r="CB27" s="481"/>
      <c r="CC27" s="481"/>
      <c r="CD27" s="481"/>
      <c r="CE27" s="481"/>
      <c r="CF27" s="481"/>
      <c r="CG27" s="481"/>
      <c r="CH27" s="481"/>
      <c r="CI27" s="481"/>
      <c r="CJ27" s="481"/>
      <c r="CK27" s="481"/>
      <c r="CL27" s="481"/>
      <c r="CM27" s="481"/>
      <c r="CN27" s="481"/>
      <c r="CO27" s="481"/>
      <c r="CP27" s="481"/>
      <c r="CQ27" s="481"/>
      <c r="CR27" s="481"/>
      <c r="CS27" s="481"/>
      <c r="CT27" s="481"/>
      <c r="CU27" s="481"/>
      <c r="CV27" s="481"/>
      <c r="CW27" s="481"/>
      <c r="CX27" s="481"/>
      <c r="CY27" s="481"/>
      <c r="CZ27" s="481"/>
      <c r="DA27" s="481"/>
      <c r="DB27" s="481"/>
      <c r="DC27" s="481"/>
    </row>
    <row r="28" spans="1:107" s="482" customFormat="1" ht="12.75">
      <c r="A28" s="487" t="s">
        <v>928</v>
      </c>
      <c r="B28" s="27">
        <v>2400</v>
      </c>
      <c r="C28" s="27"/>
      <c r="D28" s="699">
        <f t="shared" si="0"/>
        <v>0</v>
      </c>
      <c r="E28" s="27">
        <v>2400</v>
      </c>
      <c r="F28" s="27"/>
      <c r="G28" s="699">
        <f t="shared" si="3"/>
        <v>0</v>
      </c>
      <c r="H28" s="27">
        <v>9600</v>
      </c>
      <c r="I28" s="27"/>
      <c r="J28" s="699">
        <f t="shared" si="4"/>
        <v>0</v>
      </c>
      <c r="K28" s="700" t="s">
        <v>928</v>
      </c>
      <c r="L28" s="27">
        <v>3</v>
      </c>
      <c r="M28" s="27">
        <v>0</v>
      </c>
      <c r="N28" s="699">
        <v>0</v>
      </c>
      <c r="O28" s="27">
        <v>2</v>
      </c>
      <c r="P28" s="27">
        <v>0</v>
      </c>
      <c r="Q28" s="699">
        <v>0</v>
      </c>
      <c r="R28" s="27">
        <v>10</v>
      </c>
      <c r="S28" s="27">
        <v>0</v>
      </c>
      <c r="T28" s="699">
        <v>0</v>
      </c>
      <c r="U28" s="481"/>
      <c r="V28" s="481"/>
      <c r="W28" s="481"/>
      <c r="X28" s="481"/>
      <c r="Y28" s="481"/>
      <c r="Z28" s="481"/>
      <c r="AA28" s="481"/>
      <c r="AB28" s="481"/>
      <c r="AC28" s="481"/>
      <c r="AD28" s="481"/>
      <c r="AE28" s="481"/>
      <c r="AF28" s="481"/>
      <c r="AG28" s="481"/>
      <c r="AH28" s="481"/>
      <c r="AI28" s="481"/>
      <c r="AJ28" s="481"/>
      <c r="AK28" s="481"/>
      <c r="AL28" s="481"/>
      <c r="AM28" s="481"/>
      <c r="AN28" s="481"/>
      <c r="AO28" s="481"/>
      <c r="AP28" s="481"/>
      <c r="AQ28" s="481"/>
      <c r="AR28" s="481"/>
      <c r="AS28" s="481"/>
      <c r="AT28" s="481"/>
      <c r="AU28" s="481"/>
      <c r="AV28" s="481"/>
      <c r="AW28" s="481"/>
      <c r="AX28" s="481"/>
      <c r="AY28" s="481"/>
      <c r="AZ28" s="481"/>
      <c r="BA28" s="481"/>
      <c r="BB28" s="481"/>
      <c r="BC28" s="481"/>
      <c r="BD28" s="481"/>
      <c r="BE28" s="481"/>
      <c r="BF28" s="481"/>
      <c r="BG28" s="481"/>
      <c r="BH28" s="481"/>
      <c r="BI28" s="481"/>
      <c r="BJ28" s="481"/>
      <c r="BK28" s="481"/>
      <c r="BL28" s="481"/>
      <c r="BM28" s="481"/>
      <c r="BN28" s="481"/>
      <c r="BO28" s="481"/>
      <c r="BP28" s="481"/>
      <c r="BQ28" s="481"/>
      <c r="BR28" s="481"/>
      <c r="BS28" s="481"/>
      <c r="BT28" s="481"/>
      <c r="BU28" s="481"/>
      <c r="BV28" s="481"/>
      <c r="BW28" s="481"/>
      <c r="BX28" s="481"/>
      <c r="BY28" s="481"/>
      <c r="BZ28" s="481"/>
      <c r="CA28" s="481"/>
      <c r="CB28" s="481"/>
      <c r="CC28" s="481"/>
      <c r="CD28" s="481"/>
      <c r="CE28" s="481"/>
      <c r="CF28" s="481"/>
      <c r="CG28" s="481"/>
      <c r="CH28" s="481"/>
      <c r="CI28" s="481"/>
      <c r="CJ28" s="481"/>
      <c r="CK28" s="481"/>
      <c r="CL28" s="481"/>
      <c r="CM28" s="481"/>
      <c r="CN28" s="481"/>
      <c r="CO28" s="481"/>
      <c r="CP28" s="481"/>
      <c r="CQ28" s="481"/>
      <c r="CR28" s="481"/>
      <c r="CS28" s="481"/>
      <c r="CT28" s="481"/>
      <c r="CU28" s="481"/>
      <c r="CV28" s="481"/>
      <c r="CW28" s="481"/>
      <c r="CX28" s="481"/>
      <c r="CY28" s="481"/>
      <c r="CZ28" s="481"/>
      <c r="DA28" s="481"/>
      <c r="DB28" s="481"/>
      <c r="DC28" s="481"/>
    </row>
    <row r="29" spans="1:107" s="138" customFormat="1" ht="12.75">
      <c r="A29" s="487" t="s">
        <v>929</v>
      </c>
      <c r="B29" s="27">
        <v>25348</v>
      </c>
      <c r="C29" s="27"/>
      <c r="D29" s="699">
        <f t="shared" si="0"/>
        <v>0</v>
      </c>
      <c r="E29" s="27">
        <v>24796</v>
      </c>
      <c r="F29" s="27"/>
      <c r="G29" s="699">
        <f t="shared" si="3"/>
        <v>0</v>
      </c>
      <c r="H29" s="27">
        <v>228724</v>
      </c>
      <c r="I29" s="27"/>
      <c r="J29" s="701">
        <f t="shared" si="4"/>
        <v>0</v>
      </c>
      <c r="K29" s="487" t="s">
        <v>929</v>
      </c>
      <c r="L29" s="702">
        <v>25</v>
      </c>
      <c r="M29" s="27">
        <v>0</v>
      </c>
      <c r="N29" s="699">
        <v>0</v>
      </c>
      <c r="O29" s="27">
        <v>25</v>
      </c>
      <c r="P29" s="27">
        <v>0</v>
      </c>
      <c r="Q29" s="699">
        <v>0</v>
      </c>
      <c r="R29" s="27">
        <v>229</v>
      </c>
      <c r="S29" s="27">
        <v>0</v>
      </c>
      <c r="T29" s="699">
        <v>0</v>
      </c>
      <c r="U29" s="481"/>
      <c r="V29" s="481"/>
      <c r="W29" s="481"/>
      <c r="X29" s="481"/>
      <c r="Y29" s="481"/>
      <c r="Z29" s="481"/>
      <c r="AA29" s="481"/>
      <c r="AB29" s="481"/>
      <c r="AC29" s="481"/>
      <c r="AD29" s="481"/>
      <c r="AE29" s="481"/>
      <c r="AF29" s="481"/>
      <c r="AG29" s="481"/>
      <c r="AH29" s="481"/>
      <c r="AI29" s="481"/>
      <c r="AJ29" s="481"/>
      <c r="AK29" s="481"/>
      <c r="AL29" s="481"/>
      <c r="AM29" s="481"/>
      <c r="AN29" s="481"/>
      <c r="AO29" s="481"/>
      <c r="AP29" s="481"/>
      <c r="AQ29" s="481"/>
      <c r="AR29" s="481"/>
      <c r="AS29" s="481"/>
      <c r="AT29" s="481"/>
      <c r="AU29" s="481"/>
      <c r="AV29" s="481"/>
      <c r="AW29" s="481"/>
      <c r="AX29" s="481"/>
      <c r="AY29" s="481"/>
      <c r="AZ29" s="481"/>
      <c r="BA29" s="481"/>
      <c r="BB29" s="481"/>
      <c r="BC29" s="481"/>
      <c r="BD29" s="481"/>
      <c r="BE29" s="481"/>
      <c r="BF29" s="481"/>
      <c r="BG29" s="481"/>
      <c r="BH29" s="481"/>
      <c r="BI29" s="481"/>
      <c r="BJ29" s="481"/>
      <c r="BK29" s="481"/>
      <c r="BL29" s="481"/>
      <c r="BM29" s="481"/>
      <c r="BN29" s="481"/>
      <c r="BO29" s="481"/>
      <c r="BP29" s="481"/>
      <c r="BQ29" s="481"/>
      <c r="BR29" s="481"/>
      <c r="BS29" s="481"/>
      <c r="BT29" s="481"/>
      <c r="BU29" s="481"/>
      <c r="BV29" s="481"/>
      <c r="BW29" s="481"/>
      <c r="BX29" s="481"/>
      <c r="BY29" s="481"/>
      <c r="BZ29" s="481"/>
      <c r="CA29" s="481"/>
      <c r="CB29" s="481"/>
      <c r="CC29" s="481"/>
      <c r="CD29" s="481"/>
      <c r="CE29" s="481"/>
      <c r="CF29" s="481"/>
      <c r="CG29" s="481"/>
      <c r="CH29" s="481"/>
      <c r="CI29" s="481"/>
      <c r="CJ29" s="481"/>
      <c r="CK29" s="481"/>
      <c r="CL29" s="481"/>
      <c r="CM29" s="481"/>
      <c r="CN29" s="481"/>
      <c r="CO29" s="481"/>
      <c r="CP29" s="481"/>
      <c r="CQ29" s="481"/>
      <c r="CR29" s="481"/>
      <c r="CS29" s="481"/>
      <c r="CT29" s="481"/>
      <c r="CU29" s="481"/>
      <c r="CV29" s="481"/>
      <c r="CW29" s="481"/>
      <c r="CX29" s="481"/>
      <c r="CY29" s="481"/>
      <c r="CZ29" s="481"/>
      <c r="DA29" s="481"/>
      <c r="DB29" s="481"/>
      <c r="DC29" s="481"/>
    </row>
    <row r="30" spans="1:20" ht="12.75">
      <c r="A30" s="74" t="s">
        <v>250</v>
      </c>
      <c r="B30" s="485">
        <f>SUM(B31:B34)</f>
        <v>971281</v>
      </c>
      <c r="C30" s="485">
        <f>SUM(C31:C34)</f>
        <v>0</v>
      </c>
      <c r="D30" s="698">
        <f t="shared" si="0"/>
        <v>0</v>
      </c>
      <c r="E30" s="485">
        <f>SUM(E31:E34)</f>
        <v>987980</v>
      </c>
      <c r="F30" s="485">
        <f>SUM(F31:F34)</f>
        <v>0</v>
      </c>
      <c r="G30" s="698">
        <f t="shared" si="3"/>
        <v>0</v>
      </c>
      <c r="H30" s="485">
        <f>SUM(H31:H34)</f>
        <v>4179644</v>
      </c>
      <c r="I30" s="485">
        <f>SUM(I31:I34)</f>
        <v>0</v>
      </c>
      <c r="J30" s="698">
        <f t="shared" si="4"/>
        <v>0</v>
      </c>
      <c r="K30" s="703" t="s">
        <v>250</v>
      </c>
      <c r="L30" s="485">
        <v>971</v>
      </c>
      <c r="M30" s="485">
        <v>0</v>
      </c>
      <c r="N30" s="698">
        <v>0</v>
      </c>
      <c r="O30" s="485">
        <v>988</v>
      </c>
      <c r="P30" s="485">
        <v>0</v>
      </c>
      <c r="Q30" s="698">
        <v>0</v>
      </c>
      <c r="R30" s="485">
        <v>4180</v>
      </c>
      <c r="S30" s="485">
        <v>0</v>
      </c>
      <c r="T30" s="698">
        <v>0</v>
      </c>
    </row>
    <row r="31" spans="1:107" s="482" customFormat="1" ht="12.75">
      <c r="A31" s="487" t="s">
        <v>926</v>
      </c>
      <c r="B31" s="27">
        <v>102930</v>
      </c>
      <c r="C31" s="27"/>
      <c r="D31" s="699">
        <f t="shared" si="0"/>
        <v>0</v>
      </c>
      <c r="E31" s="27">
        <v>77944</v>
      </c>
      <c r="F31" s="27"/>
      <c r="G31" s="699">
        <f t="shared" si="3"/>
        <v>0</v>
      </c>
      <c r="H31" s="27">
        <v>26847</v>
      </c>
      <c r="I31" s="27"/>
      <c r="J31" s="699">
        <f t="shared" si="4"/>
        <v>0</v>
      </c>
      <c r="K31" s="487" t="s">
        <v>926</v>
      </c>
      <c r="L31" s="27">
        <v>103</v>
      </c>
      <c r="M31" s="27">
        <v>0</v>
      </c>
      <c r="N31" s="699">
        <v>0</v>
      </c>
      <c r="O31" s="27">
        <v>78</v>
      </c>
      <c r="P31" s="27">
        <v>0</v>
      </c>
      <c r="Q31" s="699">
        <v>0</v>
      </c>
      <c r="R31" s="27">
        <v>27</v>
      </c>
      <c r="S31" s="27">
        <v>0</v>
      </c>
      <c r="T31" s="699">
        <v>0</v>
      </c>
      <c r="U31" s="481"/>
      <c r="V31" s="481"/>
      <c r="W31" s="481"/>
      <c r="X31" s="481"/>
      <c r="Y31" s="481"/>
      <c r="Z31" s="481"/>
      <c r="AA31" s="481"/>
      <c r="AB31" s="481"/>
      <c r="AC31" s="481"/>
      <c r="AD31" s="481"/>
      <c r="AE31" s="481"/>
      <c r="AF31" s="481"/>
      <c r="AG31" s="481"/>
      <c r="AH31" s="481"/>
      <c r="AI31" s="481"/>
      <c r="AJ31" s="481"/>
      <c r="AK31" s="481"/>
      <c r="AL31" s="481"/>
      <c r="AM31" s="481"/>
      <c r="AN31" s="481"/>
      <c r="AO31" s="481"/>
      <c r="AP31" s="481"/>
      <c r="AQ31" s="481"/>
      <c r="AR31" s="481"/>
      <c r="AS31" s="481"/>
      <c r="AT31" s="481"/>
      <c r="AU31" s="481"/>
      <c r="AV31" s="481"/>
      <c r="AW31" s="481"/>
      <c r="AX31" s="481"/>
      <c r="AY31" s="481"/>
      <c r="AZ31" s="481"/>
      <c r="BA31" s="481"/>
      <c r="BB31" s="481"/>
      <c r="BC31" s="481"/>
      <c r="BD31" s="481"/>
      <c r="BE31" s="481"/>
      <c r="BF31" s="481"/>
      <c r="BG31" s="481"/>
      <c r="BH31" s="481"/>
      <c r="BI31" s="481"/>
      <c r="BJ31" s="481"/>
      <c r="BK31" s="481"/>
      <c r="BL31" s="481"/>
      <c r="BM31" s="481"/>
      <c r="BN31" s="481"/>
      <c r="BO31" s="481"/>
      <c r="BP31" s="481"/>
      <c r="BQ31" s="481"/>
      <c r="BR31" s="481"/>
      <c r="BS31" s="481"/>
      <c r="BT31" s="481"/>
      <c r="BU31" s="481"/>
      <c r="BV31" s="481"/>
      <c r="BW31" s="481"/>
      <c r="BX31" s="481"/>
      <c r="BY31" s="481"/>
      <c r="BZ31" s="481"/>
      <c r="CA31" s="481"/>
      <c r="CB31" s="481"/>
      <c r="CC31" s="481"/>
      <c r="CD31" s="481"/>
      <c r="CE31" s="481"/>
      <c r="CF31" s="481"/>
      <c r="CG31" s="481"/>
      <c r="CH31" s="481"/>
      <c r="CI31" s="481"/>
      <c r="CJ31" s="481"/>
      <c r="CK31" s="481"/>
      <c r="CL31" s="481"/>
      <c r="CM31" s="481"/>
      <c r="CN31" s="481"/>
      <c r="CO31" s="481"/>
      <c r="CP31" s="481"/>
      <c r="CQ31" s="481"/>
      <c r="CR31" s="481"/>
      <c r="CS31" s="481"/>
      <c r="CT31" s="481"/>
      <c r="CU31" s="481"/>
      <c r="CV31" s="481"/>
      <c r="CW31" s="481"/>
      <c r="CX31" s="481"/>
      <c r="CY31" s="481"/>
      <c r="CZ31" s="481"/>
      <c r="DA31" s="481"/>
      <c r="DB31" s="481"/>
      <c r="DC31" s="481"/>
    </row>
    <row r="32" spans="1:107" s="482" customFormat="1" ht="12.75">
      <c r="A32" s="487" t="s">
        <v>320</v>
      </c>
      <c r="B32" s="27">
        <v>18351</v>
      </c>
      <c r="C32" s="27"/>
      <c r="D32" s="699">
        <f t="shared" si="0"/>
        <v>0</v>
      </c>
      <c r="E32" s="27">
        <v>10036</v>
      </c>
      <c r="F32" s="27"/>
      <c r="G32" s="699">
        <f t="shared" si="3"/>
        <v>0</v>
      </c>
      <c r="H32" s="27">
        <v>2797</v>
      </c>
      <c r="I32" s="27"/>
      <c r="J32" s="699">
        <f t="shared" si="4"/>
        <v>0</v>
      </c>
      <c r="K32" s="487" t="s">
        <v>320</v>
      </c>
      <c r="L32" s="27">
        <v>18</v>
      </c>
      <c r="M32" s="27">
        <v>0</v>
      </c>
      <c r="N32" s="699">
        <v>0</v>
      </c>
      <c r="O32" s="27">
        <v>10</v>
      </c>
      <c r="P32" s="27">
        <v>0</v>
      </c>
      <c r="Q32" s="699">
        <v>0</v>
      </c>
      <c r="R32" s="27">
        <v>3</v>
      </c>
      <c r="S32" s="27">
        <v>0</v>
      </c>
      <c r="T32" s="699">
        <v>0</v>
      </c>
      <c r="U32" s="481"/>
      <c r="V32" s="481"/>
      <c r="W32" s="481"/>
      <c r="X32" s="481"/>
      <c r="Y32" s="481"/>
      <c r="Z32" s="481"/>
      <c r="AA32" s="481"/>
      <c r="AB32" s="481"/>
      <c r="AC32" s="481"/>
      <c r="AD32" s="481"/>
      <c r="AE32" s="481"/>
      <c r="AF32" s="481"/>
      <c r="AG32" s="481"/>
      <c r="AH32" s="481"/>
      <c r="AI32" s="481"/>
      <c r="AJ32" s="481"/>
      <c r="AK32" s="481"/>
      <c r="AL32" s="481"/>
      <c r="AM32" s="481"/>
      <c r="AN32" s="481"/>
      <c r="AO32" s="481"/>
      <c r="AP32" s="481"/>
      <c r="AQ32" s="481"/>
      <c r="AR32" s="481"/>
      <c r="AS32" s="481"/>
      <c r="AT32" s="481"/>
      <c r="AU32" s="481"/>
      <c r="AV32" s="481"/>
      <c r="AW32" s="481"/>
      <c r="AX32" s="481"/>
      <c r="AY32" s="481"/>
      <c r="AZ32" s="481"/>
      <c r="BA32" s="481"/>
      <c r="BB32" s="481"/>
      <c r="BC32" s="481"/>
      <c r="BD32" s="481"/>
      <c r="BE32" s="481"/>
      <c r="BF32" s="481"/>
      <c r="BG32" s="481"/>
      <c r="BH32" s="481"/>
      <c r="BI32" s="481"/>
      <c r="BJ32" s="481"/>
      <c r="BK32" s="481"/>
      <c r="BL32" s="481"/>
      <c r="BM32" s="481"/>
      <c r="BN32" s="481"/>
      <c r="BO32" s="481"/>
      <c r="BP32" s="481"/>
      <c r="BQ32" s="481"/>
      <c r="BR32" s="481"/>
      <c r="BS32" s="481"/>
      <c r="BT32" s="481"/>
      <c r="BU32" s="481"/>
      <c r="BV32" s="481"/>
      <c r="BW32" s="481"/>
      <c r="BX32" s="481"/>
      <c r="BY32" s="481"/>
      <c r="BZ32" s="481"/>
      <c r="CA32" s="481"/>
      <c r="CB32" s="481"/>
      <c r="CC32" s="481"/>
      <c r="CD32" s="481"/>
      <c r="CE32" s="481"/>
      <c r="CF32" s="481"/>
      <c r="CG32" s="481"/>
      <c r="CH32" s="481"/>
      <c r="CI32" s="481"/>
      <c r="CJ32" s="481"/>
      <c r="CK32" s="481"/>
      <c r="CL32" s="481"/>
      <c r="CM32" s="481"/>
      <c r="CN32" s="481"/>
      <c r="CO32" s="481"/>
      <c r="CP32" s="481"/>
      <c r="CQ32" s="481"/>
      <c r="CR32" s="481"/>
      <c r="CS32" s="481"/>
      <c r="CT32" s="481"/>
      <c r="CU32" s="481"/>
      <c r="CV32" s="481"/>
      <c r="CW32" s="481"/>
      <c r="CX32" s="481"/>
      <c r="CY32" s="481"/>
      <c r="CZ32" s="481"/>
      <c r="DA32" s="481"/>
      <c r="DB32" s="481"/>
      <c r="DC32" s="481"/>
    </row>
    <row r="33" spans="1:107" s="482" customFormat="1" ht="12.75">
      <c r="A33" s="487" t="s">
        <v>927</v>
      </c>
      <c r="B33" s="27">
        <v>50000</v>
      </c>
      <c r="C33" s="27"/>
      <c r="D33" s="699">
        <f t="shared" si="0"/>
        <v>0</v>
      </c>
      <c r="E33" s="27">
        <v>50000</v>
      </c>
      <c r="F33" s="27"/>
      <c r="G33" s="699">
        <f t="shared" si="3"/>
        <v>0</v>
      </c>
      <c r="H33" s="27">
        <v>150000</v>
      </c>
      <c r="I33" s="27"/>
      <c r="J33" s="699">
        <f t="shared" si="4"/>
        <v>0</v>
      </c>
      <c r="K33" s="487" t="s">
        <v>927</v>
      </c>
      <c r="L33" s="27">
        <v>50</v>
      </c>
      <c r="M33" s="27">
        <v>0</v>
      </c>
      <c r="N33" s="699">
        <v>0</v>
      </c>
      <c r="O33" s="27">
        <v>50</v>
      </c>
      <c r="P33" s="27">
        <v>0</v>
      </c>
      <c r="Q33" s="699">
        <v>0</v>
      </c>
      <c r="R33" s="27">
        <v>150</v>
      </c>
      <c r="S33" s="27">
        <v>0</v>
      </c>
      <c r="T33" s="699">
        <v>0</v>
      </c>
      <c r="U33" s="481"/>
      <c r="V33" s="481"/>
      <c r="W33" s="481"/>
      <c r="X33" s="481"/>
      <c r="Y33" s="481"/>
      <c r="Z33" s="481"/>
      <c r="AA33" s="481"/>
      <c r="AB33" s="481"/>
      <c r="AC33" s="481"/>
      <c r="AD33" s="481"/>
      <c r="AE33" s="481"/>
      <c r="AF33" s="481"/>
      <c r="AG33" s="481"/>
      <c r="AH33" s="481"/>
      <c r="AI33" s="481"/>
      <c r="AJ33" s="481"/>
      <c r="AK33" s="481"/>
      <c r="AL33" s="481"/>
      <c r="AM33" s="481"/>
      <c r="AN33" s="481"/>
      <c r="AO33" s="481"/>
      <c r="AP33" s="481"/>
      <c r="AQ33" s="481"/>
      <c r="AR33" s="481"/>
      <c r="AS33" s="481"/>
      <c r="AT33" s="481"/>
      <c r="AU33" s="481"/>
      <c r="AV33" s="481"/>
      <c r="AW33" s="481"/>
      <c r="AX33" s="481"/>
      <c r="AY33" s="481"/>
      <c r="AZ33" s="481"/>
      <c r="BA33" s="481"/>
      <c r="BB33" s="481"/>
      <c r="BC33" s="481"/>
      <c r="BD33" s="481"/>
      <c r="BE33" s="481"/>
      <c r="BF33" s="481"/>
      <c r="BG33" s="481"/>
      <c r="BH33" s="481"/>
      <c r="BI33" s="481"/>
      <c r="BJ33" s="481"/>
      <c r="BK33" s="481"/>
      <c r="BL33" s="481"/>
      <c r="BM33" s="481"/>
      <c r="BN33" s="481"/>
      <c r="BO33" s="481"/>
      <c r="BP33" s="481"/>
      <c r="BQ33" s="481"/>
      <c r="BR33" s="481"/>
      <c r="BS33" s="481"/>
      <c r="BT33" s="481"/>
      <c r="BU33" s="481"/>
      <c r="BV33" s="481"/>
      <c r="BW33" s="481"/>
      <c r="BX33" s="481"/>
      <c r="BY33" s="481"/>
      <c r="BZ33" s="481"/>
      <c r="CA33" s="481"/>
      <c r="CB33" s="481"/>
      <c r="CC33" s="481"/>
      <c r="CD33" s="481"/>
      <c r="CE33" s="481"/>
      <c r="CF33" s="481"/>
      <c r="CG33" s="481"/>
      <c r="CH33" s="481"/>
      <c r="CI33" s="481"/>
      <c r="CJ33" s="481"/>
      <c r="CK33" s="481"/>
      <c r="CL33" s="481"/>
      <c r="CM33" s="481"/>
      <c r="CN33" s="481"/>
      <c r="CO33" s="481"/>
      <c r="CP33" s="481"/>
      <c r="CQ33" s="481"/>
      <c r="CR33" s="481"/>
      <c r="CS33" s="481"/>
      <c r="CT33" s="481"/>
      <c r="CU33" s="481"/>
      <c r="CV33" s="481"/>
      <c r="CW33" s="481"/>
      <c r="CX33" s="481"/>
      <c r="CY33" s="481"/>
      <c r="CZ33" s="481"/>
      <c r="DA33" s="481"/>
      <c r="DB33" s="481"/>
      <c r="DC33" s="481"/>
    </row>
    <row r="34" spans="1:107" s="138" customFormat="1" ht="12.75">
      <c r="A34" s="487" t="s">
        <v>929</v>
      </c>
      <c r="B34" s="27">
        <v>800000</v>
      </c>
      <c r="C34" s="27"/>
      <c r="D34" s="699">
        <f t="shared" si="0"/>
        <v>0</v>
      </c>
      <c r="E34" s="27">
        <v>850000</v>
      </c>
      <c r="F34" s="27"/>
      <c r="G34" s="699">
        <f t="shared" si="3"/>
        <v>0</v>
      </c>
      <c r="H34" s="27">
        <v>4000000</v>
      </c>
      <c r="I34" s="27"/>
      <c r="J34" s="699">
        <f t="shared" si="4"/>
        <v>0</v>
      </c>
      <c r="K34" s="487" t="s">
        <v>929</v>
      </c>
      <c r="L34" s="27">
        <v>800</v>
      </c>
      <c r="M34" s="27">
        <v>0</v>
      </c>
      <c r="N34" s="699">
        <v>0</v>
      </c>
      <c r="O34" s="27">
        <v>850</v>
      </c>
      <c r="P34" s="27">
        <v>0</v>
      </c>
      <c r="Q34" s="699">
        <v>0</v>
      </c>
      <c r="R34" s="27">
        <v>4000</v>
      </c>
      <c r="S34" s="27">
        <v>0</v>
      </c>
      <c r="T34" s="699">
        <v>0</v>
      </c>
      <c r="U34" s="481"/>
      <c r="V34" s="481"/>
      <c r="W34" s="481"/>
      <c r="X34" s="481"/>
      <c r="Y34" s="481"/>
      <c r="Z34" s="481"/>
      <c r="AA34" s="481"/>
      <c r="AB34" s="481"/>
      <c r="AC34" s="481"/>
      <c r="AD34" s="481"/>
      <c r="AE34" s="481"/>
      <c r="AF34" s="481"/>
      <c r="AG34" s="481"/>
      <c r="AH34" s="481"/>
      <c r="AI34" s="481"/>
      <c r="AJ34" s="481"/>
      <c r="AK34" s="481"/>
      <c r="AL34" s="481"/>
      <c r="AM34" s="481"/>
      <c r="AN34" s="481"/>
      <c r="AO34" s="481"/>
      <c r="AP34" s="481"/>
      <c r="AQ34" s="481"/>
      <c r="AR34" s="481"/>
      <c r="AS34" s="481"/>
      <c r="AT34" s="481"/>
      <c r="AU34" s="481"/>
      <c r="AV34" s="481"/>
      <c r="AW34" s="481"/>
      <c r="AX34" s="481"/>
      <c r="AY34" s="481"/>
      <c r="AZ34" s="481"/>
      <c r="BA34" s="481"/>
      <c r="BB34" s="481"/>
      <c r="BC34" s="481"/>
      <c r="BD34" s="481"/>
      <c r="BE34" s="481"/>
      <c r="BF34" s="481"/>
      <c r="BG34" s="481"/>
      <c r="BH34" s="481"/>
      <c r="BI34" s="481"/>
      <c r="BJ34" s="481"/>
      <c r="BK34" s="481"/>
      <c r="BL34" s="481"/>
      <c r="BM34" s="481"/>
      <c r="BN34" s="481"/>
      <c r="BO34" s="481"/>
      <c r="BP34" s="481"/>
      <c r="BQ34" s="481"/>
      <c r="BR34" s="481"/>
      <c r="BS34" s="481"/>
      <c r="BT34" s="481"/>
      <c r="BU34" s="481"/>
      <c r="BV34" s="481"/>
      <c r="BW34" s="481"/>
      <c r="BX34" s="481"/>
      <c r="BY34" s="481"/>
      <c r="BZ34" s="481"/>
      <c r="CA34" s="481"/>
      <c r="CB34" s="481"/>
      <c r="CC34" s="481"/>
      <c r="CD34" s="481"/>
      <c r="CE34" s="481"/>
      <c r="CF34" s="481"/>
      <c r="CG34" s="481"/>
      <c r="CH34" s="481"/>
      <c r="CI34" s="481"/>
      <c r="CJ34" s="481"/>
      <c r="CK34" s="481"/>
      <c r="CL34" s="481"/>
      <c r="CM34" s="481"/>
      <c r="CN34" s="481"/>
      <c r="CO34" s="481"/>
      <c r="CP34" s="481"/>
      <c r="CQ34" s="481"/>
      <c r="CR34" s="481"/>
      <c r="CS34" s="481"/>
      <c r="CT34" s="481"/>
      <c r="CU34" s="481"/>
      <c r="CV34" s="481"/>
      <c r="CW34" s="481"/>
      <c r="CX34" s="481"/>
      <c r="CY34" s="481"/>
      <c r="CZ34" s="481"/>
      <c r="DA34" s="481"/>
      <c r="DB34" s="481"/>
      <c r="DC34" s="481"/>
    </row>
    <row r="35" spans="1:20" ht="12.75">
      <c r="A35" s="74" t="s">
        <v>252</v>
      </c>
      <c r="B35" s="485">
        <f>SUM(B36:B39)</f>
        <v>61070319</v>
      </c>
      <c r="C35" s="485">
        <f>SUM(C36:C39)</f>
        <v>36439385</v>
      </c>
      <c r="D35" s="698">
        <f t="shared" si="0"/>
        <v>59.667913311538456</v>
      </c>
      <c r="E35" s="485">
        <f>SUM(E36:E39)</f>
        <v>65437000</v>
      </c>
      <c r="F35" s="485">
        <f>SUM(F36:F39)</f>
        <v>32806990</v>
      </c>
      <c r="G35" s="698">
        <f t="shared" si="3"/>
        <v>50.135229304521914</v>
      </c>
      <c r="H35" s="485">
        <f>SUM(H36:H39)</f>
        <v>2743403</v>
      </c>
      <c r="I35" s="485">
        <f>SUM(I36:I39)</f>
        <v>0</v>
      </c>
      <c r="J35" s="698">
        <f t="shared" si="4"/>
        <v>0</v>
      </c>
      <c r="K35" s="74" t="s">
        <v>252</v>
      </c>
      <c r="L35" s="485">
        <v>61070</v>
      </c>
      <c r="M35" s="485">
        <v>37514</v>
      </c>
      <c r="N35" s="698">
        <v>61.427869657769776</v>
      </c>
      <c r="O35" s="485">
        <v>65437</v>
      </c>
      <c r="P35" s="485">
        <v>33839</v>
      </c>
      <c r="Q35" s="698">
        <v>51.71233400064183</v>
      </c>
      <c r="R35" s="485">
        <v>2743</v>
      </c>
      <c r="S35" s="485">
        <v>0</v>
      </c>
      <c r="T35" s="698">
        <v>0</v>
      </c>
    </row>
    <row r="36" spans="1:107" s="482" customFormat="1" ht="12.75">
      <c r="A36" s="487" t="s">
        <v>320</v>
      </c>
      <c r="B36" s="27">
        <v>54000000</v>
      </c>
      <c r="C36" s="27">
        <f>18519085+185100+16632400</f>
        <v>35336585</v>
      </c>
      <c r="D36" s="699">
        <f t="shared" si="0"/>
        <v>65.43812037037037</v>
      </c>
      <c r="E36" s="27">
        <v>59300000</v>
      </c>
      <c r="F36" s="27">
        <f>17686610+15120380</f>
        <v>32806990</v>
      </c>
      <c r="G36" s="699">
        <f t="shared" si="3"/>
        <v>55.323760539629006</v>
      </c>
      <c r="H36" s="27"/>
      <c r="I36" s="27"/>
      <c r="J36" s="699"/>
      <c r="K36" s="487" t="s">
        <v>320</v>
      </c>
      <c r="L36" s="27">
        <v>54000</v>
      </c>
      <c r="M36" s="27">
        <v>36411</v>
      </c>
      <c r="N36" s="699">
        <v>67.42777777777778</v>
      </c>
      <c r="O36" s="27">
        <v>59300</v>
      </c>
      <c r="P36" s="27">
        <v>33839</v>
      </c>
      <c r="Q36" s="699">
        <v>57.064080944350756</v>
      </c>
      <c r="R36" s="27">
        <v>0</v>
      </c>
      <c r="S36" s="27">
        <v>0</v>
      </c>
      <c r="T36" s="699"/>
      <c r="U36" s="481"/>
      <c r="V36" s="481"/>
      <c r="W36" s="481"/>
      <c r="X36" s="481"/>
      <c r="Y36" s="481"/>
      <c r="Z36" s="481"/>
      <c r="AA36" s="481"/>
      <c r="AB36" s="481"/>
      <c r="AC36" s="481"/>
      <c r="AD36" s="481"/>
      <c r="AE36" s="481"/>
      <c r="AF36" s="481"/>
      <c r="AG36" s="481"/>
      <c r="AH36" s="481"/>
      <c r="AI36" s="481"/>
      <c r="AJ36" s="481"/>
      <c r="AK36" s="481"/>
      <c r="AL36" s="481"/>
      <c r="AM36" s="481"/>
      <c r="AN36" s="481"/>
      <c r="AO36" s="481"/>
      <c r="AP36" s="481"/>
      <c r="AQ36" s="481"/>
      <c r="AR36" s="481"/>
      <c r="AS36" s="481"/>
      <c r="AT36" s="481"/>
      <c r="AU36" s="481"/>
      <c r="AV36" s="481"/>
      <c r="AW36" s="481"/>
      <c r="AX36" s="481"/>
      <c r="AY36" s="481"/>
      <c r="AZ36" s="481"/>
      <c r="BA36" s="481"/>
      <c r="BB36" s="481"/>
      <c r="BC36" s="481"/>
      <c r="BD36" s="481"/>
      <c r="BE36" s="481"/>
      <c r="BF36" s="481"/>
      <c r="BG36" s="481"/>
      <c r="BH36" s="481"/>
      <c r="BI36" s="481"/>
      <c r="BJ36" s="481"/>
      <c r="BK36" s="481"/>
      <c r="BL36" s="481"/>
      <c r="BM36" s="481"/>
      <c r="BN36" s="481"/>
      <c r="BO36" s="481"/>
      <c r="BP36" s="481"/>
      <c r="BQ36" s="481"/>
      <c r="BR36" s="481"/>
      <c r="BS36" s="481"/>
      <c r="BT36" s="481"/>
      <c r="BU36" s="481"/>
      <c r="BV36" s="481"/>
      <c r="BW36" s="481"/>
      <c r="BX36" s="481"/>
      <c r="BY36" s="481"/>
      <c r="BZ36" s="481"/>
      <c r="CA36" s="481"/>
      <c r="CB36" s="481"/>
      <c r="CC36" s="481"/>
      <c r="CD36" s="481"/>
      <c r="CE36" s="481"/>
      <c r="CF36" s="481"/>
      <c r="CG36" s="481"/>
      <c r="CH36" s="481"/>
      <c r="CI36" s="481"/>
      <c r="CJ36" s="481"/>
      <c r="CK36" s="481"/>
      <c r="CL36" s="481"/>
      <c r="CM36" s="481"/>
      <c r="CN36" s="481"/>
      <c r="CO36" s="481"/>
      <c r="CP36" s="481"/>
      <c r="CQ36" s="481"/>
      <c r="CR36" s="481"/>
      <c r="CS36" s="481"/>
      <c r="CT36" s="481"/>
      <c r="CU36" s="481"/>
      <c r="CV36" s="481"/>
      <c r="CW36" s="481"/>
      <c r="CX36" s="481"/>
      <c r="CY36" s="481"/>
      <c r="CZ36" s="481"/>
      <c r="DA36" s="481"/>
      <c r="DB36" s="481"/>
      <c r="DC36" s="481"/>
    </row>
    <row r="37" spans="1:107" s="482" customFormat="1" ht="12.75">
      <c r="A37" s="487" t="s">
        <v>927</v>
      </c>
      <c r="B37" s="27">
        <v>947000</v>
      </c>
      <c r="C37" s="27">
        <f>3000+886000</f>
        <v>889000</v>
      </c>
      <c r="D37" s="699">
        <f t="shared" si="0"/>
        <v>93.8753959873284</v>
      </c>
      <c r="E37" s="27">
        <v>859000</v>
      </c>
      <c r="F37" s="27"/>
      <c r="G37" s="699">
        <f t="shared" si="3"/>
        <v>0</v>
      </c>
      <c r="H37" s="27">
        <v>2623403</v>
      </c>
      <c r="I37" s="27"/>
      <c r="J37" s="699"/>
      <c r="K37" s="487" t="s">
        <v>927</v>
      </c>
      <c r="L37" s="27">
        <v>947</v>
      </c>
      <c r="M37" s="27">
        <v>889</v>
      </c>
      <c r="N37" s="699">
        <v>93.8753959873284</v>
      </c>
      <c r="O37" s="27">
        <v>859</v>
      </c>
      <c r="P37" s="27">
        <v>0</v>
      </c>
      <c r="Q37" s="699">
        <v>0</v>
      </c>
      <c r="R37" s="27">
        <v>2623</v>
      </c>
      <c r="S37" s="27">
        <v>0</v>
      </c>
      <c r="T37" s="699">
        <v>0</v>
      </c>
      <c r="U37" s="481"/>
      <c r="V37" s="481"/>
      <c r="W37" s="481"/>
      <c r="X37" s="481"/>
      <c r="Y37" s="481"/>
      <c r="Z37" s="481"/>
      <c r="AA37" s="481"/>
      <c r="AB37" s="481"/>
      <c r="AC37" s="481"/>
      <c r="AD37" s="481"/>
      <c r="AE37" s="481"/>
      <c r="AF37" s="481"/>
      <c r="AG37" s="481"/>
      <c r="AH37" s="481"/>
      <c r="AI37" s="481"/>
      <c r="AJ37" s="481"/>
      <c r="AK37" s="481"/>
      <c r="AL37" s="481"/>
      <c r="AM37" s="481"/>
      <c r="AN37" s="481"/>
      <c r="AO37" s="481"/>
      <c r="AP37" s="481"/>
      <c r="AQ37" s="481"/>
      <c r="AR37" s="481"/>
      <c r="AS37" s="481"/>
      <c r="AT37" s="481"/>
      <c r="AU37" s="481"/>
      <c r="AV37" s="481"/>
      <c r="AW37" s="481"/>
      <c r="AX37" s="481"/>
      <c r="AY37" s="481"/>
      <c r="AZ37" s="481"/>
      <c r="BA37" s="481"/>
      <c r="BB37" s="481"/>
      <c r="BC37" s="481"/>
      <c r="BD37" s="481"/>
      <c r="BE37" s="481"/>
      <c r="BF37" s="481"/>
      <c r="BG37" s="481"/>
      <c r="BH37" s="481"/>
      <c r="BI37" s="481"/>
      <c r="BJ37" s="481"/>
      <c r="BK37" s="481"/>
      <c r="BL37" s="481"/>
      <c r="BM37" s="481"/>
      <c r="BN37" s="481"/>
      <c r="BO37" s="481"/>
      <c r="BP37" s="481"/>
      <c r="BQ37" s="481"/>
      <c r="BR37" s="481"/>
      <c r="BS37" s="481"/>
      <c r="BT37" s="481"/>
      <c r="BU37" s="481"/>
      <c r="BV37" s="481"/>
      <c r="BW37" s="481"/>
      <c r="BX37" s="481"/>
      <c r="BY37" s="481"/>
      <c r="BZ37" s="481"/>
      <c r="CA37" s="481"/>
      <c r="CB37" s="481"/>
      <c r="CC37" s="481"/>
      <c r="CD37" s="481"/>
      <c r="CE37" s="481"/>
      <c r="CF37" s="481"/>
      <c r="CG37" s="481"/>
      <c r="CH37" s="481"/>
      <c r="CI37" s="481"/>
      <c r="CJ37" s="481"/>
      <c r="CK37" s="481"/>
      <c r="CL37" s="481"/>
      <c r="CM37" s="481"/>
      <c r="CN37" s="481"/>
      <c r="CO37" s="481"/>
      <c r="CP37" s="481"/>
      <c r="CQ37" s="481"/>
      <c r="CR37" s="481"/>
      <c r="CS37" s="481"/>
      <c r="CT37" s="481"/>
      <c r="CU37" s="481"/>
      <c r="CV37" s="481"/>
      <c r="CW37" s="481"/>
      <c r="CX37" s="481"/>
      <c r="CY37" s="481"/>
      <c r="CZ37" s="481"/>
      <c r="DA37" s="481"/>
      <c r="DB37" s="481"/>
      <c r="DC37" s="481"/>
    </row>
    <row r="38" spans="1:107" s="482" customFormat="1" ht="12.75">
      <c r="A38" s="487" t="s">
        <v>549</v>
      </c>
      <c r="B38" s="27">
        <v>5278000</v>
      </c>
      <c r="C38" s="27">
        <v>38000</v>
      </c>
      <c r="D38" s="699">
        <f t="shared" si="0"/>
        <v>0.7199696854869269</v>
      </c>
      <c r="E38" s="27">
        <v>5278000</v>
      </c>
      <c r="F38" s="27"/>
      <c r="G38" s="699">
        <f t="shared" si="3"/>
        <v>0</v>
      </c>
      <c r="H38" s="27">
        <v>120000</v>
      </c>
      <c r="I38" s="27"/>
      <c r="J38" s="699">
        <f>I38/H38*100</f>
        <v>0</v>
      </c>
      <c r="K38" s="487" t="s">
        <v>549</v>
      </c>
      <c r="L38" s="27">
        <v>5278</v>
      </c>
      <c r="M38" s="27">
        <v>38</v>
      </c>
      <c r="N38" s="699">
        <v>0.7199696854869269</v>
      </c>
      <c r="O38" s="27">
        <v>5278</v>
      </c>
      <c r="P38" s="27">
        <v>0</v>
      </c>
      <c r="Q38" s="699">
        <v>0</v>
      </c>
      <c r="R38" s="27">
        <v>120</v>
      </c>
      <c r="S38" s="27">
        <v>0</v>
      </c>
      <c r="T38" s="699">
        <v>0</v>
      </c>
      <c r="U38" s="481"/>
      <c r="V38" s="481"/>
      <c r="W38" s="481"/>
      <c r="X38" s="481"/>
      <c r="Y38" s="481"/>
      <c r="Z38" s="481"/>
      <c r="AA38" s="481"/>
      <c r="AB38" s="481"/>
      <c r="AC38" s="481"/>
      <c r="AD38" s="481"/>
      <c r="AE38" s="481"/>
      <c r="AF38" s="481"/>
      <c r="AG38" s="481"/>
      <c r="AH38" s="481"/>
      <c r="AI38" s="481"/>
      <c r="AJ38" s="481"/>
      <c r="AK38" s="481"/>
      <c r="AL38" s="481"/>
      <c r="AM38" s="481"/>
      <c r="AN38" s="481"/>
      <c r="AO38" s="481"/>
      <c r="AP38" s="481"/>
      <c r="AQ38" s="481"/>
      <c r="AR38" s="481"/>
      <c r="AS38" s="481"/>
      <c r="AT38" s="481"/>
      <c r="AU38" s="481"/>
      <c r="AV38" s="481"/>
      <c r="AW38" s="481"/>
      <c r="AX38" s="481"/>
      <c r="AY38" s="481"/>
      <c r="AZ38" s="481"/>
      <c r="BA38" s="481"/>
      <c r="BB38" s="481"/>
      <c r="BC38" s="481"/>
      <c r="BD38" s="481"/>
      <c r="BE38" s="481"/>
      <c r="BF38" s="481"/>
      <c r="BG38" s="481"/>
      <c r="BH38" s="481"/>
      <c r="BI38" s="481"/>
      <c r="BJ38" s="481"/>
      <c r="BK38" s="481"/>
      <c r="BL38" s="481"/>
      <c r="BM38" s="481"/>
      <c r="BN38" s="481"/>
      <c r="BO38" s="481"/>
      <c r="BP38" s="481"/>
      <c r="BQ38" s="481"/>
      <c r="BR38" s="481"/>
      <c r="BS38" s="481"/>
      <c r="BT38" s="481"/>
      <c r="BU38" s="481"/>
      <c r="BV38" s="481"/>
      <c r="BW38" s="481"/>
      <c r="BX38" s="481"/>
      <c r="BY38" s="481"/>
      <c r="BZ38" s="481"/>
      <c r="CA38" s="481"/>
      <c r="CB38" s="481"/>
      <c r="CC38" s="481"/>
      <c r="CD38" s="481"/>
      <c r="CE38" s="481"/>
      <c r="CF38" s="481"/>
      <c r="CG38" s="481"/>
      <c r="CH38" s="481"/>
      <c r="CI38" s="481"/>
      <c r="CJ38" s="481"/>
      <c r="CK38" s="481"/>
      <c r="CL38" s="481"/>
      <c r="CM38" s="481"/>
      <c r="CN38" s="481"/>
      <c r="CO38" s="481"/>
      <c r="CP38" s="481"/>
      <c r="CQ38" s="481"/>
      <c r="CR38" s="481"/>
      <c r="CS38" s="481"/>
      <c r="CT38" s="481"/>
      <c r="CU38" s="481"/>
      <c r="CV38" s="481"/>
      <c r="CW38" s="481"/>
      <c r="CX38" s="481"/>
      <c r="CY38" s="481"/>
      <c r="CZ38" s="481"/>
      <c r="DA38" s="481"/>
      <c r="DB38" s="481"/>
      <c r="DC38" s="481"/>
    </row>
    <row r="39" spans="1:107" s="138" customFormat="1" ht="12.75">
      <c r="A39" s="487" t="s">
        <v>929</v>
      </c>
      <c r="B39" s="27">
        <v>845319</v>
      </c>
      <c r="C39" s="27">
        <v>175800</v>
      </c>
      <c r="D39" s="699">
        <f t="shared" si="0"/>
        <v>20.796882596984098</v>
      </c>
      <c r="E39" s="27"/>
      <c r="F39" s="27"/>
      <c r="G39" s="699" t="e">
        <f t="shared" si="3"/>
        <v>#DIV/0!</v>
      </c>
      <c r="H39" s="27"/>
      <c r="I39" s="27"/>
      <c r="J39" s="701"/>
      <c r="K39" s="487" t="s">
        <v>929</v>
      </c>
      <c r="L39" s="702">
        <v>845</v>
      </c>
      <c r="M39" s="27">
        <v>176</v>
      </c>
      <c r="N39" s="699">
        <v>20.828402366863905</v>
      </c>
      <c r="O39" s="27">
        <v>0</v>
      </c>
      <c r="P39" s="27">
        <v>0</v>
      </c>
      <c r="Q39" s="699"/>
      <c r="R39" s="27">
        <v>0</v>
      </c>
      <c r="S39" s="27">
        <v>0</v>
      </c>
      <c r="T39" s="699"/>
      <c r="U39" s="481"/>
      <c r="V39" s="481"/>
      <c r="W39" s="481"/>
      <c r="X39" s="481"/>
      <c r="Y39" s="481"/>
      <c r="Z39" s="481"/>
      <c r="AA39" s="481"/>
      <c r="AB39" s="481"/>
      <c r="AC39" s="481"/>
      <c r="AD39" s="481"/>
      <c r="AE39" s="481"/>
      <c r="AF39" s="481"/>
      <c r="AG39" s="481"/>
      <c r="AH39" s="481"/>
      <c r="AI39" s="481"/>
      <c r="AJ39" s="481"/>
      <c r="AK39" s="481"/>
      <c r="AL39" s="481"/>
      <c r="AM39" s="481"/>
      <c r="AN39" s="481"/>
      <c r="AO39" s="481"/>
      <c r="AP39" s="481"/>
      <c r="AQ39" s="481"/>
      <c r="AR39" s="481"/>
      <c r="AS39" s="481"/>
      <c r="AT39" s="481"/>
      <c r="AU39" s="481"/>
      <c r="AV39" s="481"/>
      <c r="AW39" s="481"/>
      <c r="AX39" s="481"/>
      <c r="AY39" s="481"/>
      <c r="AZ39" s="481"/>
      <c r="BA39" s="481"/>
      <c r="BB39" s="481"/>
      <c r="BC39" s="481"/>
      <c r="BD39" s="481"/>
      <c r="BE39" s="481"/>
      <c r="BF39" s="481"/>
      <c r="BG39" s="481"/>
      <c r="BH39" s="481"/>
      <c r="BI39" s="481"/>
      <c r="BJ39" s="481"/>
      <c r="BK39" s="481"/>
      <c r="BL39" s="481"/>
      <c r="BM39" s="481"/>
      <c r="BN39" s="481"/>
      <c r="BO39" s="481"/>
      <c r="BP39" s="481"/>
      <c r="BQ39" s="481"/>
      <c r="BR39" s="481"/>
      <c r="BS39" s="481"/>
      <c r="BT39" s="481"/>
      <c r="BU39" s="481"/>
      <c r="BV39" s="481"/>
      <c r="BW39" s="481"/>
      <c r="BX39" s="481"/>
      <c r="BY39" s="481"/>
      <c r="BZ39" s="481"/>
      <c r="CA39" s="481"/>
      <c r="CB39" s="481"/>
      <c r="CC39" s="481"/>
      <c r="CD39" s="481"/>
      <c r="CE39" s="481"/>
      <c r="CF39" s="481"/>
      <c r="CG39" s="481"/>
      <c r="CH39" s="481"/>
      <c r="CI39" s="481"/>
      <c r="CJ39" s="481"/>
      <c r="CK39" s="481"/>
      <c r="CL39" s="481"/>
      <c r="CM39" s="481"/>
      <c r="CN39" s="481"/>
      <c r="CO39" s="481"/>
      <c r="CP39" s="481"/>
      <c r="CQ39" s="481"/>
      <c r="CR39" s="481"/>
      <c r="CS39" s="481"/>
      <c r="CT39" s="481"/>
      <c r="CU39" s="481"/>
      <c r="CV39" s="481"/>
      <c r="CW39" s="481"/>
      <c r="CX39" s="481"/>
      <c r="CY39" s="481"/>
      <c r="CZ39" s="481"/>
      <c r="DA39" s="481"/>
      <c r="DB39" s="481"/>
      <c r="DC39" s="481"/>
    </row>
    <row r="40" spans="1:20" ht="12.75">
      <c r="A40" s="74" t="s">
        <v>254</v>
      </c>
      <c r="B40" s="485">
        <f>SUM(B41:B45)</f>
        <v>13991372</v>
      </c>
      <c r="C40" s="485">
        <f>SUM(C41:C45)</f>
        <v>761662</v>
      </c>
      <c r="D40" s="698">
        <f t="shared" si="0"/>
        <v>5.443797791953498</v>
      </c>
      <c r="E40" s="485">
        <f>SUM(E41:E45)</f>
        <v>11569875</v>
      </c>
      <c r="F40" s="485">
        <f>SUM(F41:F45)</f>
        <v>0</v>
      </c>
      <c r="G40" s="698">
        <f t="shared" si="3"/>
        <v>0</v>
      </c>
      <c r="H40" s="485">
        <f>SUM(H41:H45)</f>
        <v>71576564</v>
      </c>
      <c r="I40" s="485">
        <f>SUM(I41:I45)</f>
        <v>0</v>
      </c>
      <c r="J40" s="698">
        <f aca="true" t="shared" si="5" ref="J40:J49">I40/H40*100</f>
        <v>0</v>
      </c>
      <c r="K40" s="703" t="s">
        <v>254</v>
      </c>
      <c r="L40" s="485">
        <v>13991</v>
      </c>
      <c r="M40" s="485">
        <v>761</v>
      </c>
      <c r="N40" s="698">
        <v>5.439210921306555</v>
      </c>
      <c r="O40" s="485">
        <v>11571</v>
      </c>
      <c r="P40" s="485">
        <v>0</v>
      </c>
      <c r="Q40" s="698">
        <v>0</v>
      </c>
      <c r="R40" s="485">
        <v>71576</v>
      </c>
      <c r="S40" s="485">
        <v>0</v>
      </c>
      <c r="T40" s="698">
        <v>0</v>
      </c>
    </row>
    <row r="41" spans="1:107" s="482" customFormat="1" ht="12.75">
      <c r="A41" s="487" t="s">
        <v>320</v>
      </c>
      <c r="B41" s="27">
        <v>17200</v>
      </c>
      <c r="C41" s="27"/>
      <c r="D41" s="699">
        <f t="shared" si="0"/>
        <v>0</v>
      </c>
      <c r="E41" s="27">
        <v>7400</v>
      </c>
      <c r="F41" s="27"/>
      <c r="G41" s="699">
        <f t="shared" si="3"/>
        <v>0</v>
      </c>
      <c r="H41" s="27"/>
      <c r="I41" s="27"/>
      <c r="J41" s="699" t="e">
        <f t="shared" si="5"/>
        <v>#DIV/0!</v>
      </c>
      <c r="K41" s="487" t="s">
        <v>320</v>
      </c>
      <c r="L41" s="27">
        <v>17</v>
      </c>
      <c r="M41" s="27">
        <v>0</v>
      </c>
      <c r="N41" s="699">
        <v>0</v>
      </c>
      <c r="O41" s="27">
        <v>8</v>
      </c>
      <c r="P41" s="27">
        <v>0</v>
      </c>
      <c r="Q41" s="699">
        <v>0</v>
      </c>
      <c r="R41" s="27">
        <v>0</v>
      </c>
      <c r="S41" s="27">
        <v>0</v>
      </c>
      <c r="T41" s="699"/>
      <c r="U41" s="481"/>
      <c r="V41" s="481"/>
      <c r="W41" s="481"/>
      <c r="X41" s="481"/>
      <c r="Y41" s="481"/>
      <c r="Z41" s="481"/>
      <c r="AA41" s="481"/>
      <c r="AB41" s="481"/>
      <c r="AC41" s="481"/>
      <c r="AD41" s="481"/>
      <c r="AE41" s="481"/>
      <c r="AF41" s="481"/>
      <c r="AG41" s="481"/>
      <c r="AH41" s="481"/>
      <c r="AI41" s="481"/>
      <c r="AJ41" s="481"/>
      <c r="AK41" s="481"/>
      <c r="AL41" s="481"/>
      <c r="AM41" s="481"/>
      <c r="AN41" s="481"/>
      <c r="AO41" s="481"/>
      <c r="AP41" s="481"/>
      <c r="AQ41" s="481"/>
      <c r="AR41" s="481"/>
      <c r="AS41" s="481"/>
      <c r="AT41" s="481"/>
      <c r="AU41" s="481"/>
      <c r="AV41" s="481"/>
      <c r="AW41" s="481"/>
      <c r="AX41" s="481"/>
      <c r="AY41" s="481"/>
      <c r="AZ41" s="481"/>
      <c r="BA41" s="481"/>
      <c r="BB41" s="481"/>
      <c r="BC41" s="481"/>
      <c r="BD41" s="481"/>
      <c r="BE41" s="481"/>
      <c r="BF41" s="481"/>
      <c r="BG41" s="481"/>
      <c r="BH41" s="481"/>
      <c r="BI41" s="481"/>
      <c r="BJ41" s="481"/>
      <c r="BK41" s="481"/>
      <c r="BL41" s="481"/>
      <c r="BM41" s="481"/>
      <c r="BN41" s="481"/>
      <c r="BO41" s="481"/>
      <c r="BP41" s="481"/>
      <c r="BQ41" s="481"/>
      <c r="BR41" s="481"/>
      <c r="BS41" s="481"/>
      <c r="BT41" s="481"/>
      <c r="BU41" s="481"/>
      <c r="BV41" s="481"/>
      <c r="BW41" s="481"/>
      <c r="BX41" s="481"/>
      <c r="BY41" s="481"/>
      <c r="BZ41" s="481"/>
      <c r="CA41" s="481"/>
      <c r="CB41" s="481"/>
      <c r="CC41" s="481"/>
      <c r="CD41" s="481"/>
      <c r="CE41" s="481"/>
      <c r="CF41" s="481"/>
      <c r="CG41" s="481"/>
      <c r="CH41" s="481"/>
      <c r="CI41" s="481"/>
      <c r="CJ41" s="481"/>
      <c r="CK41" s="481"/>
      <c r="CL41" s="481"/>
      <c r="CM41" s="481"/>
      <c r="CN41" s="481"/>
      <c r="CO41" s="481"/>
      <c r="CP41" s="481"/>
      <c r="CQ41" s="481"/>
      <c r="CR41" s="481"/>
      <c r="CS41" s="481"/>
      <c r="CT41" s="481"/>
      <c r="CU41" s="481"/>
      <c r="CV41" s="481"/>
      <c r="CW41" s="481"/>
      <c r="CX41" s="481"/>
      <c r="CY41" s="481"/>
      <c r="CZ41" s="481"/>
      <c r="DA41" s="481"/>
      <c r="DB41" s="481"/>
      <c r="DC41" s="481"/>
    </row>
    <row r="42" spans="1:107" s="482" customFormat="1" ht="12.75">
      <c r="A42" s="487" t="s">
        <v>927</v>
      </c>
      <c r="B42" s="27">
        <v>26680</v>
      </c>
      <c r="C42" s="27"/>
      <c r="D42" s="699">
        <f t="shared" si="0"/>
        <v>0</v>
      </c>
      <c r="E42" s="27">
        <v>26680</v>
      </c>
      <c r="F42" s="27"/>
      <c r="G42" s="699">
        <f t="shared" si="3"/>
        <v>0</v>
      </c>
      <c r="H42" s="27"/>
      <c r="I42" s="27"/>
      <c r="J42" s="699" t="e">
        <f t="shared" si="5"/>
        <v>#DIV/0!</v>
      </c>
      <c r="K42" s="487" t="s">
        <v>927</v>
      </c>
      <c r="L42" s="27">
        <v>27</v>
      </c>
      <c r="M42" s="27">
        <v>0</v>
      </c>
      <c r="N42" s="699">
        <v>0</v>
      </c>
      <c r="O42" s="27">
        <v>27</v>
      </c>
      <c r="P42" s="27">
        <v>0</v>
      </c>
      <c r="Q42" s="699">
        <v>0</v>
      </c>
      <c r="R42" s="27">
        <v>0</v>
      </c>
      <c r="S42" s="27">
        <v>0</v>
      </c>
      <c r="T42" s="699"/>
      <c r="U42" s="481"/>
      <c r="V42" s="481"/>
      <c r="W42" s="481"/>
      <c r="X42" s="481"/>
      <c r="Y42" s="481"/>
      <c r="Z42" s="481"/>
      <c r="AA42" s="481"/>
      <c r="AB42" s="481"/>
      <c r="AC42" s="481"/>
      <c r="AD42" s="481"/>
      <c r="AE42" s="481"/>
      <c r="AF42" s="481"/>
      <c r="AG42" s="481"/>
      <c r="AH42" s="481"/>
      <c r="AI42" s="481"/>
      <c r="AJ42" s="481"/>
      <c r="AK42" s="481"/>
      <c r="AL42" s="481"/>
      <c r="AM42" s="481"/>
      <c r="AN42" s="481"/>
      <c r="AO42" s="481"/>
      <c r="AP42" s="481"/>
      <c r="AQ42" s="481"/>
      <c r="AR42" s="481"/>
      <c r="AS42" s="481"/>
      <c r="AT42" s="481"/>
      <c r="AU42" s="481"/>
      <c r="AV42" s="481"/>
      <c r="AW42" s="481"/>
      <c r="AX42" s="481"/>
      <c r="AY42" s="481"/>
      <c r="AZ42" s="481"/>
      <c r="BA42" s="481"/>
      <c r="BB42" s="481"/>
      <c r="BC42" s="481"/>
      <c r="BD42" s="481"/>
      <c r="BE42" s="481"/>
      <c r="BF42" s="481"/>
      <c r="BG42" s="481"/>
      <c r="BH42" s="481"/>
      <c r="BI42" s="481"/>
      <c r="BJ42" s="481"/>
      <c r="BK42" s="481"/>
      <c r="BL42" s="481"/>
      <c r="BM42" s="481"/>
      <c r="BN42" s="481"/>
      <c r="BO42" s="481"/>
      <c r="BP42" s="481"/>
      <c r="BQ42" s="481"/>
      <c r="BR42" s="481"/>
      <c r="BS42" s="481"/>
      <c r="BT42" s="481"/>
      <c r="BU42" s="481"/>
      <c r="BV42" s="481"/>
      <c r="BW42" s="481"/>
      <c r="BX42" s="481"/>
      <c r="BY42" s="481"/>
      <c r="BZ42" s="481"/>
      <c r="CA42" s="481"/>
      <c r="CB42" s="481"/>
      <c r="CC42" s="481"/>
      <c r="CD42" s="481"/>
      <c r="CE42" s="481"/>
      <c r="CF42" s="481"/>
      <c r="CG42" s="481"/>
      <c r="CH42" s="481"/>
      <c r="CI42" s="481"/>
      <c r="CJ42" s="481"/>
      <c r="CK42" s="481"/>
      <c r="CL42" s="481"/>
      <c r="CM42" s="481"/>
      <c r="CN42" s="481"/>
      <c r="CO42" s="481"/>
      <c r="CP42" s="481"/>
      <c r="CQ42" s="481"/>
      <c r="CR42" s="481"/>
      <c r="CS42" s="481"/>
      <c r="CT42" s="481"/>
      <c r="CU42" s="481"/>
      <c r="CV42" s="481"/>
      <c r="CW42" s="481"/>
      <c r="CX42" s="481"/>
      <c r="CY42" s="481"/>
      <c r="CZ42" s="481"/>
      <c r="DA42" s="481"/>
      <c r="DB42" s="481"/>
      <c r="DC42" s="481"/>
    </row>
    <row r="43" spans="1:107" s="482" customFormat="1" ht="12.75">
      <c r="A43" s="487" t="s">
        <v>549</v>
      </c>
      <c r="B43" s="27">
        <v>10849457</v>
      </c>
      <c r="C43" s="27">
        <v>761662</v>
      </c>
      <c r="D43" s="699">
        <f t="shared" si="0"/>
        <v>7.020277604676436</v>
      </c>
      <c r="E43" s="27">
        <v>9882457</v>
      </c>
      <c r="F43" s="27"/>
      <c r="G43" s="699">
        <f t="shared" si="3"/>
        <v>0</v>
      </c>
      <c r="H43" s="27">
        <v>67534464</v>
      </c>
      <c r="I43" s="27"/>
      <c r="J43" s="699">
        <f t="shared" si="5"/>
        <v>0</v>
      </c>
      <c r="K43" s="487" t="s">
        <v>549</v>
      </c>
      <c r="L43" s="27">
        <v>10849</v>
      </c>
      <c r="M43" s="27">
        <v>761</v>
      </c>
      <c r="N43" s="699">
        <v>7.0144713798506775</v>
      </c>
      <c r="O43" s="27">
        <v>9882</v>
      </c>
      <c r="P43" s="27">
        <v>0</v>
      </c>
      <c r="Q43" s="699">
        <v>0</v>
      </c>
      <c r="R43" s="27">
        <v>67534</v>
      </c>
      <c r="S43" s="27">
        <v>0</v>
      </c>
      <c r="T43" s="699">
        <v>0</v>
      </c>
      <c r="U43" s="481"/>
      <c r="V43" s="481"/>
      <c r="W43" s="481"/>
      <c r="X43" s="481"/>
      <c r="Y43" s="481"/>
      <c r="Z43" s="481"/>
      <c r="AA43" s="481"/>
      <c r="AB43" s="481"/>
      <c r="AC43" s="481"/>
      <c r="AD43" s="481"/>
      <c r="AE43" s="481"/>
      <c r="AF43" s="481"/>
      <c r="AG43" s="481"/>
      <c r="AH43" s="481"/>
      <c r="AI43" s="481"/>
      <c r="AJ43" s="481"/>
      <c r="AK43" s="481"/>
      <c r="AL43" s="481"/>
      <c r="AM43" s="481"/>
      <c r="AN43" s="481"/>
      <c r="AO43" s="481"/>
      <c r="AP43" s="481"/>
      <c r="AQ43" s="481"/>
      <c r="AR43" s="481"/>
      <c r="AS43" s="481"/>
      <c r="AT43" s="481"/>
      <c r="AU43" s="481"/>
      <c r="AV43" s="481"/>
      <c r="AW43" s="481"/>
      <c r="AX43" s="481"/>
      <c r="AY43" s="481"/>
      <c r="AZ43" s="481"/>
      <c r="BA43" s="481"/>
      <c r="BB43" s="481"/>
      <c r="BC43" s="481"/>
      <c r="BD43" s="481"/>
      <c r="BE43" s="481"/>
      <c r="BF43" s="481"/>
      <c r="BG43" s="481"/>
      <c r="BH43" s="481"/>
      <c r="BI43" s="481"/>
      <c r="BJ43" s="481"/>
      <c r="BK43" s="481"/>
      <c r="BL43" s="481"/>
      <c r="BM43" s="481"/>
      <c r="BN43" s="481"/>
      <c r="BO43" s="481"/>
      <c r="BP43" s="481"/>
      <c r="BQ43" s="481"/>
      <c r="BR43" s="481"/>
      <c r="BS43" s="481"/>
      <c r="BT43" s="481"/>
      <c r="BU43" s="481"/>
      <c r="BV43" s="481"/>
      <c r="BW43" s="481"/>
      <c r="BX43" s="481"/>
      <c r="BY43" s="481"/>
      <c r="BZ43" s="481"/>
      <c r="CA43" s="481"/>
      <c r="CB43" s="481"/>
      <c r="CC43" s="481"/>
      <c r="CD43" s="481"/>
      <c r="CE43" s="481"/>
      <c r="CF43" s="481"/>
      <c r="CG43" s="481"/>
      <c r="CH43" s="481"/>
      <c r="CI43" s="481"/>
      <c r="CJ43" s="481"/>
      <c r="CK43" s="481"/>
      <c r="CL43" s="481"/>
      <c r="CM43" s="481"/>
      <c r="CN43" s="481"/>
      <c r="CO43" s="481"/>
      <c r="CP43" s="481"/>
      <c r="CQ43" s="481"/>
      <c r="CR43" s="481"/>
      <c r="CS43" s="481"/>
      <c r="CT43" s="481"/>
      <c r="CU43" s="481"/>
      <c r="CV43" s="481"/>
      <c r="CW43" s="481"/>
      <c r="CX43" s="481"/>
      <c r="CY43" s="481"/>
      <c r="CZ43" s="481"/>
      <c r="DA43" s="481"/>
      <c r="DB43" s="481"/>
      <c r="DC43" s="481"/>
    </row>
    <row r="44" spans="1:107" s="482" customFormat="1" ht="12.75">
      <c r="A44" s="487" t="s">
        <v>928</v>
      </c>
      <c r="B44" s="27">
        <v>249235</v>
      </c>
      <c r="C44" s="27"/>
      <c r="D44" s="699">
        <f aca="true" t="shared" si="6" ref="D44:D75">C44/B44*100</f>
        <v>0</v>
      </c>
      <c r="E44" s="27">
        <v>145838</v>
      </c>
      <c r="F44" s="27"/>
      <c r="G44" s="699">
        <f t="shared" si="3"/>
        <v>0</v>
      </c>
      <c r="H44" s="27"/>
      <c r="I44" s="27"/>
      <c r="J44" s="699" t="e">
        <f t="shared" si="5"/>
        <v>#DIV/0!</v>
      </c>
      <c r="K44" s="487" t="s">
        <v>928</v>
      </c>
      <c r="L44" s="27">
        <v>249</v>
      </c>
      <c r="M44" s="27">
        <v>0</v>
      </c>
      <c r="N44" s="699">
        <v>0</v>
      </c>
      <c r="O44" s="27">
        <v>146</v>
      </c>
      <c r="P44" s="27">
        <v>0</v>
      </c>
      <c r="Q44" s="699">
        <v>0</v>
      </c>
      <c r="R44" s="27">
        <v>0</v>
      </c>
      <c r="S44" s="27">
        <v>0</v>
      </c>
      <c r="T44" s="699"/>
      <c r="U44" s="481"/>
      <c r="V44" s="481"/>
      <c r="W44" s="481"/>
      <c r="X44" s="481"/>
      <c r="Y44" s="481"/>
      <c r="Z44" s="481"/>
      <c r="AA44" s="481"/>
      <c r="AB44" s="481"/>
      <c r="AC44" s="481"/>
      <c r="AD44" s="481"/>
      <c r="AE44" s="481"/>
      <c r="AF44" s="481"/>
      <c r="AG44" s="481"/>
      <c r="AH44" s="481"/>
      <c r="AI44" s="481"/>
      <c r="AJ44" s="481"/>
      <c r="AK44" s="481"/>
      <c r="AL44" s="481"/>
      <c r="AM44" s="481"/>
      <c r="AN44" s="481"/>
      <c r="AO44" s="481"/>
      <c r="AP44" s="481"/>
      <c r="AQ44" s="481"/>
      <c r="AR44" s="481"/>
      <c r="AS44" s="481"/>
      <c r="AT44" s="481"/>
      <c r="AU44" s="481"/>
      <c r="AV44" s="481"/>
      <c r="AW44" s="481"/>
      <c r="AX44" s="481"/>
      <c r="AY44" s="481"/>
      <c r="AZ44" s="481"/>
      <c r="BA44" s="481"/>
      <c r="BB44" s="481"/>
      <c r="BC44" s="481"/>
      <c r="BD44" s="481"/>
      <c r="BE44" s="481"/>
      <c r="BF44" s="481"/>
      <c r="BG44" s="481"/>
      <c r="BH44" s="481"/>
      <c r="BI44" s="481"/>
      <c r="BJ44" s="481"/>
      <c r="BK44" s="481"/>
      <c r="BL44" s="481"/>
      <c r="BM44" s="481"/>
      <c r="BN44" s="481"/>
      <c r="BO44" s="481"/>
      <c r="BP44" s="481"/>
      <c r="BQ44" s="481"/>
      <c r="BR44" s="481"/>
      <c r="BS44" s="481"/>
      <c r="BT44" s="481"/>
      <c r="BU44" s="481"/>
      <c r="BV44" s="481"/>
      <c r="BW44" s="481"/>
      <c r="BX44" s="481"/>
      <c r="BY44" s="481"/>
      <c r="BZ44" s="481"/>
      <c r="CA44" s="481"/>
      <c r="CB44" s="481"/>
      <c r="CC44" s="481"/>
      <c r="CD44" s="481"/>
      <c r="CE44" s="481"/>
      <c r="CF44" s="481"/>
      <c r="CG44" s="481"/>
      <c r="CH44" s="481"/>
      <c r="CI44" s="481"/>
      <c r="CJ44" s="481"/>
      <c r="CK44" s="481"/>
      <c r="CL44" s="481"/>
      <c r="CM44" s="481"/>
      <c r="CN44" s="481"/>
      <c r="CO44" s="481"/>
      <c r="CP44" s="481"/>
      <c r="CQ44" s="481"/>
      <c r="CR44" s="481"/>
      <c r="CS44" s="481"/>
      <c r="CT44" s="481"/>
      <c r="CU44" s="481"/>
      <c r="CV44" s="481"/>
      <c r="CW44" s="481"/>
      <c r="CX44" s="481"/>
      <c r="CY44" s="481"/>
      <c r="CZ44" s="481"/>
      <c r="DA44" s="481"/>
      <c r="DB44" s="481"/>
      <c r="DC44" s="481"/>
    </row>
    <row r="45" spans="1:107" s="482" customFormat="1" ht="12.75">
      <c r="A45" s="487" t="s">
        <v>929</v>
      </c>
      <c r="B45" s="27">
        <v>2848800</v>
      </c>
      <c r="C45" s="27"/>
      <c r="D45" s="699">
        <f t="shared" si="6"/>
        <v>0</v>
      </c>
      <c r="E45" s="27">
        <v>1507500</v>
      </c>
      <c r="F45" s="27"/>
      <c r="G45" s="699">
        <f t="shared" si="3"/>
        <v>0</v>
      </c>
      <c r="H45" s="27">
        <v>4042100</v>
      </c>
      <c r="I45" s="27"/>
      <c r="J45" s="699">
        <f t="shared" si="5"/>
        <v>0</v>
      </c>
      <c r="K45" s="487" t="s">
        <v>929</v>
      </c>
      <c r="L45" s="27">
        <v>2849</v>
      </c>
      <c r="M45" s="27">
        <v>0</v>
      </c>
      <c r="N45" s="699">
        <v>0</v>
      </c>
      <c r="O45" s="27">
        <v>1508</v>
      </c>
      <c r="P45" s="27">
        <v>0</v>
      </c>
      <c r="Q45" s="699">
        <v>0</v>
      </c>
      <c r="R45" s="27">
        <v>4042</v>
      </c>
      <c r="S45" s="27">
        <v>0</v>
      </c>
      <c r="T45" s="699">
        <v>0</v>
      </c>
      <c r="U45" s="481"/>
      <c r="V45" s="481"/>
      <c r="W45" s="481"/>
      <c r="X45" s="481"/>
      <c r="Y45" s="481"/>
      <c r="Z45" s="481"/>
      <c r="AA45" s="481"/>
      <c r="AB45" s="481"/>
      <c r="AC45" s="481"/>
      <c r="AD45" s="481"/>
      <c r="AE45" s="481"/>
      <c r="AF45" s="481"/>
      <c r="AG45" s="481"/>
      <c r="AH45" s="481"/>
      <c r="AI45" s="481"/>
      <c r="AJ45" s="481"/>
      <c r="AK45" s="481"/>
      <c r="AL45" s="481"/>
      <c r="AM45" s="481"/>
      <c r="AN45" s="481"/>
      <c r="AO45" s="481"/>
      <c r="AP45" s="481"/>
      <c r="AQ45" s="481"/>
      <c r="AR45" s="481"/>
      <c r="AS45" s="481"/>
      <c r="AT45" s="481"/>
      <c r="AU45" s="481"/>
      <c r="AV45" s="481"/>
      <c r="AW45" s="481"/>
      <c r="AX45" s="481"/>
      <c r="AY45" s="481"/>
      <c r="AZ45" s="481"/>
      <c r="BA45" s="481"/>
      <c r="BB45" s="481"/>
      <c r="BC45" s="481"/>
      <c r="BD45" s="481"/>
      <c r="BE45" s="481"/>
      <c r="BF45" s="481"/>
      <c r="BG45" s="481"/>
      <c r="BH45" s="481"/>
      <c r="BI45" s="481"/>
      <c r="BJ45" s="481"/>
      <c r="BK45" s="481"/>
      <c r="BL45" s="481"/>
      <c r="BM45" s="481"/>
      <c r="BN45" s="481"/>
      <c r="BO45" s="481"/>
      <c r="BP45" s="481"/>
      <c r="BQ45" s="481"/>
      <c r="BR45" s="481"/>
      <c r="BS45" s="481"/>
      <c r="BT45" s="481"/>
      <c r="BU45" s="481"/>
      <c r="BV45" s="481"/>
      <c r="BW45" s="481"/>
      <c r="BX45" s="481"/>
      <c r="BY45" s="481"/>
      <c r="BZ45" s="481"/>
      <c r="CA45" s="481"/>
      <c r="CB45" s="481"/>
      <c r="CC45" s="481"/>
      <c r="CD45" s="481"/>
      <c r="CE45" s="481"/>
      <c r="CF45" s="481"/>
      <c r="CG45" s="481"/>
      <c r="CH45" s="481"/>
      <c r="CI45" s="481"/>
      <c r="CJ45" s="481"/>
      <c r="CK45" s="481"/>
      <c r="CL45" s="481"/>
      <c r="CM45" s="481"/>
      <c r="CN45" s="481"/>
      <c r="CO45" s="481"/>
      <c r="CP45" s="481"/>
      <c r="CQ45" s="481"/>
      <c r="CR45" s="481"/>
      <c r="CS45" s="481"/>
      <c r="CT45" s="481"/>
      <c r="CU45" s="481"/>
      <c r="CV45" s="481"/>
      <c r="CW45" s="481"/>
      <c r="CX45" s="481"/>
      <c r="CY45" s="481"/>
      <c r="CZ45" s="481"/>
      <c r="DA45" s="481"/>
      <c r="DB45" s="481"/>
      <c r="DC45" s="481"/>
    </row>
    <row r="46" spans="1:20" ht="12.75">
      <c r="A46" s="74" t="s">
        <v>256</v>
      </c>
      <c r="B46" s="485">
        <f>SUM(B47:B50)</f>
        <v>9583378</v>
      </c>
      <c r="C46" s="485">
        <f>SUM(C47:C50)</f>
        <v>0</v>
      </c>
      <c r="D46" s="698">
        <f t="shared" si="6"/>
        <v>0</v>
      </c>
      <c r="E46" s="485">
        <f>SUM(E47:E50)</f>
        <v>6944857</v>
      </c>
      <c r="F46" s="485">
        <f>SUM(F47:F50)</f>
        <v>0</v>
      </c>
      <c r="G46" s="698">
        <f t="shared" si="3"/>
        <v>0</v>
      </c>
      <c r="H46" s="485">
        <f>SUM(H47:H50)</f>
        <v>22381290</v>
      </c>
      <c r="I46" s="485">
        <f>SUM(I47:I50)</f>
        <v>0</v>
      </c>
      <c r="J46" s="698">
        <f t="shared" si="5"/>
        <v>0</v>
      </c>
      <c r="K46" s="74" t="s">
        <v>256</v>
      </c>
      <c r="L46" s="485">
        <v>9583</v>
      </c>
      <c r="M46" s="485">
        <v>0</v>
      </c>
      <c r="N46" s="698">
        <v>0</v>
      </c>
      <c r="O46" s="485">
        <v>6944</v>
      </c>
      <c r="P46" s="485">
        <v>0</v>
      </c>
      <c r="Q46" s="698">
        <v>0</v>
      </c>
      <c r="R46" s="485">
        <v>22381</v>
      </c>
      <c r="S46" s="485">
        <v>0</v>
      </c>
      <c r="T46" s="698">
        <v>0</v>
      </c>
    </row>
    <row r="47" spans="1:107" s="482" customFormat="1" ht="12.75">
      <c r="A47" s="487" t="s">
        <v>927</v>
      </c>
      <c r="B47" s="27">
        <v>2873860</v>
      </c>
      <c r="C47" s="27"/>
      <c r="D47" s="699">
        <f t="shared" si="6"/>
        <v>0</v>
      </c>
      <c r="E47" s="27">
        <v>1813595</v>
      </c>
      <c r="F47" s="27"/>
      <c r="G47" s="699">
        <f t="shared" si="3"/>
        <v>0</v>
      </c>
      <c r="H47" s="27">
        <v>5623290</v>
      </c>
      <c r="I47" s="27"/>
      <c r="J47" s="699">
        <f t="shared" si="5"/>
        <v>0</v>
      </c>
      <c r="K47" s="487" t="s">
        <v>927</v>
      </c>
      <c r="L47" s="27">
        <v>2874</v>
      </c>
      <c r="M47" s="27">
        <v>0</v>
      </c>
      <c r="N47" s="699">
        <v>0</v>
      </c>
      <c r="O47" s="27">
        <v>1813</v>
      </c>
      <c r="P47" s="27">
        <v>0</v>
      </c>
      <c r="Q47" s="699">
        <v>0</v>
      </c>
      <c r="R47" s="27">
        <v>5623</v>
      </c>
      <c r="S47" s="27">
        <v>0</v>
      </c>
      <c r="T47" s="699">
        <v>0</v>
      </c>
      <c r="U47" s="481"/>
      <c r="V47" s="481"/>
      <c r="W47" s="481"/>
      <c r="X47" s="481"/>
      <c r="Y47" s="481"/>
      <c r="Z47" s="481"/>
      <c r="AA47" s="481"/>
      <c r="AB47" s="481"/>
      <c r="AC47" s="481"/>
      <c r="AD47" s="481"/>
      <c r="AE47" s="481"/>
      <c r="AF47" s="481"/>
      <c r="AG47" s="481"/>
      <c r="AH47" s="481"/>
      <c r="AI47" s="481"/>
      <c r="AJ47" s="481"/>
      <c r="AK47" s="481"/>
      <c r="AL47" s="481"/>
      <c r="AM47" s="481"/>
      <c r="AN47" s="481"/>
      <c r="AO47" s="481"/>
      <c r="AP47" s="481"/>
      <c r="AQ47" s="481"/>
      <c r="AR47" s="481"/>
      <c r="AS47" s="481"/>
      <c r="AT47" s="481"/>
      <c r="AU47" s="481"/>
      <c r="AV47" s="481"/>
      <c r="AW47" s="481"/>
      <c r="AX47" s="481"/>
      <c r="AY47" s="481"/>
      <c r="AZ47" s="481"/>
      <c r="BA47" s="481"/>
      <c r="BB47" s="481"/>
      <c r="BC47" s="481"/>
      <c r="BD47" s="481"/>
      <c r="BE47" s="481"/>
      <c r="BF47" s="481"/>
      <c r="BG47" s="481"/>
      <c r="BH47" s="481"/>
      <c r="BI47" s="481"/>
      <c r="BJ47" s="481"/>
      <c r="BK47" s="481"/>
      <c r="BL47" s="481"/>
      <c r="BM47" s="481"/>
      <c r="BN47" s="481"/>
      <c r="BO47" s="481"/>
      <c r="BP47" s="481"/>
      <c r="BQ47" s="481"/>
      <c r="BR47" s="481"/>
      <c r="BS47" s="481"/>
      <c r="BT47" s="481"/>
      <c r="BU47" s="481"/>
      <c r="BV47" s="481"/>
      <c r="BW47" s="481"/>
      <c r="BX47" s="481"/>
      <c r="BY47" s="481"/>
      <c r="BZ47" s="481"/>
      <c r="CA47" s="481"/>
      <c r="CB47" s="481"/>
      <c r="CC47" s="481"/>
      <c r="CD47" s="481"/>
      <c r="CE47" s="481"/>
      <c r="CF47" s="481"/>
      <c r="CG47" s="481"/>
      <c r="CH47" s="481"/>
      <c r="CI47" s="481"/>
      <c r="CJ47" s="481"/>
      <c r="CK47" s="481"/>
      <c r="CL47" s="481"/>
      <c r="CM47" s="481"/>
      <c r="CN47" s="481"/>
      <c r="CO47" s="481"/>
      <c r="CP47" s="481"/>
      <c r="CQ47" s="481"/>
      <c r="CR47" s="481"/>
      <c r="CS47" s="481"/>
      <c r="CT47" s="481"/>
      <c r="CU47" s="481"/>
      <c r="CV47" s="481"/>
      <c r="CW47" s="481"/>
      <c r="CX47" s="481"/>
      <c r="CY47" s="481"/>
      <c r="CZ47" s="481"/>
      <c r="DA47" s="481"/>
      <c r="DB47" s="481"/>
      <c r="DC47" s="481"/>
    </row>
    <row r="48" spans="1:107" s="482" customFormat="1" ht="12.75">
      <c r="A48" s="487" t="s">
        <v>549</v>
      </c>
      <c r="B48" s="27">
        <v>6674000</v>
      </c>
      <c r="C48" s="27"/>
      <c r="D48" s="699">
        <f t="shared" si="6"/>
        <v>0</v>
      </c>
      <c r="E48" s="27">
        <v>5130000</v>
      </c>
      <c r="F48" s="27"/>
      <c r="G48" s="699">
        <f t="shared" si="3"/>
        <v>0</v>
      </c>
      <c r="H48" s="27">
        <v>16758000</v>
      </c>
      <c r="I48" s="27"/>
      <c r="J48" s="699">
        <f t="shared" si="5"/>
        <v>0</v>
      </c>
      <c r="K48" s="487" t="s">
        <v>549</v>
      </c>
      <c r="L48" s="27">
        <v>6674</v>
      </c>
      <c r="M48" s="27">
        <v>0</v>
      </c>
      <c r="N48" s="699">
        <v>0</v>
      </c>
      <c r="O48" s="27">
        <v>5130</v>
      </c>
      <c r="P48" s="27">
        <v>0</v>
      </c>
      <c r="Q48" s="699">
        <v>0</v>
      </c>
      <c r="R48" s="27">
        <v>16758</v>
      </c>
      <c r="S48" s="27">
        <v>0</v>
      </c>
      <c r="T48" s="699">
        <v>0</v>
      </c>
      <c r="U48" s="481"/>
      <c r="V48" s="481"/>
      <c r="W48" s="481"/>
      <c r="X48" s="481"/>
      <c r="Y48" s="481"/>
      <c r="Z48" s="481"/>
      <c r="AA48" s="481"/>
      <c r="AB48" s="481"/>
      <c r="AC48" s="481"/>
      <c r="AD48" s="481"/>
      <c r="AE48" s="481"/>
      <c r="AF48" s="481"/>
      <c r="AG48" s="481"/>
      <c r="AH48" s="481"/>
      <c r="AI48" s="481"/>
      <c r="AJ48" s="481"/>
      <c r="AK48" s="481"/>
      <c r="AL48" s="481"/>
      <c r="AM48" s="481"/>
      <c r="AN48" s="481"/>
      <c r="AO48" s="481"/>
      <c r="AP48" s="481"/>
      <c r="AQ48" s="481"/>
      <c r="AR48" s="481"/>
      <c r="AS48" s="481"/>
      <c r="AT48" s="481"/>
      <c r="AU48" s="481"/>
      <c r="AV48" s="481"/>
      <c r="AW48" s="481"/>
      <c r="AX48" s="481"/>
      <c r="AY48" s="481"/>
      <c r="AZ48" s="481"/>
      <c r="BA48" s="481"/>
      <c r="BB48" s="481"/>
      <c r="BC48" s="481"/>
      <c r="BD48" s="481"/>
      <c r="BE48" s="481"/>
      <c r="BF48" s="481"/>
      <c r="BG48" s="481"/>
      <c r="BH48" s="481"/>
      <c r="BI48" s="481"/>
      <c r="BJ48" s="481"/>
      <c r="BK48" s="481"/>
      <c r="BL48" s="481"/>
      <c r="BM48" s="481"/>
      <c r="BN48" s="481"/>
      <c r="BO48" s="481"/>
      <c r="BP48" s="481"/>
      <c r="BQ48" s="481"/>
      <c r="BR48" s="481"/>
      <c r="BS48" s="481"/>
      <c r="BT48" s="481"/>
      <c r="BU48" s="481"/>
      <c r="BV48" s="481"/>
      <c r="BW48" s="481"/>
      <c r="BX48" s="481"/>
      <c r="BY48" s="481"/>
      <c r="BZ48" s="481"/>
      <c r="CA48" s="481"/>
      <c r="CB48" s="481"/>
      <c r="CC48" s="481"/>
      <c r="CD48" s="481"/>
      <c r="CE48" s="481"/>
      <c r="CF48" s="481"/>
      <c r="CG48" s="481"/>
      <c r="CH48" s="481"/>
      <c r="CI48" s="481"/>
      <c r="CJ48" s="481"/>
      <c r="CK48" s="481"/>
      <c r="CL48" s="481"/>
      <c r="CM48" s="481"/>
      <c r="CN48" s="481"/>
      <c r="CO48" s="481"/>
      <c r="CP48" s="481"/>
      <c r="CQ48" s="481"/>
      <c r="CR48" s="481"/>
      <c r="CS48" s="481"/>
      <c r="CT48" s="481"/>
      <c r="CU48" s="481"/>
      <c r="CV48" s="481"/>
      <c r="CW48" s="481"/>
      <c r="CX48" s="481"/>
      <c r="CY48" s="481"/>
      <c r="CZ48" s="481"/>
      <c r="DA48" s="481"/>
      <c r="DB48" s="481"/>
      <c r="DC48" s="481"/>
    </row>
    <row r="49" spans="1:107" s="482" customFormat="1" ht="12.75">
      <c r="A49" s="487" t="s">
        <v>928</v>
      </c>
      <c r="B49" s="27">
        <v>18269</v>
      </c>
      <c r="C49" s="27"/>
      <c r="D49" s="699">
        <f t="shared" si="6"/>
        <v>0</v>
      </c>
      <c r="E49" s="27">
        <v>1262</v>
      </c>
      <c r="F49" s="27"/>
      <c r="G49" s="699">
        <f t="shared" si="3"/>
        <v>0</v>
      </c>
      <c r="H49" s="27"/>
      <c r="I49" s="27"/>
      <c r="J49" s="699" t="e">
        <f t="shared" si="5"/>
        <v>#DIV/0!</v>
      </c>
      <c r="K49" s="487" t="s">
        <v>928</v>
      </c>
      <c r="L49" s="27">
        <v>18</v>
      </c>
      <c r="M49" s="27">
        <v>0</v>
      </c>
      <c r="N49" s="699">
        <v>0</v>
      </c>
      <c r="O49" s="27">
        <v>1</v>
      </c>
      <c r="P49" s="27">
        <v>0</v>
      </c>
      <c r="Q49" s="699">
        <v>0</v>
      </c>
      <c r="R49" s="27">
        <v>0</v>
      </c>
      <c r="S49" s="27">
        <v>0</v>
      </c>
      <c r="T49" s="699"/>
      <c r="U49" s="481"/>
      <c r="V49" s="481"/>
      <c r="W49" s="481"/>
      <c r="X49" s="481"/>
      <c r="Y49" s="481"/>
      <c r="Z49" s="481"/>
      <c r="AA49" s="481"/>
      <c r="AB49" s="481"/>
      <c r="AC49" s="481"/>
      <c r="AD49" s="481"/>
      <c r="AE49" s="481"/>
      <c r="AF49" s="481"/>
      <c r="AG49" s="481"/>
      <c r="AH49" s="481"/>
      <c r="AI49" s="481"/>
      <c r="AJ49" s="481"/>
      <c r="AK49" s="481"/>
      <c r="AL49" s="481"/>
      <c r="AM49" s="481"/>
      <c r="AN49" s="481"/>
      <c r="AO49" s="481"/>
      <c r="AP49" s="481"/>
      <c r="AQ49" s="481"/>
      <c r="AR49" s="481"/>
      <c r="AS49" s="481"/>
      <c r="AT49" s="481"/>
      <c r="AU49" s="481"/>
      <c r="AV49" s="481"/>
      <c r="AW49" s="481"/>
      <c r="AX49" s="481"/>
      <c r="AY49" s="481"/>
      <c r="AZ49" s="481"/>
      <c r="BA49" s="481"/>
      <c r="BB49" s="481"/>
      <c r="BC49" s="481"/>
      <c r="BD49" s="481"/>
      <c r="BE49" s="481"/>
      <c r="BF49" s="481"/>
      <c r="BG49" s="481"/>
      <c r="BH49" s="481"/>
      <c r="BI49" s="481"/>
      <c r="BJ49" s="481"/>
      <c r="BK49" s="481"/>
      <c r="BL49" s="481"/>
      <c r="BM49" s="481"/>
      <c r="BN49" s="481"/>
      <c r="BO49" s="481"/>
      <c r="BP49" s="481"/>
      <c r="BQ49" s="481"/>
      <c r="BR49" s="481"/>
      <c r="BS49" s="481"/>
      <c r="BT49" s="481"/>
      <c r="BU49" s="481"/>
      <c r="BV49" s="481"/>
      <c r="BW49" s="481"/>
      <c r="BX49" s="481"/>
      <c r="BY49" s="481"/>
      <c r="BZ49" s="481"/>
      <c r="CA49" s="481"/>
      <c r="CB49" s="481"/>
      <c r="CC49" s="481"/>
      <c r="CD49" s="481"/>
      <c r="CE49" s="481"/>
      <c r="CF49" s="481"/>
      <c r="CG49" s="481"/>
      <c r="CH49" s="481"/>
      <c r="CI49" s="481"/>
      <c r="CJ49" s="481"/>
      <c r="CK49" s="481"/>
      <c r="CL49" s="481"/>
      <c r="CM49" s="481"/>
      <c r="CN49" s="481"/>
      <c r="CO49" s="481"/>
      <c r="CP49" s="481"/>
      <c r="CQ49" s="481"/>
      <c r="CR49" s="481"/>
      <c r="CS49" s="481"/>
      <c r="CT49" s="481"/>
      <c r="CU49" s="481"/>
      <c r="CV49" s="481"/>
      <c r="CW49" s="481"/>
      <c r="CX49" s="481"/>
      <c r="CY49" s="481"/>
      <c r="CZ49" s="481"/>
      <c r="DA49" s="481"/>
      <c r="DB49" s="481"/>
      <c r="DC49" s="481"/>
    </row>
    <row r="50" spans="1:107" s="482" customFormat="1" ht="12.75">
      <c r="A50" s="487" t="s">
        <v>929</v>
      </c>
      <c r="B50" s="27">
        <v>17249</v>
      </c>
      <c r="C50" s="27"/>
      <c r="D50" s="699">
        <f t="shared" si="6"/>
        <v>0</v>
      </c>
      <c r="E50" s="27"/>
      <c r="F50" s="27"/>
      <c r="G50" s="699" t="e">
        <f t="shared" si="3"/>
        <v>#DIV/0!</v>
      </c>
      <c r="H50" s="27"/>
      <c r="I50" s="27"/>
      <c r="J50" s="699"/>
      <c r="K50" s="487" t="s">
        <v>929</v>
      </c>
      <c r="L50" s="27">
        <v>17</v>
      </c>
      <c r="M50" s="27">
        <v>0</v>
      </c>
      <c r="N50" s="699">
        <v>0</v>
      </c>
      <c r="O50" s="27">
        <v>0</v>
      </c>
      <c r="P50" s="27">
        <v>0</v>
      </c>
      <c r="Q50" s="699"/>
      <c r="R50" s="27">
        <v>0</v>
      </c>
      <c r="S50" s="27">
        <v>0</v>
      </c>
      <c r="T50" s="699"/>
      <c r="U50" s="481"/>
      <c r="V50" s="481"/>
      <c r="W50" s="481"/>
      <c r="X50" s="481"/>
      <c r="Y50" s="481"/>
      <c r="Z50" s="481"/>
      <c r="AA50" s="481"/>
      <c r="AB50" s="481"/>
      <c r="AC50" s="481"/>
      <c r="AD50" s="481"/>
      <c r="AE50" s="481"/>
      <c r="AF50" s="481"/>
      <c r="AG50" s="481"/>
      <c r="AH50" s="481"/>
      <c r="AI50" s="481"/>
      <c r="AJ50" s="481"/>
      <c r="AK50" s="481"/>
      <c r="AL50" s="481"/>
      <c r="AM50" s="481"/>
      <c r="AN50" s="481"/>
      <c r="AO50" s="481"/>
      <c r="AP50" s="481"/>
      <c r="AQ50" s="481"/>
      <c r="AR50" s="481"/>
      <c r="AS50" s="481"/>
      <c r="AT50" s="481"/>
      <c r="AU50" s="481"/>
      <c r="AV50" s="481"/>
      <c r="AW50" s="481"/>
      <c r="AX50" s="481"/>
      <c r="AY50" s="481"/>
      <c r="AZ50" s="481"/>
      <c r="BA50" s="481"/>
      <c r="BB50" s="481"/>
      <c r="BC50" s="481"/>
      <c r="BD50" s="481"/>
      <c r="BE50" s="481"/>
      <c r="BF50" s="481"/>
      <c r="BG50" s="481"/>
      <c r="BH50" s="481"/>
      <c r="BI50" s="481"/>
      <c r="BJ50" s="481"/>
      <c r="BK50" s="481"/>
      <c r="BL50" s="481"/>
      <c r="BM50" s="481"/>
      <c r="BN50" s="481"/>
      <c r="BO50" s="481"/>
      <c r="BP50" s="481"/>
      <c r="BQ50" s="481"/>
      <c r="BR50" s="481"/>
      <c r="BS50" s="481"/>
      <c r="BT50" s="481"/>
      <c r="BU50" s="481"/>
      <c r="BV50" s="481"/>
      <c r="BW50" s="481"/>
      <c r="BX50" s="481"/>
      <c r="BY50" s="481"/>
      <c r="BZ50" s="481"/>
      <c r="CA50" s="481"/>
      <c r="CB50" s="481"/>
      <c r="CC50" s="481"/>
      <c r="CD50" s="481"/>
      <c r="CE50" s="481"/>
      <c r="CF50" s="481"/>
      <c r="CG50" s="481"/>
      <c r="CH50" s="481"/>
      <c r="CI50" s="481"/>
      <c r="CJ50" s="481"/>
      <c r="CK50" s="481"/>
      <c r="CL50" s="481"/>
      <c r="CM50" s="481"/>
      <c r="CN50" s="481"/>
      <c r="CO50" s="481"/>
      <c r="CP50" s="481"/>
      <c r="CQ50" s="481"/>
      <c r="CR50" s="481"/>
      <c r="CS50" s="481"/>
      <c r="CT50" s="481"/>
      <c r="CU50" s="481"/>
      <c r="CV50" s="481"/>
      <c r="CW50" s="481"/>
      <c r="CX50" s="481"/>
      <c r="CY50" s="481"/>
      <c r="CZ50" s="481"/>
      <c r="DA50" s="481"/>
      <c r="DB50" s="481"/>
      <c r="DC50" s="481"/>
    </row>
    <row r="51" spans="1:20" ht="12.75">
      <c r="A51" s="74" t="s">
        <v>258</v>
      </c>
      <c r="B51" s="485">
        <f>SUM(B52:B55)</f>
        <v>2137309</v>
      </c>
      <c r="C51" s="485">
        <f>SUM(C52:C55)</f>
        <v>0</v>
      </c>
      <c r="D51" s="698">
        <f t="shared" si="6"/>
        <v>0</v>
      </c>
      <c r="E51" s="485">
        <f>SUM(E52:E55)</f>
        <v>2105430</v>
      </c>
      <c r="F51" s="485">
        <f>SUM(F52:F55)</f>
        <v>0</v>
      </c>
      <c r="G51" s="698">
        <f t="shared" si="3"/>
        <v>0</v>
      </c>
      <c r="H51" s="485">
        <f>SUM(H52:H55)</f>
        <v>16732560</v>
      </c>
      <c r="I51" s="485">
        <f>SUM(I52:I55)</f>
        <v>0</v>
      </c>
      <c r="J51" s="698">
        <f aca="true" t="shared" si="7" ref="J51:J68">I51/H51*100</f>
        <v>0</v>
      </c>
      <c r="K51" s="74" t="s">
        <v>258</v>
      </c>
      <c r="L51" s="485">
        <v>2138</v>
      </c>
      <c r="M51" s="485">
        <v>0</v>
      </c>
      <c r="N51" s="698">
        <v>0</v>
      </c>
      <c r="O51" s="485">
        <v>2105</v>
      </c>
      <c r="P51" s="485">
        <v>0</v>
      </c>
      <c r="Q51" s="698">
        <v>0</v>
      </c>
      <c r="R51" s="485">
        <v>16732</v>
      </c>
      <c r="S51" s="485">
        <v>0</v>
      </c>
      <c r="T51" s="698">
        <v>0</v>
      </c>
    </row>
    <row r="52" spans="1:107" s="482" customFormat="1" ht="12.75">
      <c r="A52" s="487" t="s">
        <v>926</v>
      </c>
      <c r="B52" s="27">
        <v>43888</v>
      </c>
      <c r="C52" s="27"/>
      <c r="D52" s="699">
        <f t="shared" si="6"/>
        <v>0</v>
      </c>
      <c r="E52" s="27">
        <v>40288</v>
      </c>
      <c r="F52" s="27"/>
      <c r="G52" s="699">
        <f t="shared" si="3"/>
        <v>0</v>
      </c>
      <c r="H52" s="27">
        <v>37522</v>
      </c>
      <c r="I52" s="27"/>
      <c r="J52" s="699">
        <f t="shared" si="7"/>
        <v>0</v>
      </c>
      <c r="K52" s="487" t="s">
        <v>926</v>
      </c>
      <c r="L52" s="27">
        <v>44</v>
      </c>
      <c r="M52" s="27">
        <v>0</v>
      </c>
      <c r="N52" s="699">
        <v>0</v>
      </c>
      <c r="O52" s="27">
        <v>40</v>
      </c>
      <c r="P52" s="27">
        <v>0</v>
      </c>
      <c r="Q52" s="699">
        <v>0</v>
      </c>
      <c r="R52" s="27">
        <v>37</v>
      </c>
      <c r="S52" s="27">
        <v>0</v>
      </c>
      <c r="T52" s="699">
        <v>0</v>
      </c>
      <c r="U52" s="481"/>
      <c r="V52" s="481"/>
      <c r="W52" s="481"/>
      <c r="X52" s="481"/>
      <c r="Y52" s="481"/>
      <c r="Z52" s="481"/>
      <c r="AA52" s="481"/>
      <c r="AB52" s="481"/>
      <c r="AC52" s="481"/>
      <c r="AD52" s="481"/>
      <c r="AE52" s="481"/>
      <c r="AF52" s="481"/>
      <c r="AG52" s="481"/>
      <c r="AH52" s="481"/>
      <c r="AI52" s="481"/>
      <c r="AJ52" s="481"/>
      <c r="AK52" s="481"/>
      <c r="AL52" s="481"/>
      <c r="AM52" s="481"/>
      <c r="AN52" s="481"/>
      <c r="AO52" s="481"/>
      <c r="AP52" s="481"/>
      <c r="AQ52" s="481"/>
      <c r="AR52" s="481"/>
      <c r="AS52" s="481"/>
      <c r="AT52" s="481"/>
      <c r="AU52" s="481"/>
      <c r="AV52" s="481"/>
      <c r="AW52" s="481"/>
      <c r="AX52" s="481"/>
      <c r="AY52" s="481"/>
      <c r="AZ52" s="481"/>
      <c r="BA52" s="481"/>
      <c r="BB52" s="481"/>
      <c r="BC52" s="481"/>
      <c r="BD52" s="481"/>
      <c r="BE52" s="481"/>
      <c r="BF52" s="481"/>
      <c r="BG52" s="481"/>
      <c r="BH52" s="481"/>
      <c r="BI52" s="481"/>
      <c r="BJ52" s="481"/>
      <c r="BK52" s="481"/>
      <c r="BL52" s="481"/>
      <c r="BM52" s="481"/>
      <c r="BN52" s="481"/>
      <c r="BO52" s="481"/>
      <c r="BP52" s="481"/>
      <c r="BQ52" s="481"/>
      <c r="BR52" s="481"/>
      <c r="BS52" s="481"/>
      <c r="BT52" s="481"/>
      <c r="BU52" s="481"/>
      <c r="BV52" s="481"/>
      <c r="BW52" s="481"/>
      <c r="BX52" s="481"/>
      <c r="BY52" s="481"/>
      <c r="BZ52" s="481"/>
      <c r="CA52" s="481"/>
      <c r="CB52" s="481"/>
      <c r="CC52" s="481"/>
      <c r="CD52" s="481"/>
      <c r="CE52" s="481"/>
      <c r="CF52" s="481"/>
      <c r="CG52" s="481"/>
      <c r="CH52" s="481"/>
      <c r="CI52" s="481"/>
      <c r="CJ52" s="481"/>
      <c r="CK52" s="481"/>
      <c r="CL52" s="481"/>
      <c r="CM52" s="481"/>
      <c r="CN52" s="481"/>
      <c r="CO52" s="481"/>
      <c r="CP52" s="481"/>
      <c r="CQ52" s="481"/>
      <c r="CR52" s="481"/>
      <c r="CS52" s="481"/>
      <c r="CT52" s="481"/>
      <c r="CU52" s="481"/>
      <c r="CV52" s="481"/>
      <c r="CW52" s="481"/>
      <c r="CX52" s="481"/>
      <c r="CY52" s="481"/>
      <c r="CZ52" s="481"/>
      <c r="DA52" s="481"/>
      <c r="DB52" s="481"/>
      <c r="DC52" s="481"/>
    </row>
    <row r="53" spans="1:107" s="482" customFormat="1" ht="12.75">
      <c r="A53" s="487" t="s">
        <v>320</v>
      </c>
      <c r="B53" s="27">
        <v>29487</v>
      </c>
      <c r="C53" s="27"/>
      <c r="D53" s="699">
        <f t="shared" si="6"/>
        <v>0</v>
      </c>
      <c r="E53" s="27">
        <v>28208</v>
      </c>
      <c r="F53" s="27"/>
      <c r="G53" s="699">
        <f t="shared" si="3"/>
        <v>0</v>
      </c>
      <c r="H53" s="27">
        <v>40008</v>
      </c>
      <c r="I53" s="27"/>
      <c r="J53" s="699">
        <f t="shared" si="7"/>
        <v>0</v>
      </c>
      <c r="K53" s="487" t="s">
        <v>320</v>
      </c>
      <c r="L53" s="27">
        <v>30</v>
      </c>
      <c r="M53" s="27">
        <v>0</v>
      </c>
      <c r="N53" s="699">
        <v>0</v>
      </c>
      <c r="O53" s="27">
        <v>28</v>
      </c>
      <c r="P53" s="27">
        <v>0</v>
      </c>
      <c r="Q53" s="699">
        <v>0</v>
      </c>
      <c r="R53" s="27">
        <v>40</v>
      </c>
      <c r="S53" s="27">
        <v>0</v>
      </c>
      <c r="T53" s="699">
        <v>0</v>
      </c>
      <c r="U53" s="481"/>
      <c r="V53" s="481"/>
      <c r="W53" s="481"/>
      <c r="X53" s="481"/>
      <c r="Y53" s="481"/>
      <c r="Z53" s="481"/>
      <c r="AA53" s="481"/>
      <c r="AB53" s="481"/>
      <c r="AC53" s="481"/>
      <c r="AD53" s="481"/>
      <c r="AE53" s="481"/>
      <c r="AF53" s="481"/>
      <c r="AG53" s="481"/>
      <c r="AH53" s="481"/>
      <c r="AI53" s="481"/>
      <c r="AJ53" s="481"/>
      <c r="AK53" s="481"/>
      <c r="AL53" s="481"/>
      <c r="AM53" s="481"/>
      <c r="AN53" s="481"/>
      <c r="AO53" s="481"/>
      <c r="AP53" s="481"/>
      <c r="AQ53" s="481"/>
      <c r="AR53" s="481"/>
      <c r="AS53" s="481"/>
      <c r="AT53" s="481"/>
      <c r="AU53" s="481"/>
      <c r="AV53" s="481"/>
      <c r="AW53" s="481"/>
      <c r="AX53" s="481"/>
      <c r="AY53" s="481"/>
      <c r="AZ53" s="481"/>
      <c r="BA53" s="481"/>
      <c r="BB53" s="481"/>
      <c r="BC53" s="481"/>
      <c r="BD53" s="481"/>
      <c r="BE53" s="481"/>
      <c r="BF53" s="481"/>
      <c r="BG53" s="481"/>
      <c r="BH53" s="481"/>
      <c r="BI53" s="481"/>
      <c r="BJ53" s="481"/>
      <c r="BK53" s="481"/>
      <c r="BL53" s="481"/>
      <c r="BM53" s="481"/>
      <c r="BN53" s="481"/>
      <c r="BO53" s="481"/>
      <c r="BP53" s="481"/>
      <c r="BQ53" s="481"/>
      <c r="BR53" s="481"/>
      <c r="BS53" s="481"/>
      <c r="BT53" s="481"/>
      <c r="BU53" s="481"/>
      <c r="BV53" s="481"/>
      <c r="BW53" s="481"/>
      <c r="BX53" s="481"/>
      <c r="BY53" s="481"/>
      <c r="BZ53" s="481"/>
      <c r="CA53" s="481"/>
      <c r="CB53" s="481"/>
      <c r="CC53" s="481"/>
      <c r="CD53" s="481"/>
      <c r="CE53" s="481"/>
      <c r="CF53" s="481"/>
      <c r="CG53" s="481"/>
      <c r="CH53" s="481"/>
      <c r="CI53" s="481"/>
      <c r="CJ53" s="481"/>
      <c r="CK53" s="481"/>
      <c r="CL53" s="481"/>
      <c r="CM53" s="481"/>
      <c r="CN53" s="481"/>
      <c r="CO53" s="481"/>
      <c r="CP53" s="481"/>
      <c r="CQ53" s="481"/>
      <c r="CR53" s="481"/>
      <c r="CS53" s="481"/>
      <c r="CT53" s="481"/>
      <c r="CU53" s="481"/>
      <c r="CV53" s="481"/>
      <c r="CW53" s="481"/>
      <c r="CX53" s="481"/>
      <c r="CY53" s="481"/>
      <c r="CZ53" s="481"/>
      <c r="DA53" s="481"/>
      <c r="DB53" s="481"/>
      <c r="DC53" s="481"/>
    </row>
    <row r="54" spans="1:107" s="482" customFormat="1" ht="12.75">
      <c r="A54" s="487" t="s">
        <v>927</v>
      </c>
      <c r="B54" s="27">
        <v>242510</v>
      </c>
      <c r="C54" s="27"/>
      <c r="D54" s="699">
        <f t="shared" si="6"/>
        <v>0</v>
      </c>
      <c r="E54" s="27">
        <v>242510</v>
      </c>
      <c r="F54" s="27"/>
      <c r="G54" s="699">
        <f t="shared" si="3"/>
        <v>0</v>
      </c>
      <c r="H54" s="27">
        <v>727530</v>
      </c>
      <c r="I54" s="27"/>
      <c r="J54" s="699">
        <f t="shared" si="7"/>
        <v>0</v>
      </c>
      <c r="K54" s="487" t="s">
        <v>927</v>
      </c>
      <c r="L54" s="27">
        <v>242</v>
      </c>
      <c r="M54" s="27">
        <v>0</v>
      </c>
      <c r="N54" s="699">
        <v>0</v>
      </c>
      <c r="O54" s="27">
        <v>242</v>
      </c>
      <c r="P54" s="27">
        <v>0</v>
      </c>
      <c r="Q54" s="699">
        <v>0</v>
      </c>
      <c r="R54" s="27">
        <v>727</v>
      </c>
      <c r="S54" s="27">
        <v>0</v>
      </c>
      <c r="T54" s="699">
        <v>0</v>
      </c>
      <c r="U54" s="481"/>
      <c r="V54" s="481"/>
      <c r="W54" s="481"/>
      <c r="X54" s="481"/>
      <c r="Y54" s="481"/>
      <c r="Z54" s="481"/>
      <c r="AA54" s="481"/>
      <c r="AB54" s="481"/>
      <c r="AC54" s="481"/>
      <c r="AD54" s="481"/>
      <c r="AE54" s="481"/>
      <c r="AF54" s="481"/>
      <c r="AG54" s="481"/>
      <c r="AH54" s="481"/>
      <c r="AI54" s="481"/>
      <c r="AJ54" s="481"/>
      <c r="AK54" s="481"/>
      <c r="AL54" s="481"/>
      <c r="AM54" s="481"/>
      <c r="AN54" s="481"/>
      <c r="AO54" s="481"/>
      <c r="AP54" s="481"/>
      <c r="AQ54" s="481"/>
      <c r="AR54" s="481"/>
      <c r="AS54" s="481"/>
      <c r="AT54" s="481"/>
      <c r="AU54" s="481"/>
      <c r="AV54" s="481"/>
      <c r="AW54" s="481"/>
      <c r="AX54" s="481"/>
      <c r="AY54" s="481"/>
      <c r="AZ54" s="481"/>
      <c r="BA54" s="481"/>
      <c r="BB54" s="481"/>
      <c r="BC54" s="481"/>
      <c r="BD54" s="481"/>
      <c r="BE54" s="481"/>
      <c r="BF54" s="481"/>
      <c r="BG54" s="481"/>
      <c r="BH54" s="481"/>
      <c r="BI54" s="481"/>
      <c r="BJ54" s="481"/>
      <c r="BK54" s="481"/>
      <c r="BL54" s="481"/>
      <c r="BM54" s="481"/>
      <c r="BN54" s="481"/>
      <c r="BO54" s="481"/>
      <c r="BP54" s="481"/>
      <c r="BQ54" s="481"/>
      <c r="BR54" s="481"/>
      <c r="BS54" s="481"/>
      <c r="BT54" s="481"/>
      <c r="BU54" s="481"/>
      <c r="BV54" s="481"/>
      <c r="BW54" s="481"/>
      <c r="BX54" s="481"/>
      <c r="BY54" s="481"/>
      <c r="BZ54" s="481"/>
      <c r="CA54" s="481"/>
      <c r="CB54" s="481"/>
      <c r="CC54" s="481"/>
      <c r="CD54" s="481"/>
      <c r="CE54" s="481"/>
      <c r="CF54" s="481"/>
      <c r="CG54" s="481"/>
      <c r="CH54" s="481"/>
      <c r="CI54" s="481"/>
      <c r="CJ54" s="481"/>
      <c r="CK54" s="481"/>
      <c r="CL54" s="481"/>
      <c r="CM54" s="481"/>
      <c r="CN54" s="481"/>
      <c r="CO54" s="481"/>
      <c r="CP54" s="481"/>
      <c r="CQ54" s="481"/>
      <c r="CR54" s="481"/>
      <c r="CS54" s="481"/>
      <c r="CT54" s="481"/>
      <c r="CU54" s="481"/>
      <c r="CV54" s="481"/>
      <c r="CW54" s="481"/>
      <c r="CX54" s="481"/>
      <c r="CY54" s="481"/>
      <c r="CZ54" s="481"/>
      <c r="DA54" s="481"/>
      <c r="DB54" s="481"/>
      <c r="DC54" s="481"/>
    </row>
    <row r="55" spans="1:107" s="482" customFormat="1" ht="12.75">
      <c r="A55" s="487" t="s">
        <v>549</v>
      </c>
      <c r="B55" s="27">
        <v>1821424</v>
      </c>
      <c r="C55" s="27"/>
      <c r="D55" s="699">
        <f t="shared" si="6"/>
        <v>0</v>
      </c>
      <c r="E55" s="27">
        <v>1794424</v>
      </c>
      <c r="F55" s="27"/>
      <c r="G55" s="699">
        <f t="shared" si="3"/>
        <v>0</v>
      </c>
      <c r="H55" s="27">
        <v>15927500</v>
      </c>
      <c r="I55" s="27"/>
      <c r="J55" s="699">
        <f t="shared" si="7"/>
        <v>0</v>
      </c>
      <c r="K55" s="487" t="s">
        <v>549</v>
      </c>
      <c r="L55" s="27">
        <v>1822</v>
      </c>
      <c r="M55" s="27">
        <v>0</v>
      </c>
      <c r="N55" s="699">
        <v>0</v>
      </c>
      <c r="O55" s="27">
        <v>1795</v>
      </c>
      <c r="P55" s="27">
        <v>0</v>
      </c>
      <c r="Q55" s="699">
        <v>0</v>
      </c>
      <c r="R55" s="27">
        <v>15928</v>
      </c>
      <c r="S55" s="27">
        <v>0</v>
      </c>
      <c r="T55" s="699">
        <v>0</v>
      </c>
      <c r="U55" s="481"/>
      <c r="V55" s="481"/>
      <c r="W55" s="481"/>
      <c r="X55" s="481"/>
      <c r="Y55" s="481"/>
      <c r="Z55" s="481"/>
      <c r="AA55" s="481"/>
      <c r="AB55" s="481"/>
      <c r="AC55" s="481"/>
      <c r="AD55" s="481"/>
      <c r="AE55" s="481"/>
      <c r="AF55" s="481"/>
      <c r="AG55" s="481"/>
      <c r="AH55" s="481"/>
      <c r="AI55" s="481"/>
      <c r="AJ55" s="481"/>
      <c r="AK55" s="481"/>
      <c r="AL55" s="481"/>
      <c r="AM55" s="481"/>
      <c r="AN55" s="481"/>
      <c r="AO55" s="481"/>
      <c r="AP55" s="481"/>
      <c r="AQ55" s="481"/>
      <c r="AR55" s="481"/>
      <c r="AS55" s="481"/>
      <c r="AT55" s="481"/>
      <c r="AU55" s="481"/>
      <c r="AV55" s="481"/>
      <c r="AW55" s="481"/>
      <c r="AX55" s="481"/>
      <c r="AY55" s="481"/>
      <c r="AZ55" s="481"/>
      <c r="BA55" s="481"/>
      <c r="BB55" s="481"/>
      <c r="BC55" s="481"/>
      <c r="BD55" s="481"/>
      <c r="BE55" s="481"/>
      <c r="BF55" s="481"/>
      <c r="BG55" s="481"/>
      <c r="BH55" s="481"/>
      <c r="BI55" s="481"/>
      <c r="BJ55" s="481"/>
      <c r="BK55" s="481"/>
      <c r="BL55" s="481"/>
      <c r="BM55" s="481"/>
      <c r="BN55" s="481"/>
      <c r="BO55" s="481"/>
      <c r="BP55" s="481"/>
      <c r="BQ55" s="481"/>
      <c r="BR55" s="481"/>
      <c r="BS55" s="481"/>
      <c r="BT55" s="481"/>
      <c r="BU55" s="481"/>
      <c r="BV55" s="481"/>
      <c r="BW55" s="481"/>
      <c r="BX55" s="481"/>
      <c r="BY55" s="481"/>
      <c r="BZ55" s="481"/>
      <c r="CA55" s="481"/>
      <c r="CB55" s="481"/>
      <c r="CC55" s="481"/>
      <c r="CD55" s="481"/>
      <c r="CE55" s="481"/>
      <c r="CF55" s="481"/>
      <c r="CG55" s="481"/>
      <c r="CH55" s="481"/>
      <c r="CI55" s="481"/>
      <c r="CJ55" s="481"/>
      <c r="CK55" s="481"/>
      <c r="CL55" s="481"/>
      <c r="CM55" s="481"/>
      <c r="CN55" s="481"/>
      <c r="CO55" s="481"/>
      <c r="CP55" s="481"/>
      <c r="CQ55" s="481"/>
      <c r="CR55" s="481"/>
      <c r="CS55" s="481"/>
      <c r="CT55" s="481"/>
      <c r="CU55" s="481"/>
      <c r="CV55" s="481"/>
      <c r="CW55" s="481"/>
      <c r="CX55" s="481"/>
      <c r="CY55" s="481"/>
      <c r="CZ55" s="481"/>
      <c r="DA55" s="481"/>
      <c r="DB55" s="481"/>
      <c r="DC55" s="481"/>
    </row>
    <row r="56" spans="1:20" ht="12.75">
      <c r="A56" s="74" t="s">
        <v>260</v>
      </c>
      <c r="B56" s="485">
        <f>SUM(B57:B58)</f>
        <v>2770580</v>
      </c>
      <c r="C56" s="485">
        <f>SUM(C57:C58)</f>
        <v>0</v>
      </c>
      <c r="D56" s="698">
        <f t="shared" si="6"/>
        <v>0</v>
      </c>
      <c r="E56" s="485">
        <f>SUM(E57:E58)</f>
        <v>2475580</v>
      </c>
      <c r="F56" s="485">
        <f>SUM(F57:F58)</f>
        <v>0</v>
      </c>
      <c r="G56" s="698">
        <f t="shared" si="3"/>
        <v>0</v>
      </c>
      <c r="H56" s="485">
        <f>SUM(H57:H58)</f>
        <v>11251580</v>
      </c>
      <c r="I56" s="485">
        <f>SUM(I57:I58)</f>
        <v>0</v>
      </c>
      <c r="J56" s="698">
        <f t="shared" si="7"/>
        <v>0</v>
      </c>
      <c r="K56" s="74" t="s">
        <v>260</v>
      </c>
      <c r="L56" s="485">
        <v>2771</v>
      </c>
      <c r="M56" s="485">
        <v>0</v>
      </c>
      <c r="N56" s="698">
        <v>0</v>
      </c>
      <c r="O56" s="485">
        <v>2475</v>
      </c>
      <c r="P56" s="485">
        <v>0</v>
      </c>
      <c r="Q56" s="698">
        <v>0</v>
      </c>
      <c r="R56" s="485">
        <v>11252</v>
      </c>
      <c r="S56" s="485">
        <v>0</v>
      </c>
      <c r="T56" s="698">
        <v>0</v>
      </c>
    </row>
    <row r="57" spans="1:107" s="482" customFormat="1" ht="12.75">
      <c r="A57" s="487" t="s">
        <v>927</v>
      </c>
      <c r="B57" s="27">
        <v>75580</v>
      </c>
      <c r="C57" s="27"/>
      <c r="D57" s="699">
        <f t="shared" si="6"/>
        <v>0</v>
      </c>
      <c r="E57" s="27">
        <v>75580</v>
      </c>
      <c r="F57" s="27"/>
      <c r="G57" s="699">
        <f aca="true" t="shared" si="8" ref="G57:G75">F57/E57*100</f>
        <v>0</v>
      </c>
      <c r="H57" s="27">
        <v>75580</v>
      </c>
      <c r="I57" s="27"/>
      <c r="J57" s="699">
        <f t="shared" si="7"/>
        <v>0</v>
      </c>
      <c r="K57" s="487" t="s">
        <v>927</v>
      </c>
      <c r="L57" s="27">
        <v>76</v>
      </c>
      <c r="M57" s="27">
        <v>0</v>
      </c>
      <c r="N57" s="699">
        <v>0</v>
      </c>
      <c r="O57" s="27">
        <v>75</v>
      </c>
      <c r="P57" s="27">
        <v>0</v>
      </c>
      <c r="Q57" s="699">
        <v>0</v>
      </c>
      <c r="R57" s="27">
        <v>76</v>
      </c>
      <c r="S57" s="27">
        <v>0</v>
      </c>
      <c r="T57" s="699">
        <v>0</v>
      </c>
      <c r="U57" s="481"/>
      <c r="V57" s="481"/>
      <c r="W57" s="481"/>
      <c r="X57" s="481"/>
      <c r="Y57" s="481"/>
      <c r="Z57" s="481"/>
      <c r="AA57" s="481"/>
      <c r="AB57" s="481"/>
      <c r="AC57" s="481"/>
      <c r="AD57" s="481"/>
      <c r="AE57" s="481"/>
      <c r="AF57" s="481"/>
      <c r="AG57" s="481"/>
      <c r="AH57" s="481"/>
      <c r="AI57" s="481"/>
      <c r="AJ57" s="481"/>
      <c r="AK57" s="481"/>
      <c r="AL57" s="481"/>
      <c r="AM57" s="481"/>
      <c r="AN57" s="481"/>
      <c r="AO57" s="481"/>
      <c r="AP57" s="481"/>
      <c r="AQ57" s="481"/>
      <c r="AR57" s="481"/>
      <c r="AS57" s="481"/>
      <c r="AT57" s="481"/>
      <c r="AU57" s="481"/>
      <c r="AV57" s="481"/>
      <c r="AW57" s="481"/>
      <c r="AX57" s="481"/>
      <c r="AY57" s="481"/>
      <c r="AZ57" s="481"/>
      <c r="BA57" s="481"/>
      <c r="BB57" s="481"/>
      <c r="BC57" s="481"/>
      <c r="BD57" s="481"/>
      <c r="BE57" s="481"/>
      <c r="BF57" s="481"/>
      <c r="BG57" s="481"/>
      <c r="BH57" s="481"/>
      <c r="BI57" s="481"/>
      <c r="BJ57" s="481"/>
      <c r="BK57" s="481"/>
      <c r="BL57" s="481"/>
      <c r="BM57" s="481"/>
      <c r="BN57" s="481"/>
      <c r="BO57" s="481"/>
      <c r="BP57" s="481"/>
      <c r="BQ57" s="481"/>
      <c r="BR57" s="481"/>
      <c r="BS57" s="481"/>
      <c r="BT57" s="481"/>
      <c r="BU57" s="481"/>
      <c r="BV57" s="481"/>
      <c r="BW57" s="481"/>
      <c r="BX57" s="481"/>
      <c r="BY57" s="481"/>
      <c r="BZ57" s="481"/>
      <c r="CA57" s="481"/>
      <c r="CB57" s="481"/>
      <c r="CC57" s="481"/>
      <c r="CD57" s="481"/>
      <c r="CE57" s="481"/>
      <c r="CF57" s="481"/>
      <c r="CG57" s="481"/>
      <c r="CH57" s="481"/>
      <c r="CI57" s="481"/>
      <c r="CJ57" s="481"/>
      <c r="CK57" s="481"/>
      <c r="CL57" s="481"/>
      <c r="CM57" s="481"/>
      <c r="CN57" s="481"/>
      <c r="CO57" s="481"/>
      <c r="CP57" s="481"/>
      <c r="CQ57" s="481"/>
      <c r="CR57" s="481"/>
      <c r="CS57" s="481"/>
      <c r="CT57" s="481"/>
      <c r="CU57" s="481"/>
      <c r="CV57" s="481"/>
      <c r="CW57" s="481"/>
      <c r="CX57" s="481"/>
      <c r="CY57" s="481"/>
      <c r="CZ57" s="481"/>
      <c r="DA57" s="481"/>
      <c r="DB57" s="481"/>
      <c r="DC57" s="481"/>
    </row>
    <row r="58" spans="1:107" s="482" customFormat="1" ht="12.75">
      <c r="A58" s="487" t="s">
        <v>549</v>
      </c>
      <c r="B58" s="27">
        <v>2695000</v>
      </c>
      <c r="C58" s="27"/>
      <c r="D58" s="699">
        <f t="shared" si="6"/>
        <v>0</v>
      </c>
      <c r="E58" s="27">
        <v>2400000</v>
      </c>
      <c r="F58" s="27"/>
      <c r="G58" s="699">
        <f t="shared" si="8"/>
        <v>0</v>
      </c>
      <c r="H58" s="27">
        <v>11176000</v>
      </c>
      <c r="I58" s="27"/>
      <c r="J58" s="699">
        <f t="shared" si="7"/>
        <v>0</v>
      </c>
      <c r="K58" s="487" t="s">
        <v>549</v>
      </c>
      <c r="L58" s="27">
        <v>2695</v>
      </c>
      <c r="M58" s="27">
        <v>0</v>
      </c>
      <c r="N58" s="699">
        <v>0</v>
      </c>
      <c r="O58" s="27">
        <v>2400</v>
      </c>
      <c r="P58" s="27">
        <v>0</v>
      </c>
      <c r="Q58" s="699">
        <v>0</v>
      </c>
      <c r="R58" s="27">
        <v>11176</v>
      </c>
      <c r="S58" s="27">
        <v>0</v>
      </c>
      <c r="T58" s="699">
        <v>0</v>
      </c>
      <c r="U58" s="481"/>
      <c r="V58" s="481"/>
      <c r="W58" s="481"/>
      <c r="X58" s="481"/>
      <c r="Y58" s="481"/>
      <c r="Z58" s="481"/>
      <c r="AA58" s="481"/>
      <c r="AB58" s="481"/>
      <c r="AC58" s="481"/>
      <c r="AD58" s="481"/>
      <c r="AE58" s="481"/>
      <c r="AF58" s="481"/>
      <c r="AG58" s="481"/>
      <c r="AH58" s="481"/>
      <c r="AI58" s="481"/>
      <c r="AJ58" s="481"/>
      <c r="AK58" s="481"/>
      <c r="AL58" s="481"/>
      <c r="AM58" s="481"/>
      <c r="AN58" s="481"/>
      <c r="AO58" s="481"/>
      <c r="AP58" s="481"/>
      <c r="AQ58" s="481"/>
      <c r="AR58" s="481"/>
      <c r="AS58" s="481"/>
      <c r="AT58" s="481"/>
      <c r="AU58" s="481"/>
      <c r="AV58" s="481"/>
      <c r="AW58" s="481"/>
      <c r="AX58" s="481"/>
      <c r="AY58" s="481"/>
      <c r="AZ58" s="481"/>
      <c r="BA58" s="481"/>
      <c r="BB58" s="481"/>
      <c r="BC58" s="481"/>
      <c r="BD58" s="481"/>
      <c r="BE58" s="481"/>
      <c r="BF58" s="481"/>
      <c r="BG58" s="481"/>
      <c r="BH58" s="481"/>
      <c r="BI58" s="481"/>
      <c r="BJ58" s="481"/>
      <c r="BK58" s="481"/>
      <c r="BL58" s="481"/>
      <c r="BM58" s="481"/>
      <c r="BN58" s="481"/>
      <c r="BO58" s="481"/>
      <c r="BP58" s="481"/>
      <c r="BQ58" s="481"/>
      <c r="BR58" s="481"/>
      <c r="BS58" s="481"/>
      <c r="BT58" s="481"/>
      <c r="BU58" s="481"/>
      <c r="BV58" s="481"/>
      <c r="BW58" s="481"/>
      <c r="BX58" s="481"/>
      <c r="BY58" s="481"/>
      <c r="BZ58" s="481"/>
      <c r="CA58" s="481"/>
      <c r="CB58" s="481"/>
      <c r="CC58" s="481"/>
      <c r="CD58" s="481"/>
      <c r="CE58" s="481"/>
      <c r="CF58" s="481"/>
      <c r="CG58" s="481"/>
      <c r="CH58" s="481"/>
      <c r="CI58" s="481"/>
      <c r="CJ58" s="481"/>
      <c r="CK58" s="481"/>
      <c r="CL58" s="481"/>
      <c r="CM58" s="481"/>
      <c r="CN58" s="481"/>
      <c r="CO58" s="481"/>
      <c r="CP58" s="481"/>
      <c r="CQ58" s="481"/>
      <c r="CR58" s="481"/>
      <c r="CS58" s="481"/>
      <c r="CT58" s="481"/>
      <c r="CU58" s="481"/>
      <c r="CV58" s="481"/>
      <c r="CW58" s="481"/>
      <c r="CX58" s="481"/>
      <c r="CY58" s="481"/>
      <c r="CZ58" s="481"/>
      <c r="DA58" s="481"/>
      <c r="DB58" s="481"/>
      <c r="DC58" s="481"/>
    </row>
    <row r="59" spans="1:20" ht="12.75">
      <c r="A59" s="74" t="s">
        <v>262</v>
      </c>
      <c r="B59" s="485">
        <f>SUM(B60:B62)</f>
        <v>1855383</v>
      </c>
      <c r="C59" s="485">
        <f>SUM(C60:C62)</f>
        <v>33983</v>
      </c>
      <c r="D59" s="698">
        <f t="shared" si="6"/>
        <v>1.8315894885314783</v>
      </c>
      <c r="E59" s="485">
        <f>SUM(E60:E62)</f>
        <v>3176974</v>
      </c>
      <c r="F59" s="485">
        <f>SUM(F60:F62)</f>
        <v>38774</v>
      </c>
      <c r="G59" s="698">
        <f t="shared" si="8"/>
        <v>1.2204695411419797</v>
      </c>
      <c r="H59" s="485">
        <f>SUM(H60:H62)</f>
        <v>973330</v>
      </c>
      <c r="I59" s="485">
        <f>SUM(I60:I62)</f>
        <v>72330</v>
      </c>
      <c r="J59" s="698">
        <f t="shared" si="7"/>
        <v>7.431189832841893</v>
      </c>
      <c r="K59" s="74" t="s">
        <v>262</v>
      </c>
      <c r="L59" s="485">
        <v>1855</v>
      </c>
      <c r="M59" s="485">
        <v>34</v>
      </c>
      <c r="N59" s="698">
        <v>1.8328840970350404</v>
      </c>
      <c r="O59" s="485">
        <v>3177</v>
      </c>
      <c r="P59" s="485">
        <v>39</v>
      </c>
      <c r="Q59" s="698">
        <v>1.2275731822474032</v>
      </c>
      <c r="R59" s="485">
        <v>973</v>
      </c>
      <c r="S59" s="485">
        <v>72</v>
      </c>
      <c r="T59" s="698">
        <v>7.399794450154163</v>
      </c>
    </row>
    <row r="60" spans="1:107" s="482" customFormat="1" ht="12.75">
      <c r="A60" s="487" t="s">
        <v>320</v>
      </c>
      <c r="B60" s="27">
        <v>33983</v>
      </c>
      <c r="C60" s="27">
        <v>33983</v>
      </c>
      <c r="D60" s="699">
        <f t="shared" si="6"/>
        <v>100</v>
      </c>
      <c r="E60" s="27">
        <v>38774</v>
      </c>
      <c r="F60" s="27">
        <v>38774</v>
      </c>
      <c r="G60" s="699">
        <f t="shared" si="8"/>
        <v>100</v>
      </c>
      <c r="H60" s="27">
        <v>72330</v>
      </c>
      <c r="I60" s="27">
        <v>72330</v>
      </c>
      <c r="J60" s="699">
        <f t="shared" si="7"/>
        <v>100</v>
      </c>
      <c r="K60" s="487" t="s">
        <v>320</v>
      </c>
      <c r="L60" s="27">
        <v>34</v>
      </c>
      <c r="M60" s="27">
        <v>34</v>
      </c>
      <c r="N60" s="699">
        <v>100</v>
      </c>
      <c r="O60" s="27">
        <v>39</v>
      </c>
      <c r="P60" s="27">
        <v>39</v>
      </c>
      <c r="Q60" s="699">
        <v>100</v>
      </c>
      <c r="R60" s="27">
        <v>72</v>
      </c>
      <c r="S60" s="27">
        <v>72</v>
      </c>
      <c r="T60" s="699">
        <v>100</v>
      </c>
      <c r="U60" s="481"/>
      <c r="V60" s="481"/>
      <c r="W60" s="481"/>
      <c r="X60" s="481"/>
      <c r="Y60" s="481"/>
      <c r="Z60" s="481"/>
      <c r="AA60" s="481"/>
      <c r="AB60" s="481"/>
      <c r="AC60" s="481"/>
      <c r="AD60" s="481"/>
      <c r="AE60" s="481"/>
      <c r="AF60" s="481"/>
      <c r="AG60" s="481"/>
      <c r="AH60" s="481"/>
      <c r="AI60" s="481"/>
      <c r="AJ60" s="481"/>
      <c r="AK60" s="481"/>
      <c r="AL60" s="481"/>
      <c r="AM60" s="481"/>
      <c r="AN60" s="481"/>
      <c r="AO60" s="481"/>
      <c r="AP60" s="481"/>
      <c r="AQ60" s="481"/>
      <c r="AR60" s="481"/>
      <c r="AS60" s="481"/>
      <c r="AT60" s="481"/>
      <c r="AU60" s="481"/>
      <c r="AV60" s="481"/>
      <c r="AW60" s="481"/>
      <c r="AX60" s="481"/>
      <c r="AY60" s="481"/>
      <c r="AZ60" s="481"/>
      <c r="BA60" s="481"/>
      <c r="BB60" s="481"/>
      <c r="BC60" s="481"/>
      <c r="BD60" s="481"/>
      <c r="BE60" s="481"/>
      <c r="BF60" s="481"/>
      <c r="BG60" s="481"/>
      <c r="BH60" s="481"/>
      <c r="BI60" s="481"/>
      <c r="BJ60" s="481"/>
      <c r="BK60" s="481"/>
      <c r="BL60" s="481"/>
      <c r="BM60" s="481"/>
      <c r="BN60" s="481"/>
      <c r="BO60" s="481"/>
      <c r="BP60" s="481"/>
      <c r="BQ60" s="481"/>
      <c r="BR60" s="481"/>
      <c r="BS60" s="481"/>
      <c r="BT60" s="481"/>
      <c r="BU60" s="481"/>
      <c r="BV60" s="481"/>
      <c r="BW60" s="481"/>
      <c r="BX60" s="481"/>
      <c r="BY60" s="481"/>
      <c r="BZ60" s="481"/>
      <c r="CA60" s="481"/>
      <c r="CB60" s="481"/>
      <c r="CC60" s="481"/>
      <c r="CD60" s="481"/>
      <c r="CE60" s="481"/>
      <c r="CF60" s="481"/>
      <c r="CG60" s="481"/>
      <c r="CH60" s="481"/>
      <c r="CI60" s="481"/>
      <c r="CJ60" s="481"/>
      <c r="CK60" s="481"/>
      <c r="CL60" s="481"/>
      <c r="CM60" s="481"/>
      <c r="CN60" s="481"/>
      <c r="CO60" s="481"/>
      <c r="CP60" s="481"/>
      <c r="CQ60" s="481"/>
      <c r="CR60" s="481"/>
      <c r="CS60" s="481"/>
      <c r="CT60" s="481"/>
      <c r="CU60" s="481"/>
      <c r="CV60" s="481"/>
      <c r="CW60" s="481"/>
      <c r="CX60" s="481"/>
      <c r="CY60" s="481"/>
      <c r="CZ60" s="481"/>
      <c r="DA60" s="481"/>
      <c r="DB60" s="481"/>
      <c r="DC60" s="481"/>
    </row>
    <row r="61" spans="1:107" s="482" customFormat="1" ht="12.75">
      <c r="A61" s="487" t="s">
        <v>927</v>
      </c>
      <c r="B61" s="27">
        <v>514400</v>
      </c>
      <c r="C61" s="27"/>
      <c r="D61" s="699">
        <f t="shared" si="6"/>
        <v>0</v>
      </c>
      <c r="E61" s="27">
        <v>514400</v>
      </c>
      <c r="F61" s="27"/>
      <c r="G61" s="699">
        <f t="shared" si="8"/>
        <v>0</v>
      </c>
      <c r="H61" s="27"/>
      <c r="I61" s="27"/>
      <c r="J61" s="699" t="e">
        <f t="shared" si="7"/>
        <v>#DIV/0!</v>
      </c>
      <c r="K61" s="487" t="s">
        <v>927</v>
      </c>
      <c r="L61" s="27">
        <v>514</v>
      </c>
      <c r="M61" s="27">
        <v>0</v>
      </c>
      <c r="N61" s="699">
        <v>0</v>
      </c>
      <c r="O61" s="27">
        <v>514</v>
      </c>
      <c r="P61" s="27">
        <v>0</v>
      </c>
      <c r="Q61" s="699">
        <v>0</v>
      </c>
      <c r="R61" s="27">
        <v>0</v>
      </c>
      <c r="S61" s="27">
        <v>0</v>
      </c>
      <c r="T61" s="699"/>
      <c r="U61" s="481"/>
      <c r="V61" s="481"/>
      <c r="W61" s="481"/>
      <c r="X61" s="481"/>
      <c r="Y61" s="481"/>
      <c r="Z61" s="481"/>
      <c r="AA61" s="481"/>
      <c r="AB61" s="481"/>
      <c r="AC61" s="481"/>
      <c r="AD61" s="481"/>
      <c r="AE61" s="481"/>
      <c r="AF61" s="481"/>
      <c r="AG61" s="481"/>
      <c r="AH61" s="481"/>
      <c r="AI61" s="481"/>
      <c r="AJ61" s="481"/>
      <c r="AK61" s="481"/>
      <c r="AL61" s="481"/>
      <c r="AM61" s="481"/>
      <c r="AN61" s="481"/>
      <c r="AO61" s="481"/>
      <c r="AP61" s="481"/>
      <c r="AQ61" s="481"/>
      <c r="AR61" s="481"/>
      <c r="AS61" s="481"/>
      <c r="AT61" s="481"/>
      <c r="AU61" s="481"/>
      <c r="AV61" s="481"/>
      <c r="AW61" s="481"/>
      <c r="AX61" s="481"/>
      <c r="AY61" s="481"/>
      <c r="AZ61" s="481"/>
      <c r="BA61" s="481"/>
      <c r="BB61" s="481"/>
      <c r="BC61" s="481"/>
      <c r="BD61" s="481"/>
      <c r="BE61" s="481"/>
      <c r="BF61" s="481"/>
      <c r="BG61" s="481"/>
      <c r="BH61" s="481"/>
      <c r="BI61" s="481"/>
      <c r="BJ61" s="481"/>
      <c r="BK61" s="481"/>
      <c r="BL61" s="481"/>
      <c r="BM61" s="481"/>
      <c r="BN61" s="481"/>
      <c r="BO61" s="481"/>
      <c r="BP61" s="481"/>
      <c r="BQ61" s="481"/>
      <c r="BR61" s="481"/>
      <c r="BS61" s="481"/>
      <c r="BT61" s="481"/>
      <c r="BU61" s="481"/>
      <c r="BV61" s="481"/>
      <c r="BW61" s="481"/>
      <c r="BX61" s="481"/>
      <c r="BY61" s="481"/>
      <c r="BZ61" s="481"/>
      <c r="CA61" s="481"/>
      <c r="CB61" s="481"/>
      <c r="CC61" s="481"/>
      <c r="CD61" s="481"/>
      <c r="CE61" s="481"/>
      <c r="CF61" s="481"/>
      <c r="CG61" s="481"/>
      <c r="CH61" s="481"/>
      <c r="CI61" s="481"/>
      <c r="CJ61" s="481"/>
      <c r="CK61" s="481"/>
      <c r="CL61" s="481"/>
      <c r="CM61" s="481"/>
      <c r="CN61" s="481"/>
      <c r="CO61" s="481"/>
      <c r="CP61" s="481"/>
      <c r="CQ61" s="481"/>
      <c r="CR61" s="481"/>
      <c r="CS61" s="481"/>
      <c r="CT61" s="481"/>
      <c r="CU61" s="481"/>
      <c r="CV61" s="481"/>
      <c r="CW61" s="481"/>
      <c r="CX61" s="481"/>
      <c r="CY61" s="481"/>
      <c r="CZ61" s="481"/>
      <c r="DA61" s="481"/>
      <c r="DB61" s="481"/>
      <c r="DC61" s="481"/>
    </row>
    <row r="62" spans="1:107" s="482" customFormat="1" ht="12.75">
      <c r="A62" s="487" t="s">
        <v>549</v>
      </c>
      <c r="B62" s="27">
        <v>1307000</v>
      </c>
      <c r="C62" s="27"/>
      <c r="D62" s="699">
        <f t="shared" si="6"/>
        <v>0</v>
      </c>
      <c r="E62" s="27">
        <v>2623800</v>
      </c>
      <c r="F62" s="27"/>
      <c r="G62" s="699">
        <f t="shared" si="8"/>
        <v>0</v>
      </c>
      <c r="H62" s="27">
        <v>901000</v>
      </c>
      <c r="I62" s="27"/>
      <c r="J62" s="699">
        <f t="shared" si="7"/>
        <v>0</v>
      </c>
      <c r="K62" s="487" t="s">
        <v>549</v>
      </c>
      <c r="L62" s="27">
        <v>1307</v>
      </c>
      <c r="M62" s="27">
        <v>0</v>
      </c>
      <c r="N62" s="699">
        <v>0</v>
      </c>
      <c r="O62" s="27">
        <v>2624</v>
      </c>
      <c r="P62" s="27">
        <v>0</v>
      </c>
      <c r="Q62" s="699">
        <v>0</v>
      </c>
      <c r="R62" s="27">
        <v>901</v>
      </c>
      <c r="S62" s="27">
        <v>0</v>
      </c>
      <c r="T62" s="699">
        <v>0</v>
      </c>
      <c r="U62" s="481"/>
      <c r="V62" s="481"/>
      <c r="W62" s="481"/>
      <c r="X62" s="481"/>
      <c r="Y62" s="481"/>
      <c r="Z62" s="481"/>
      <c r="AA62" s="481"/>
      <c r="AB62" s="481"/>
      <c r="AC62" s="481"/>
      <c r="AD62" s="481"/>
      <c r="AE62" s="481"/>
      <c r="AF62" s="481"/>
      <c r="AG62" s="481"/>
      <c r="AH62" s="481"/>
      <c r="AI62" s="481"/>
      <c r="AJ62" s="481"/>
      <c r="AK62" s="481"/>
      <c r="AL62" s="481"/>
      <c r="AM62" s="481"/>
      <c r="AN62" s="481"/>
      <c r="AO62" s="481"/>
      <c r="AP62" s="481"/>
      <c r="AQ62" s="481"/>
      <c r="AR62" s="481"/>
      <c r="AS62" s="481"/>
      <c r="AT62" s="481"/>
      <c r="AU62" s="481"/>
      <c r="AV62" s="481"/>
      <c r="AW62" s="481"/>
      <c r="AX62" s="481"/>
      <c r="AY62" s="481"/>
      <c r="AZ62" s="481"/>
      <c r="BA62" s="481"/>
      <c r="BB62" s="481"/>
      <c r="BC62" s="481"/>
      <c r="BD62" s="481"/>
      <c r="BE62" s="481"/>
      <c r="BF62" s="481"/>
      <c r="BG62" s="481"/>
      <c r="BH62" s="481"/>
      <c r="BI62" s="481"/>
      <c r="BJ62" s="481"/>
      <c r="BK62" s="481"/>
      <c r="BL62" s="481"/>
      <c r="BM62" s="481"/>
      <c r="BN62" s="481"/>
      <c r="BO62" s="481"/>
      <c r="BP62" s="481"/>
      <c r="BQ62" s="481"/>
      <c r="BR62" s="481"/>
      <c r="BS62" s="481"/>
      <c r="BT62" s="481"/>
      <c r="BU62" s="481"/>
      <c r="BV62" s="481"/>
      <c r="BW62" s="481"/>
      <c r="BX62" s="481"/>
      <c r="BY62" s="481"/>
      <c r="BZ62" s="481"/>
      <c r="CA62" s="481"/>
      <c r="CB62" s="481"/>
      <c r="CC62" s="481"/>
      <c r="CD62" s="481"/>
      <c r="CE62" s="481"/>
      <c r="CF62" s="481"/>
      <c r="CG62" s="481"/>
      <c r="CH62" s="481"/>
      <c r="CI62" s="481"/>
      <c r="CJ62" s="481"/>
      <c r="CK62" s="481"/>
      <c r="CL62" s="481"/>
      <c r="CM62" s="481"/>
      <c r="CN62" s="481"/>
      <c r="CO62" s="481"/>
      <c r="CP62" s="481"/>
      <c r="CQ62" s="481"/>
      <c r="CR62" s="481"/>
      <c r="CS62" s="481"/>
      <c r="CT62" s="481"/>
      <c r="CU62" s="481"/>
      <c r="CV62" s="481"/>
      <c r="CW62" s="481"/>
      <c r="CX62" s="481"/>
      <c r="CY62" s="481"/>
      <c r="CZ62" s="481"/>
      <c r="DA62" s="481"/>
      <c r="DB62" s="481"/>
      <c r="DC62" s="481"/>
    </row>
    <row r="63" spans="1:20" ht="12.75">
      <c r="A63" s="74" t="s">
        <v>588</v>
      </c>
      <c r="B63" s="485">
        <f>SUM(B64:B65)</f>
        <v>2884000</v>
      </c>
      <c r="C63" s="485">
        <f>SUM(C64:C65)</f>
        <v>975000</v>
      </c>
      <c r="D63" s="698">
        <f t="shared" si="6"/>
        <v>33.80721220527046</v>
      </c>
      <c r="E63" s="485">
        <f>SUM(E64:E65)</f>
        <v>1642000</v>
      </c>
      <c r="F63" s="485">
        <f>SUM(F64:F65)</f>
        <v>872000</v>
      </c>
      <c r="G63" s="698">
        <f t="shared" si="8"/>
        <v>53.10596833130329</v>
      </c>
      <c r="H63" s="485">
        <f>SUM(H64:H65)</f>
        <v>2880000</v>
      </c>
      <c r="I63" s="485">
        <f>SUM(I64:I65)</f>
        <v>1745000</v>
      </c>
      <c r="J63" s="698">
        <f t="shared" si="7"/>
        <v>60.59027777777778</v>
      </c>
      <c r="K63" s="74" t="s">
        <v>588</v>
      </c>
      <c r="L63" s="485">
        <v>2884</v>
      </c>
      <c r="M63" s="485">
        <v>975</v>
      </c>
      <c r="N63" s="698">
        <v>33.80721220527046</v>
      </c>
      <c r="O63" s="485">
        <v>1642</v>
      </c>
      <c r="P63" s="485">
        <v>872</v>
      </c>
      <c r="Q63" s="698">
        <v>53.10596833130329</v>
      </c>
      <c r="R63" s="485">
        <v>2880</v>
      </c>
      <c r="S63" s="485">
        <v>1745</v>
      </c>
      <c r="T63" s="698">
        <v>60.59027777777778</v>
      </c>
    </row>
    <row r="64" spans="1:107" s="482" customFormat="1" ht="12.75">
      <c r="A64" s="487" t="s">
        <v>927</v>
      </c>
      <c r="B64" s="27">
        <v>10000</v>
      </c>
      <c r="C64" s="27">
        <v>10000</v>
      </c>
      <c r="D64" s="699">
        <f t="shared" si="6"/>
        <v>100</v>
      </c>
      <c r="E64" s="27">
        <v>10000</v>
      </c>
      <c r="F64" s="27">
        <v>10000</v>
      </c>
      <c r="G64" s="699">
        <f t="shared" si="8"/>
        <v>100</v>
      </c>
      <c r="H64" s="27">
        <v>50000</v>
      </c>
      <c r="I64" s="27">
        <v>50000</v>
      </c>
      <c r="J64" s="699">
        <f t="shared" si="7"/>
        <v>100</v>
      </c>
      <c r="K64" s="487" t="s">
        <v>927</v>
      </c>
      <c r="L64" s="27">
        <v>10</v>
      </c>
      <c r="M64" s="27">
        <v>10</v>
      </c>
      <c r="N64" s="699">
        <v>100</v>
      </c>
      <c r="O64" s="27">
        <v>10</v>
      </c>
      <c r="P64" s="27">
        <v>10</v>
      </c>
      <c r="Q64" s="699">
        <v>100</v>
      </c>
      <c r="R64" s="27">
        <v>50</v>
      </c>
      <c r="S64" s="27">
        <v>50</v>
      </c>
      <c r="T64" s="699">
        <v>100</v>
      </c>
      <c r="U64" s="481"/>
      <c r="V64" s="481"/>
      <c r="W64" s="481"/>
      <c r="X64" s="481"/>
      <c r="Y64" s="481"/>
      <c r="Z64" s="481"/>
      <c r="AA64" s="481"/>
      <c r="AB64" s="481"/>
      <c r="AC64" s="481"/>
      <c r="AD64" s="481"/>
      <c r="AE64" s="481"/>
      <c r="AF64" s="481"/>
      <c r="AG64" s="481"/>
      <c r="AH64" s="481"/>
      <c r="AI64" s="481"/>
      <c r="AJ64" s="481"/>
      <c r="AK64" s="481"/>
      <c r="AL64" s="481"/>
      <c r="AM64" s="481"/>
      <c r="AN64" s="481"/>
      <c r="AO64" s="481"/>
      <c r="AP64" s="481"/>
      <c r="AQ64" s="481"/>
      <c r="AR64" s="481"/>
      <c r="AS64" s="481"/>
      <c r="AT64" s="481"/>
      <c r="AU64" s="481"/>
      <c r="AV64" s="481"/>
      <c r="AW64" s="481"/>
      <c r="AX64" s="481"/>
      <c r="AY64" s="481"/>
      <c r="AZ64" s="481"/>
      <c r="BA64" s="481"/>
      <c r="BB64" s="481"/>
      <c r="BC64" s="481"/>
      <c r="BD64" s="481"/>
      <c r="BE64" s="481"/>
      <c r="BF64" s="481"/>
      <c r="BG64" s="481"/>
      <c r="BH64" s="481"/>
      <c r="BI64" s="481"/>
      <c r="BJ64" s="481"/>
      <c r="BK64" s="481"/>
      <c r="BL64" s="481"/>
      <c r="BM64" s="481"/>
      <c r="BN64" s="481"/>
      <c r="BO64" s="481"/>
      <c r="BP64" s="481"/>
      <c r="BQ64" s="481"/>
      <c r="BR64" s="481"/>
      <c r="BS64" s="481"/>
      <c r="BT64" s="481"/>
      <c r="BU64" s="481"/>
      <c r="BV64" s="481"/>
      <c r="BW64" s="481"/>
      <c r="BX64" s="481"/>
      <c r="BY64" s="481"/>
      <c r="BZ64" s="481"/>
      <c r="CA64" s="481"/>
      <c r="CB64" s="481"/>
      <c r="CC64" s="481"/>
      <c r="CD64" s="481"/>
      <c r="CE64" s="481"/>
      <c r="CF64" s="481"/>
      <c r="CG64" s="481"/>
      <c r="CH64" s="481"/>
      <c r="CI64" s="481"/>
      <c r="CJ64" s="481"/>
      <c r="CK64" s="481"/>
      <c r="CL64" s="481"/>
      <c r="CM64" s="481"/>
      <c r="CN64" s="481"/>
      <c r="CO64" s="481"/>
      <c r="CP64" s="481"/>
      <c r="CQ64" s="481"/>
      <c r="CR64" s="481"/>
      <c r="CS64" s="481"/>
      <c r="CT64" s="481"/>
      <c r="CU64" s="481"/>
      <c r="CV64" s="481"/>
      <c r="CW64" s="481"/>
      <c r="CX64" s="481"/>
      <c r="CY64" s="481"/>
      <c r="CZ64" s="481"/>
      <c r="DA64" s="481"/>
      <c r="DB64" s="481"/>
      <c r="DC64" s="481"/>
    </row>
    <row r="65" spans="1:107" s="482" customFormat="1" ht="12.75">
      <c r="A65" s="487" t="s">
        <v>549</v>
      </c>
      <c r="B65" s="27">
        <v>2874000</v>
      </c>
      <c r="C65" s="27">
        <f>165000+800000</f>
        <v>965000</v>
      </c>
      <c r="D65" s="699">
        <f t="shared" si="6"/>
        <v>33.57689631176061</v>
      </c>
      <c r="E65" s="27">
        <v>1632000</v>
      </c>
      <c r="F65" s="27">
        <f>62000+800000</f>
        <v>862000</v>
      </c>
      <c r="G65" s="699">
        <f t="shared" si="8"/>
        <v>52.818627450980394</v>
      </c>
      <c r="H65" s="27">
        <v>2830000</v>
      </c>
      <c r="I65" s="27">
        <v>1695000</v>
      </c>
      <c r="J65" s="699">
        <f t="shared" si="7"/>
        <v>59.8939929328622</v>
      </c>
      <c r="K65" s="487" t="s">
        <v>549</v>
      </c>
      <c r="L65" s="27">
        <v>2874</v>
      </c>
      <c r="M65" s="27">
        <v>965</v>
      </c>
      <c r="N65" s="699">
        <v>33.57689631176061</v>
      </c>
      <c r="O65" s="27">
        <v>1632</v>
      </c>
      <c r="P65" s="27">
        <v>862</v>
      </c>
      <c r="Q65" s="699">
        <v>52.818627450980394</v>
      </c>
      <c r="R65" s="27">
        <v>2830</v>
      </c>
      <c r="S65" s="27">
        <v>1695</v>
      </c>
      <c r="T65" s="699">
        <v>59.8939929328622</v>
      </c>
      <c r="U65" s="481"/>
      <c r="V65" s="481"/>
      <c r="W65" s="481"/>
      <c r="X65" s="481"/>
      <c r="Y65" s="481"/>
      <c r="Z65" s="481"/>
      <c r="AA65" s="481"/>
      <c r="AB65" s="481"/>
      <c r="AC65" s="481"/>
      <c r="AD65" s="481"/>
      <c r="AE65" s="481"/>
      <c r="AF65" s="481"/>
      <c r="AG65" s="481"/>
      <c r="AH65" s="481"/>
      <c r="AI65" s="481"/>
      <c r="AJ65" s="481"/>
      <c r="AK65" s="481"/>
      <c r="AL65" s="481"/>
      <c r="AM65" s="481"/>
      <c r="AN65" s="481"/>
      <c r="AO65" s="481"/>
      <c r="AP65" s="481"/>
      <c r="AQ65" s="481"/>
      <c r="AR65" s="481"/>
      <c r="AS65" s="481"/>
      <c r="AT65" s="481"/>
      <c r="AU65" s="481"/>
      <c r="AV65" s="481"/>
      <c r="AW65" s="481"/>
      <c r="AX65" s="481"/>
      <c r="AY65" s="481"/>
      <c r="AZ65" s="481"/>
      <c r="BA65" s="481"/>
      <c r="BB65" s="481"/>
      <c r="BC65" s="481"/>
      <c r="BD65" s="481"/>
      <c r="BE65" s="481"/>
      <c r="BF65" s="481"/>
      <c r="BG65" s="481"/>
      <c r="BH65" s="481"/>
      <c r="BI65" s="481"/>
      <c r="BJ65" s="481"/>
      <c r="BK65" s="481"/>
      <c r="BL65" s="481"/>
      <c r="BM65" s="481"/>
      <c r="BN65" s="481"/>
      <c r="BO65" s="481"/>
      <c r="BP65" s="481"/>
      <c r="BQ65" s="481"/>
      <c r="BR65" s="481"/>
      <c r="BS65" s="481"/>
      <c r="BT65" s="481"/>
      <c r="BU65" s="481"/>
      <c r="BV65" s="481"/>
      <c r="BW65" s="481"/>
      <c r="BX65" s="481"/>
      <c r="BY65" s="481"/>
      <c r="BZ65" s="481"/>
      <c r="CA65" s="481"/>
      <c r="CB65" s="481"/>
      <c r="CC65" s="481"/>
      <c r="CD65" s="481"/>
      <c r="CE65" s="481"/>
      <c r="CF65" s="481"/>
      <c r="CG65" s="481"/>
      <c r="CH65" s="481"/>
      <c r="CI65" s="481"/>
      <c r="CJ65" s="481"/>
      <c r="CK65" s="481"/>
      <c r="CL65" s="481"/>
      <c r="CM65" s="481"/>
      <c r="CN65" s="481"/>
      <c r="CO65" s="481"/>
      <c r="CP65" s="481"/>
      <c r="CQ65" s="481"/>
      <c r="CR65" s="481"/>
      <c r="CS65" s="481"/>
      <c r="CT65" s="481"/>
      <c r="CU65" s="481"/>
      <c r="CV65" s="481"/>
      <c r="CW65" s="481"/>
      <c r="CX65" s="481"/>
      <c r="CY65" s="481"/>
      <c r="CZ65" s="481"/>
      <c r="DA65" s="481"/>
      <c r="DB65" s="481"/>
      <c r="DC65" s="481"/>
    </row>
    <row r="66" spans="1:20" s="696" customFormat="1" ht="12">
      <c r="A66" s="59" t="s">
        <v>266</v>
      </c>
      <c r="B66" s="485">
        <f>SUM(B67:B68)</f>
        <v>2105510</v>
      </c>
      <c r="C66" s="485">
        <f>SUM(C67:C68)</f>
        <v>0</v>
      </c>
      <c r="D66" s="698">
        <f t="shared" si="6"/>
        <v>0</v>
      </c>
      <c r="E66" s="485">
        <f>SUM(E67:E68)</f>
        <v>888660</v>
      </c>
      <c r="F66" s="485">
        <f>SUM(F67:F68)</f>
        <v>0</v>
      </c>
      <c r="G66" s="698">
        <f t="shared" si="8"/>
        <v>0</v>
      </c>
      <c r="H66" s="485">
        <f>SUM(H67:H68)</f>
        <v>618660</v>
      </c>
      <c r="I66" s="485">
        <f>SUM(I67:I68)</f>
        <v>0</v>
      </c>
      <c r="J66" s="698">
        <f t="shared" si="7"/>
        <v>0</v>
      </c>
      <c r="K66" s="59" t="s">
        <v>266</v>
      </c>
      <c r="L66" s="485">
        <v>2105</v>
      </c>
      <c r="M66" s="485">
        <v>0</v>
      </c>
      <c r="N66" s="698">
        <v>0</v>
      </c>
      <c r="O66" s="485">
        <v>889</v>
      </c>
      <c r="P66" s="485">
        <v>0</v>
      </c>
      <c r="Q66" s="698">
        <v>0</v>
      </c>
      <c r="R66" s="485">
        <v>619</v>
      </c>
      <c r="S66" s="485">
        <v>0</v>
      </c>
      <c r="T66" s="698">
        <v>0</v>
      </c>
    </row>
    <row r="67" spans="1:107" s="482" customFormat="1" ht="12.75">
      <c r="A67" s="487" t="s">
        <v>927</v>
      </c>
      <c r="B67" s="27">
        <v>390510</v>
      </c>
      <c r="C67" s="27"/>
      <c r="D67" s="699">
        <f t="shared" si="6"/>
        <v>0</v>
      </c>
      <c r="E67" s="27">
        <v>558660</v>
      </c>
      <c r="F67" s="27"/>
      <c r="G67" s="699">
        <f t="shared" si="8"/>
        <v>0</v>
      </c>
      <c r="H67" s="27">
        <v>558660</v>
      </c>
      <c r="I67" s="27"/>
      <c r="J67" s="699">
        <f t="shared" si="7"/>
        <v>0</v>
      </c>
      <c r="K67" s="487" t="s">
        <v>927</v>
      </c>
      <c r="L67" s="27">
        <v>390</v>
      </c>
      <c r="M67" s="27">
        <v>0</v>
      </c>
      <c r="N67" s="699">
        <v>0</v>
      </c>
      <c r="O67" s="27">
        <v>559</v>
      </c>
      <c r="P67" s="27">
        <v>0</v>
      </c>
      <c r="Q67" s="699">
        <v>0</v>
      </c>
      <c r="R67" s="27">
        <v>559</v>
      </c>
      <c r="S67" s="27">
        <v>0</v>
      </c>
      <c r="T67" s="699">
        <v>0</v>
      </c>
      <c r="U67" s="481"/>
      <c r="V67" s="481"/>
      <c r="W67" s="481"/>
      <c r="X67" s="481"/>
      <c r="Y67" s="481"/>
      <c r="Z67" s="481"/>
      <c r="AA67" s="481"/>
      <c r="AB67" s="481"/>
      <c r="AC67" s="481"/>
      <c r="AD67" s="481"/>
      <c r="AE67" s="481"/>
      <c r="AF67" s="481"/>
      <c r="AG67" s="481"/>
      <c r="AH67" s="481"/>
      <c r="AI67" s="481"/>
      <c r="AJ67" s="481"/>
      <c r="AK67" s="481"/>
      <c r="AL67" s="481"/>
      <c r="AM67" s="481"/>
      <c r="AN67" s="481"/>
      <c r="AO67" s="481"/>
      <c r="AP67" s="481"/>
      <c r="AQ67" s="481"/>
      <c r="AR67" s="481"/>
      <c r="AS67" s="481"/>
      <c r="AT67" s="481"/>
      <c r="AU67" s="481"/>
      <c r="AV67" s="481"/>
      <c r="AW67" s="481"/>
      <c r="AX67" s="481"/>
      <c r="AY67" s="481"/>
      <c r="AZ67" s="481"/>
      <c r="BA67" s="481"/>
      <c r="BB67" s="481"/>
      <c r="BC67" s="481"/>
      <c r="BD67" s="481"/>
      <c r="BE67" s="481"/>
      <c r="BF67" s="481"/>
      <c r="BG67" s="481"/>
      <c r="BH67" s="481"/>
      <c r="BI67" s="481"/>
      <c r="BJ67" s="481"/>
      <c r="BK67" s="481"/>
      <c r="BL67" s="481"/>
      <c r="BM67" s="481"/>
      <c r="BN67" s="481"/>
      <c r="BO67" s="481"/>
      <c r="BP67" s="481"/>
      <c r="BQ67" s="481"/>
      <c r="BR67" s="481"/>
      <c r="BS67" s="481"/>
      <c r="BT67" s="481"/>
      <c r="BU67" s="481"/>
      <c r="BV67" s="481"/>
      <c r="BW67" s="481"/>
      <c r="BX67" s="481"/>
      <c r="BY67" s="481"/>
      <c r="BZ67" s="481"/>
      <c r="CA67" s="481"/>
      <c r="CB67" s="481"/>
      <c r="CC67" s="481"/>
      <c r="CD67" s="481"/>
      <c r="CE67" s="481"/>
      <c r="CF67" s="481"/>
      <c r="CG67" s="481"/>
      <c r="CH67" s="481"/>
      <c r="CI67" s="481"/>
      <c r="CJ67" s="481"/>
      <c r="CK67" s="481"/>
      <c r="CL67" s="481"/>
      <c r="CM67" s="481"/>
      <c r="CN67" s="481"/>
      <c r="CO67" s="481"/>
      <c r="CP67" s="481"/>
      <c r="CQ67" s="481"/>
      <c r="CR67" s="481"/>
      <c r="CS67" s="481"/>
      <c r="CT67" s="481"/>
      <c r="CU67" s="481"/>
      <c r="CV67" s="481"/>
      <c r="CW67" s="481"/>
      <c r="CX67" s="481"/>
      <c r="CY67" s="481"/>
      <c r="CZ67" s="481"/>
      <c r="DA67" s="481"/>
      <c r="DB67" s="481"/>
      <c r="DC67" s="481"/>
    </row>
    <row r="68" spans="1:107" s="482" customFormat="1" ht="12.75">
      <c r="A68" s="487" t="s">
        <v>549</v>
      </c>
      <c r="B68" s="27">
        <v>1715000</v>
      </c>
      <c r="C68" s="27"/>
      <c r="D68" s="699">
        <f t="shared" si="6"/>
        <v>0</v>
      </c>
      <c r="E68" s="27">
        <v>330000</v>
      </c>
      <c r="F68" s="27"/>
      <c r="G68" s="699">
        <f t="shared" si="8"/>
        <v>0</v>
      </c>
      <c r="H68" s="27">
        <v>60000</v>
      </c>
      <c r="I68" s="27"/>
      <c r="J68" s="699">
        <f t="shared" si="7"/>
        <v>0</v>
      </c>
      <c r="K68" s="487" t="s">
        <v>549</v>
      </c>
      <c r="L68" s="27">
        <v>1715</v>
      </c>
      <c r="M68" s="27">
        <v>0</v>
      </c>
      <c r="N68" s="699">
        <v>0</v>
      </c>
      <c r="O68" s="27">
        <v>330</v>
      </c>
      <c r="P68" s="27">
        <v>0</v>
      </c>
      <c r="Q68" s="699">
        <v>0</v>
      </c>
      <c r="R68" s="27">
        <v>60</v>
      </c>
      <c r="S68" s="27">
        <v>0</v>
      </c>
      <c r="T68" s="699">
        <v>0</v>
      </c>
      <c r="U68" s="481"/>
      <c r="V68" s="481"/>
      <c r="W68" s="481"/>
      <c r="X68" s="481"/>
      <c r="Y68" s="481"/>
      <c r="Z68" s="481"/>
      <c r="AA68" s="481"/>
      <c r="AB68" s="481"/>
      <c r="AC68" s="481"/>
      <c r="AD68" s="481"/>
      <c r="AE68" s="481"/>
      <c r="AF68" s="481"/>
      <c r="AG68" s="481"/>
      <c r="AH68" s="481"/>
      <c r="AI68" s="481"/>
      <c r="AJ68" s="481"/>
      <c r="AK68" s="481"/>
      <c r="AL68" s="481"/>
      <c r="AM68" s="481"/>
      <c r="AN68" s="481"/>
      <c r="AO68" s="481"/>
      <c r="AP68" s="481"/>
      <c r="AQ68" s="481"/>
      <c r="AR68" s="481"/>
      <c r="AS68" s="481"/>
      <c r="AT68" s="481"/>
      <c r="AU68" s="481"/>
      <c r="AV68" s="481"/>
      <c r="AW68" s="481"/>
      <c r="AX68" s="481"/>
      <c r="AY68" s="481"/>
      <c r="AZ68" s="481"/>
      <c r="BA68" s="481"/>
      <c r="BB68" s="481"/>
      <c r="BC68" s="481"/>
      <c r="BD68" s="481"/>
      <c r="BE68" s="481"/>
      <c r="BF68" s="481"/>
      <c r="BG68" s="481"/>
      <c r="BH68" s="481"/>
      <c r="BI68" s="481"/>
      <c r="BJ68" s="481"/>
      <c r="BK68" s="481"/>
      <c r="BL68" s="481"/>
      <c r="BM68" s="481"/>
      <c r="BN68" s="481"/>
      <c r="BO68" s="481"/>
      <c r="BP68" s="481"/>
      <c r="BQ68" s="481"/>
      <c r="BR68" s="481"/>
      <c r="BS68" s="481"/>
      <c r="BT68" s="481"/>
      <c r="BU68" s="481"/>
      <c r="BV68" s="481"/>
      <c r="BW68" s="481"/>
      <c r="BX68" s="481"/>
      <c r="BY68" s="481"/>
      <c r="BZ68" s="481"/>
      <c r="CA68" s="481"/>
      <c r="CB68" s="481"/>
      <c r="CC68" s="481"/>
      <c r="CD68" s="481"/>
      <c r="CE68" s="481"/>
      <c r="CF68" s="481"/>
      <c r="CG68" s="481"/>
      <c r="CH68" s="481"/>
      <c r="CI68" s="481"/>
      <c r="CJ68" s="481"/>
      <c r="CK68" s="481"/>
      <c r="CL68" s="481"/>
      <c r="CM68" s="481"/>
      <c r="CN68" s="481"/>
      <c r="CO68" s="481"/>
      <c r="CP68" s="481"/>
      <c r="CQ68" s="481"/>
      <c r="CR68" s="481"/>
      <c r="CS68" s="481"/>
      <c r="CT68" s="481"/>
      <c r="CU68" s="481"/>
      <c r="CV68" s="481"/>
      <c r="CW68" s="481"/>
      <c r="CX68" s="481"/>
      <c r="CY68" s="481"/>
      <c r="CZ68" s="481"/>
      <c r="DA68" s="481"/>
      <c r="DB68" s="481"/>
      <c r="DC68" s="481"/>
    </row>
    <row r="69" spans="1:20" ht="12.75">
      <c r="A69" s="74" t="s">
        <v>930</v>
      </c>
      <c r="B69" s="485">
        <f>SUM(B70:B71)</f>
        <v>429090</v>
      </c>
      <c r="C69" s="485">
        <f>SUM(C70:C71)</f>
        <v>0</v>
      </c>
      <c r="D69" s="698">
        <f t="shared" si="6"/>
        <v>0</v>
      </c>
      <c r="E69" s="485">
        <f>SUM(E70:E71)</f>
        <v>429090</v>
      </c>
      <c r="F69" s="485">
        <f>SUM(F70:F71)</f>
        <v>0</v>
      </c>
      <c r="G69" s="698">
        <f t="shared" si="8"/>
        <v>0</v>
      </c>
      <c r="H69" s="485">
        <f>SUM(H70:H71)</f>
        <v>1853180</v>
      </c>
      <c r="I69" s="485">
        <f>SUM(I70:I71)</f>
        <v>0</v>
      </c>
      <c r="J69" s="698"/>
      <c r="K69" s="74" t="s">
        <v>930</v>
      </c>
      <c r="L69" s="485">
        <v>429</v>
      </c>
      <c r="M69" s="485">
        <v>0</v>
      </c>
      <c r="N69" s="698">
        <v>0</v>
      </c>
      <c r="O69" s="485">
        <v>429</v>
      </c>
      <c r="P69" s="485">
        <v>0</v>
      </c>
      <c r="Q69" s="698">
        <v>0</v>
      </c>
      <c r="R69" s="485">
        <v>1853</v>
      </c>
      <c r="S69" s="485">
        <v>0</v>
      </c>
      <c r="T69" s="698">
        <v>0</v>
      </c>
    </row>
    <row r="70" spans="1:107" s="482" customFormat="1" ht="12.75">
      <c r="A70" s="487" t="s">
        <v>927</v>
      </c>
      <c r="B70" s="27">
        <v>61090</v>
      </c>
      <c r="C70" s="27"/>
      <c r="D70" s="699">
        <f t="shared" si="6"/>
        <v>0</v>
      </c>
      <c r="E70" s="27">
        <v>61090</v>
      </c>
      <c r="F70" s="27"/>
      <c r="G70" s="699">
        <f t="shared" si="8"/>
        <v>0</v>
      </c>
      <c r="H70" s="27">
        <v>242180</v>
      </c>
      <c r="I70" s="27"/>
      <c r="J70" s="699"/>
      <c r="K70" s="487" t="s">
        <v>927</v>
      </c>
      <c r="L70" s="27">
        <v>61</v>
      </c>
      <c r="M70" s="27">
        <v>0</v>
      </c>
      <c r="N70" s="699">
        <v>0</v>
      </c>
      <c r="O70" s="27">
        <v>61</v>
      </c>
      <c r="P70" s="27">
        <v>0</v>
      </c>
      <c r="Q70" s="699">
        <v>0</v>
      </c>
      <c r="R70" s="27">
        <v>242</v>
      </c>
      <c r="S70" s="27">
        <v>0</v>
      </c>
      <c r="T70" s="699">
        <v>0</v>
      </c>
      <c r="U70" s="481"/>
      <c r="V70" s="481"/>
      <c r="W70" s="481"/>
      <c r="X70" s="481"/>
      <c r="Y70" s="481"/>
      <c r="Z70" s="481"/>
      <c r="AA70" s="481"/>
      <c r="AB70" s="481"/>
      <c r="AC70" s="481"/>
      <c r="AD70" s="481"/>
      <c r="AE70" s="481"/>
      <c r="AF70" s="481"/>
      <c r="AG70" s="481"/>
      <c r="AH70" s="481"/>
      <c r="AI70" s="481"/>
      <c r="AJ70" s="481"/>
      <c r="AK70" s="481"/>
      <c r="AL70" s="481"/>
      <c r="AM70" s="481"/>
      <c r="AN70" s="481"/>
      <c r="AO70" s="481"/>
      <c r="AP70" s="481"/>
      <c r="AQ70" s="481"/>
      <c r="AR70" s="481"/>
      <c r="AS70" s="481"/>
      <c r="AT70" s="481"/>
      <c r="AU70" s="481"/>
      <c r="AV70" s="481"/>
      <c r="AW70" s="481"/>
      <c r="AX70" s="481"/>
      <c r="AY70" s="481"/>
      <c r="AZ70" s="481"/>
      <c r="BA70" s="481"/>
      <c r="BB70" s="481"/>
      <c r="BC70" s="481"/>
      <c r="BD70" s="481"/>
      <c r="BE70" s="481"/>
      <c r="BF70" s="481"/>
      <c r="BG70" s="481"/>
      <c r="BH70" s="481"/>
      <c r="BI70" s="481"/>
      <c r="BJ70" s="481"/>
      <c r="BK70" s="481"/>
      <c r="BL70" s="481"/>
      <c r="BM70" s="481"/>
      <c r="BN70" s="481"/>
      <c r="BO70" s="481"/>
      <c r="BP70" s="481"/>
      <c r="BQ70" s="481"/>
      <c r="BR70" s="481"/>
      <c r="BS70" s="481"/>
      <c r="BT70" s="481"/>
      <c r="BU70" s="481"/>
      <c r="BV70" s="481"/>
      <c r="BW70" s="481"/>
      <c r="BX70" s="481"/>
      <c r="BY70" s="481"/>
      <c r="BZ70" s="481"/>
      <c r="CA70" s="481"/>
      <c r="CB70" s="481"/>
      <c r="CC70" s="481"/>
      <c r="CD70" s="481"/>
      <c r="CE70" s="481"/>
      <c r="CF70" s="481"/>
      <c r="CG70" s="481"/>
      <c r="CH70" s="481"/>
      <c r="CI70" s="481"/>
      <c r="CJ70" s="481"/>
      <c r="CK70" s="481"/>
      <c r="CL70" s="481"/>
      <c r="CM70" s="481"/>
      <c r="CN70" s="481"/>
      <c r="CO70" s="481"/>
      <c r="CP70" s="481"/>
      <c r="CQ70" s="481"/>
      <c r="CR70" s="481"/>
      <c r="CS70" s="481"/>
      <c r="CT70" s="481"/>
      <c r="CU70" s="481"/>
      <c r="CV70" s="481"/>
      <c r="CW70" s="481"/>
      <c r="CX70" s="481"/>
      <c r="CY70" s="481"/>
      <c r="CZ70" s="481"/>
      <c r="DA70" s="481"/>
      <c r="DB70" s="481"/>
      <c r="DC70" s="481"/>
    </row>
    <row r="71" spans="1:107" s="482" customFormat="1" ht="12.75">
      <c r="A71" s="487" t="s">
        <v>549</v>
      </c>
      <c r="B71" s="27">
        <v>368000</v>
      </c>
      <c r="C71" s="27"/>
      <c r="D71" s="699">
        <f t="shared" si="6"/>
        <v>0</v>
      </c>
      <c r="E71" s="27">
        <v>368000</v>
      </c>
      <c r="F71" s="27"/>
      <c r="G71" s="699">
        <f t="shared" si="8"/>
        <v>0</v>
      </c>
      <c r="H71" s="27">
        <v>1611000</v>
      </c>
      <c r="I71" s="27"/>
      <c r="J71" s="699"/>
      <c r="K71" s="487" t="s">
        <v>549</v>
      </c>
      <c r="L71" s="27">
        <v>368</v>
      </c>
      <c r="M71" s="27">
        <v>0</v>
      </c>
      <c r="N71" s="699">
        <v>0</v>
      </c>
      <c r="O71" s="27">
        <v>368</v>
      </c>
      <c r="P71" s="27">
        <v>0</v>
      </c>
      <c r="Q71" s="699">
        <v>0</v>
      </c>
      <c r="R71" s="27">
        <v>1611</v>
      </c>
      <c r="S71" s="27">
        <v>0</v>
      </c>
      <c r="T71" s="699">
        <v>0</v>
      </c>
      <c r="U71" s="481"/>
      <c r="V71" s="481"/>
      <c r="W71" s="481"/>
      <c r="X71" s="481"/>
      <c r="Y71" s="481"/>
      <c r="Z71" s="481"/>
      <c r="AA71" s="481"/>
      <c r="AB71" s="481"/>
      <c r="AC71" s="481"/>
      <c r="AD71" s="481"/>
      <c r="AE71" s="481"/>
      <c r="AF71" s="481"/>
      <c r="AG71" s="481"/>
      <c r="AH71" s="481"/>
      <c r="AI71" s="481"/>
      <c r="AJ71" s="481"/>
      <c r="AK71" s="481"/>
      <c r="AL71" s="481"/>
      <c r="AM71" s="481"/>
      <c r="AN71" s="481"/>
      <c r="AO71" s="481"/>
      <c r="AP71" s="481"/>
      <c r="AQ71" s="481"/>
      <c r="AR71" s="481"/>
      <c r="AS71" s="481"/>
      <c r="AT71" s="481"/>
      <c r="AU71" s="481"/>
      <c r="AV71" s="481"/>
      <c r="AW71" s="481"/>
      <c r="AX71" s="481"/>
      <c r="AY71" s="481"/>
      <c r="AZ71" s="481"/>
      <c r="BA71" s="481"/>
      <c r="BB71" s="481"/>
      <c r="BC71" s="481"/>
      <c r="BD71" s="481"/>
      <c r="BE71" s="481"/>
      <c r="BF71" s="481"/>
      <c r="BG71" s="481"/>
      <c r="BH71" s="481"/>
      <c r="BI71" s="481"/>
      <c r="BJ71" s="481"/>
      <c r="BK71" s="481"/>
      <c r="BL71" s="481"/>
      <c r="BM71" s="481"/>
      <c r="BN71" s="481"/>
      <c r="BO71" s="481"/>
      <c r="BP71" s="481"/>
      <c r="BQ71" s="481"/>
      <c r="BR71" s="481"/>
      <c r="BS71" s="481"/>
      <c r="BT71" s="481"/>
      <c r="BU71" s="481"/>
      <c r="BV71" s="481"/>
      <c r="BW71" s="481"/>
      <c r="BX71" s="481"/>
      <c r="BY71" s="481"/>
      <c r="BZ71" s="481"/>
      <c r="CA71" s="481"/>
      <c r="CB71" s="481"/>
      <c r="CC71" s="481"/>
      <c r="CD71" s="481"/>
      <c r="CE71" s="481"/>
      <c r="CF71" s="481"/>
      <c r="CG71" s="481"/>
      <c r="CH71" s="481"/>
      <c r="CI71" s="481"/>
      <c r="CJ71" s="481"/>
      <c r="CK71" s="481"/>
      <c r="CL71" s="481"/>
      <c r="CM71" s="481"/>
      <c r="CN71" s="481"/>
      <c r="CO71" s="481"/>
      <c r="CP71" s="481"/>
      <c r="CQ71" s="481"/>
      <c r="CR71" s="481"/>
      <c r="CS71" s="481"/>
      <c r="CT71" s="481"/>
      <c r="CU71" s="481"/>
      <c r="CV71" s="481"/>
      <c r="CW71" s="481"/>
      <c r="CX71" s="481"/>
      <c r="CY71" s="481"/>
      <c r="CZ71" s="481"/>
      <c r="DA71" s="481"/>
      <c r="DB71" s="481"/>
      <c r="DC71" s="481"/>
    </row>
    <row r="72" spans="1:20" ht="12.75">
      <c r="A72" s="74" t="s">
        <v>270</v>
      </c>
      <c r="B72" s="485">
        <f>SUM(B73:B76)</f>
        <v>174585</v>
      </c>
      <c r="C72" s="485">
        <f>SUM(C73:C76)</f>
        <v>0</v>
      </c>
      <c r="D72" s="698">
        <f t="shared" si="6"/>
        <v>0</v>
      </c>
      <c r="E72" s="485">
        <f>SUM(E73:E76)</f>
        <v>159876</v>
      </c>
      <c r="F72" s="485">
        <f>SUM(F73:F76)</f>
        <v>0</v>
      </c>
      <c r="G72" s="698">
        <f t="shared" si="8"/>
        <v>0</v>
      </c>
      <c r="H72" s="485">
        <f>SUM(H73:H76)</f>
        <v>1268784</v>
      </c>
      <c r="I72" s="485">
        <f>SUM(I73:I76)</f>
        <v>0</v>
      </c>
      <c r="J72" s="698">
        <f>I72/H72*100</f>
        <v>0</v>
      </c>
      <c r="K72" s="74" t="s">
        <v>270</v>
      </c>
      <c r="L72" s="485">
        <v>174</v>
      </c>
      <c r="M72" s="485">
        <v>0</v>
      </c>
      <c r="N72" s="698">
        <v>0</v>
      </c>
      <c r="O72" s="485">
        <v>159</v>
      </c>
      <c r="P72" s="485">
        <v>0</v>
      </c>
      <c r="Q72" s="698">
        <v>0</v>
      </c>
      <c r="R72" s="485">
        <v>1269</v>
      </c>
      <c r="S72" s="485">
        <v>0</v>
      </c>
      <c r="T72" s="698">
        <v>0</v>
      </c>
    </row>
    <row r="73" spans="1:107" s="482" customFormat="1" ht="12.75">
      <c r="A73" s="487" t="s">
        <v>926</v>
      </c>
      <c r="B73" s="27">
        <v>103272</v>
      </c>
      <c r="C73" s="27"/>
      <c r="D73" s="699">
        <f t="shared" si="6"/>
        <v>0</v>
      </c>
      <c r="E73" s="27">
        <v>103272</v>
      </c>
      <c r="F73" s="27"/>
      <c r="G73" s="699">
        <f t="shared" si="8"/>
        <v>0</v>
      </c>
      <c r="H73" s="27">
        <v>820548</v>
      </c>
      <c r="I73" s="27"/>
      <c r="J73" s="699">
        <f>I73/H73*100</f>
        <v>0</v>
      </c>
      <c r="K73" s="487" t="s">
        <v>926</v>
      </c>
      <c r="L73" s="27">
        <v>103</v>
      </c>
      <c r="M73" s="27">
        <v>0</v>
      </c>
      <c r="N73" s="699">
        <v>0</v>
      </c>
      <c r="O73" s="27">
        <v>103</v>
      </c>
      <c r="P73" s="27">
        <v>0</v>
      </c>
      <c r="Q73" s="699">
        <v>0</v>
      </c>
      <c r="R73" s="27">
        <v>821</v>
      </c>
      <c r="S73" s="27">
        <v>0</v>
      </c>
      <c r="T73" s="699">
        <v>0</v>
      </c>
      <c r="U73" s="481"/>
      <c r="V73" s="481"/>
      <c r="W73" s="481"/>
      <c r="X73" s="481"/>
      <c r="Y73" s="481"/>
      <c r="Z73" s="481"/>
      <c r="AA73" s="481"/>
      <c r="AB73" s="481"/>
      <c r="AC73" s="481"/>
      <c r="AD73" s="481"/>
      <c r="AE73" s="481"/>
      <c r="AF73" s="481"/>
      <c r="AG73" s="481"/>
      <c r="AH73" s="481"/>
      <c r="AI73" s="481"/>
      <c r="AJ73" s="481"/>
      <c r="AK73" s="481"/>
      <c r="AL73" s="481"/>
      <c r="AM73" s="481"/>
      <c r="AN73" s="481"/>
      <c r="AO73" s="481"/>
      <c r="AP73" s="481"/>
      <c r="AQ73" s="481"/>
      <c r="AR73" s="481"/>
      <c r="AS73" s="481"/>
      <c r="AT73" s="481"/>
      <c r="AU73" s="481"/>
      <c r="AV73" s="481"/>
      <c r="AW73" s="481"/>
      <c r="AX73" s="481"/>
      <c r="AY73" s="481"/>
      <c r="AZ73" s="481"/>
      <c r="BA73" s="481"/>
      <c r="BB73" s="481"/>
      <c r="BC73" s="481"/>
      <c r="BD73" s="481"/>
      <c r="BE73" s="481"/>
      <c r="BF73" s="481"/>
      <c r="BG73" s="481"/>
      <c r="BH73" s="481"/>
      <c r="BI73" s="481"/>
      <c r="BJ73" s="481"/>
      <c r="BK73" s="481"/>
      <c r="BL73" s="481"/>
      <c r="BM73" s="481"/>
      <c r="BN73" s="481"/>
      <c r="BO73" s="481"/>
      <c r="BP73" s="481"/>
      <c r="BQ73" s="481"/>
      <c r="BR73" s="481"/>
      <c r="BS73" s="481"/>
      <c r="BT73" s="481"/>
      <c r="BU73" s="481"/>
      <c r="BV73" s="481"/>
      <c r="BW73" s="481"/>
      <c r="BX73" s="481"/>
      <c r="BY73" s="481"/>
      <c r="BZ73" s="481"/>
      <c r="CA73" s="481"/>
      <c r="CB73" s="481"/>
      <c r="CC73" s="481"/>
      <c r="CD73" s="481"/>
      <c r="CE73" s="481"/>
      <c r="CF73" s="481"/>
      <c r="CG73" s="481"/>
      <c r="CH73" s="481"/>
      <c r="CI73" s="481"/>
      <c r="CJ73" s="481"/>
      <c r="CK73" s="481"/>
      <c r="CL73" s="481"/>
      <c r="CM73" s="481"/>
      <c r="CN73" s="481"/>
      <c r="CO73" s="481"/>
      <c r="CP73" s="481"/>
      <c r="CQ73" s="481"/>
      <c r="CR73" s="481"/>
      <c r="CS73" s="481"/>
      <c r="CT73" s="481"/>
      <c r="CU73" s="481"/>
      <c r="CV73" s="481"/>
      <c r="CW73" s="481"/>
      <c r="CX73" s="481"/>
      <c r="CY73" s="481"/>
      <c r="CZ73" s="481"/>
      <c r="DA73" s="481"/>
      <c r="DB73" s="481"/>
      <c r="DC73" s="481"/>
    </row>
    <row r="74" spans="1:107" s="482" customFormat="1" ht="12.75">
      <c r="A74" s="487" t="s">
        <v>320</v>
      </c>
      <c r="B74" s="27">
        <v>58103</v>
      </c>
      <c r="C74" s="27"/>
      <c r="D74" s="699">
        <f t="shared" si="6"/>
        <v>0</v>
      </c>
      <c r="E74" s="27">
        <v>54394</v>
      </c>
      <c r="F74" s="27"/>
      <c r="G74" s="699">
        <f t="shared" si="8"/>
        <v>0</v>
      </c>
      <c r="H74" s="27">
        <v>437186</v>
      </c>
      <c r="I74" s="27"/>
      <c r="J74" s="699">
        <f>I74/H74*100</f>
        <v>0</v>
      </c>
      <c r="K74" s="487" t="s">
        <v>320</v>
      </c>
      <c r="L74" s="27">
        <v>58</v>
      </c>
      <c r="M74" s="27">
        <v>0</v>
      </c>
      <c r="N74" s="699">
        <v>0</v>
      </c>
      <c r="O74" s="27">
        <v>54</v>
      </c>
      <c r="P74" s="27">
        <v>0</v>
      </c>
      <c r="Q74" s="699">
        <v>0</v>
      </c>
      <c r="R74" s="27">
        <v>437</v>
      </c>
      <c r="S74" s="27">
        <v>0</v>
      </c>
      <c r="T74" s="699">
        <v>0</v>
      </c>
      <c r="U74" s="481"/>
      <c r="V74" s="481"/>
      <c r="W74" s="481"/>
      <c r="X74" s="481"/>
      <c r="Y74" s="481"/>
      <c r="Z74" s="481"/>
      <c r="AA74" s="481"/>
      <c r="AB74" s="481"/>
      <c r="AC74" s="481"/>
      <c r="AD74" s="481"/>
      <c r="AE74" s="481"/>
      <c r="AF74" s="481"/>
      <c r="AG74" s="481"/>
      <c r="AH74" s="481"/>
      <c r="AI74" s="481"/>
      <c r="AJ74" s="481"/>
      <c r="AK74" s="481"/>
      <c r="AL74" s="481"/>
      <c r="AM74" s="481"/>
      <c r="AN74" s="481"/>
      <c r="AO74" s="481"/>
      <c r="AP74" s="481"/>
      <c r="AQ74" s="481"/>
      <c r="AR74" s="481"/>
      <c r="AS74" s="481"/>
      <c r="AT74" s="481"/>
      <c r="AU74" s="481"/>
      <c r="AV74" s="481"/>
      <c r="AW74" s="481"/>
      <c r="AX74" s="481"/>
      <c r="AY74" s="481"/>
      <c r="AZ74" s="481"/>
      <c r="BA74" s="481"/>
      <c r="BB74" s="481"/>
      <c r="BC74" s="481"/>
      <c r="BD74" s="481"/>
      <c r="BE74" s="481"/>
      <c r="BF74" s="481"/>
      <c r="BG74" s="481"/>
      <c r="BH74" s="481"/>
      <c r="BI74" s="481"/>
      <c r="BJ74" s="481"/>
      <c r="BK74" s="481"/>
      <c r="BL74" s="481"/>
      <c r="BM74" s="481"/>
      <c r="BN74" s="481"/>
      <c r="BO74" s="481"/>
      <c r="BP74" s="481"/>
      <c r="BQ74" s="481"/>
      <c r="BR74" s="481"/>
      <c r="BS74" s="481"/>
      <c r="BT74" s="481"/>
      <c r="BU74" s="481"/>
      <c r="BV74" s="481"/>
      <c r="BW74" s="481"/>
      <c r="BX74" s="481"/>
      <c r="BY74" s="481"/>
      <c r="BZ74" s="481"/>
      <c r="CA74" s="481"/>
      <c r="CB74" s="481"/>
      <c r="CC74" s="481"/>
      <c r="CD74" s="481"/>
      <c r="CE74" s="481"/>
      <c r="CF74" s="481"/>
      <c r="CG74" s="481"/>
      <c r="CH74" s="481"/>
      <c r="CI74" s="481"/>
      <c r="CJ74" s="481"/>
      <c r="CK74" s="481"/>
      <c r="CL74" s="481"/>
      <c r="CM74" s="481"/>
      <c r="CN74" s="481"/>
      <c r="CO74" s="481"/>
      <c r="CP74" s="481"/>
      <c r="CQ74" s="481"/>
      <c r="CR74" s="481"/>
      <c r="CS74" s="481"/>
      <c r="CT74" s="481"/>
      <c r="CU74" s="481"/>
      <c r="CV74" s="481"/>
      <c r="CW74" s="481"/>
      <c r="CX74" s="481"/>
      <c r="CY74" s="481"/>
      <c r="CZ74" s="481"/>
      <c r="DA74" s="481"/>
      <c r="DB74" s="481"/>
      <c r="DC74" s="481"/>
    </row>
    <row r="75" spans="1:107" s="482" customFormat="1" ht="12.75">
      <c r="A75" s="487" t="s">
        <v>927</v>
      </c>
      <c r="B75" s="27">
        <v>2210</v>
      </c>
      <c r="C75" s="27"/>
      <c r="D75" s="699">
        <f t="shared" si="6"/>
        <v>0</v>
      </c>
      <c r="E75" s="27">
        <v>2210</v>
      </c>
      <c r="F75" s="27"/>
      <c r="G75" s="699">
        <f t="shared" si="8"/>
        <v>0</v>
      </c>
      <c r="H75" s="27">
        <v>11050</v>
      </c>
      <c r="I75" s="27"/>
      <c r="J75" s="699">
        <f>I75/H75*100</f>
        <v>0</v>
      </c>
      <c r="K75" s="487" t="s">
        <v>927</v>
      </c>
      <c r="L75" s="27">
        <v>2</v>
      </c>
      <c r="M75" s="27">
        <v>0</v>
      </c>
      <c r="N75" s="699">
        <v>0</v>
      </c>
      <c r="O75" s="27">
        <v>2</v>
      </c>
      <c r="P75" s="27">
        <v>0</v>
      </c>
      <c r="Q75" s="699">
        <v>0</v>
      </c>
      <c r="R75" s="27">
        <v>11</v>
      </c>
      <c r="S75" s="27">
        <v>0</v>
      </c>
      <c r="T75" s="699">
        <v>0</v>
      </c>
      <c r="U75" s="481"/>
      <c r="V75" s="481"/>
      <c r="W75" s="481"/>
      <c r="X75" s="481"/>
      <c r="Y75" s="481"/>
      <c r="Z75" s="481"/>
      <c r="AA75" s="481"/>
      <c r="AB75" s="481"/>
      <c r="AC75" s="481"/>
      <c r="AD75" s="481"/>
      <c r="AE75" s="481"/>
      <c r="AF75" s="481"/>
      <c r="AG75" s="481"/>
      <c r="AH75" s="481"/>
      <c r="AI75" s="481"/>
      <c r="AJ75" s="481"/>
      <c r="AK75" s="481"/>
      <c r="AL75" s="481"/>
      <c r="AM75" s="481"/>
      <c r="AN75" s="481"/>
      <c r="AO75" s="481"/>
      <c r="AP75" s="481"/>
      <c r="AQ75" s="481"/>
      <c r="AR75" s="481"/>
      <c r="AS75" s="481"/>
      <c r="AT75" s="481"/>
      <c r="AU75" s="481"/>
      <c r="AV75" s="481"/>
      <c r="AW75" s="481"/>
      <c r="AX75" s="481"/>
      <c r="AY75" s="481"/>
      <c r="AZ75" s="481"/>
      <c r="BA75" s="481"/>
      <c r="BB75" s="481"/>
      <c r="BC75" s="481"/>
      <c r="BD75" s="481"/>
      <c r="BE75" s="481"/>
      <c r="BF75" s="481"/>
      <c r="BG75" s="481"/>
      <c r="BH75" s="481"/>
      <c r="BI75" s="481"/>
      <c r="BJ75" s="481"/>
      <c r="BK75" s="481"/>
      <c r="BL75" s="481"/>
      <c r="BM75" s="481"/>
      <c r="BN75" s="481"/>
      <c r="BO75" s="481"/>
      <c r="BP75" s="481"/>
      <c r="BQ75" s="481"/>
      <c r="BR75" s="481"/>
      <c r="BS75" s="481"/>
      <c r="BT75" s="481"/>
      <c r="BU75" s="481"/>
      <c r="BV75" s="481"/>
      <c r="BW75" s="481"/>
      <c r="BX75" s="481"/>
      <c r="BY75" s="481"/>
      <c r="BZ75" s="481"/>
      <c r="CA75" s="481"/>
      <c r="CB75" s="481"/>
      <c r="CC75" s="481"/>
      <c r="CD75" s="481"/>
      <c r="CE75" s="481"/>
      <c r="CF75" s="481"/>
      <c r="CG75" s="481"/>
      <c r="CH75" s="481"/>
      <c r="CI75" s="481"/>
      <c r="CJ75" s="481"/>
      <c r="CK75" s="481"/>
      <c r="CL75" s="481"/>
      <c r="CM75" s="481"/>
      <c r="CN75" s="481"/>
      <c r="CO75" s="481"/>
      <c r="CP75" s="481"/>
      <c r="CQ75" s="481"/>
      <c r="CR75" s="481"/>
      <c r="CS75" s="481"/>
      <c r="CT75" s="481"/>
      <c r="CU75" s="481"/>
      <c r="CV75" s="481"/>
      <c r="CW75" s="481"/>
      <c r="CX75" s="481"/>
      <c r="CY75" s="481"/>
      <c r="CZ75" s="481"/>
      <c r="DA75" s="481"/>
      <c r="DB75" s="481"/>
      <c r="DC75" s="481"/>
    </row>
    <row r="76" spans="1:107" s="482" customFormat="1" ht="12.75">
      <c r="A76" s="487" t="s">
        <v>549</v>
      </c>
      <c r="B76" s="27">
        <v>11000</v>
      </c>
      <c r="C76" s="27"/>
      <c r="D76" s="699">
        <f aca="true" t="shared" si="9" ref="D76:D86">C76/B76*100</f>
        <v>0</v>
      </c>
      <c r="E76" s="27"/>
      <c r="F76" s="27"/>
      <c r="G76" s="699"/>
      <c r="H76" s="27"/>
      <c r="I76" s="27"/>
      <c r="J76" s="699"/>
      <c r="K76" s="487" t="s">
        <v>549</v>
      </c>
      <c r="L76" s="27">
        <v>11</v>
      </c>
      <c r="M76" s="27">
        <v>0</v>
      </c>
      <c r="N76" s="699">
        <v>0</v>
      </c>
      <c r="O76" s="27">
        <v>0</v>
      </c>
      <c r="P76" s="27">
        <v>0</v>
      </c>
      <c r="Q76" s="699"/>
      <c r="R76" s="27">
        <v>0</v>
      </c>
      <c r="S76" s="27">
        <v>0</v>
      </c>
      <c r="T76" s="699"/>
      <c r="U76" s="481"/>
      <c r="V76" s="481"/>
      <c r="W76" s="481"/>
      <c r="X76" s="481"/>
      <c r="Y76" s="481"/>
      <c r="Z76" s="481"/>
      <c r="AA76" s="481"/>
      <c r="AB76" s="481"/>
      <c r="AC76" s="481"/>
      <c r="AD76" s="481"/>
      <c r="AE76" s="481"/>
      <c r="AF76" s="481"/>
      <c r="AG76" s="481"/>
      <c r="AH76" s="481"/>
      <c r="AI76" s="481"/>
      <c r="AJ76" s="481"/>
      <c r="AK76" s="481"/>
      <c r="AL76" s="481"/>
      <c r="AM76" s="481"/>
      <c r="AN76" s="481"/>
      <c r="AO76" s="481"/>
      <c r="AP76" s="481"/>
      <c r="AQ76" s="481"/>
      <c r="AR76" s="481"/>
      <c r="AS76" s="481"/>
      <c r="AT76" s="481"/>
      <c r="AU76" s="481"/>
      <c r="AV76" s="481"/>
      <c r="AW76" s="481"/>
      <c r="AX76" s="481"/>
      <c r="AY76" s="481"/>
      <c r="AZ76" s="481"/>
      <c r="BA76" s="481"/>
      <c r="BB76" s="481"/>
      <c r="BC76" s="481"/>
      <c r="BD76" s="481"/>
      <c r="BE76" s="481"/>
      <c r="BF76" s="481"/>
      <c r="BG76" s="481"/>
      <c r="BH76" s="481"/>
      <c r="BI76" s="481"/>
      <c r="BJ76" s="481"/>
      <c r="BK76" s="481"/>
      <c r="BL76" s="481"/>
      <c r="BM76" s="481"/>
      <c r="BN76" s="481"/>
      <c r="BO76" s="481"/>
      <c r="BP76" s="481"/>
      <c r="BQ76" s="481"/>
      <c r="BR76" s="481"/>
      <c r="BS76" s="481"/>
      <c r="BT76" s="481"/>
      <c r="BU76" s="481"/>
      <c r="BV76" s="481"/>
      <c r="BW76" s="481"/>
      <c r="BX76" s="481"/>
      <c r="BY76" s="481"/>
      <c r="BZ76" s="481"/>
      <c r="CA76" s="481"/>
      <c r="CB76" s="481"/>
      <c r="CC76" s="481"/>
      <c r="CD76" s="481"/>
      <c r="CE76" s="481"/>
      <c r="CF76" s="481"/>
      <c r="CG76" s="481"/>
      <c r="CH76" s="481"/>
      <c r="CI76" s="481"/>
      <c r="CJ76" s="481"/>
      <c r="CK76" s="481"/>
      <c r="CL76" s="481"/>
      <c r="CM76" s="481"/>
      <c r="CN76" s="481"/>
      <c r="CO76" s="481"/>
      <c r="CP76" s="481"/>
      <c r="CQ76" s="481"/>
      <c r="CR76" s="481"/>
      <c r="CS76" s="481"/>
      <c r="CT76" s="481"/>
      <c r="CU76" s="481"/>
      <c r="CV76" s="481"/>
      <c r="CW76" s="481"/>
      <c r="CX76" s="481"/>
      <c r="CY76" s="481"/>
      <c r="CZ76" s="481"/>
      <c r="DA76" s="481"/>
      <c r="DB76" s="481"/>
      <c r="DC76" s="481"/>
    </row>
    <row r="77" spans="1:20" ht="12.75">
      <c r="A77" s="74" t="s">
        <v>272</v>
      </c>
      <c r="B77" s="485">
        <f>SUM(B78)</f>
        <v>500</v>
      </c>
      <c r="C77" s="485">
        <f>SUM(C78)</f>
        <v>0</v>
      </c>
      <c r="D77" s="698">
        <f t="shared" si="9"/>
        <v>0</v>
      </c>
      <c r="E77" s="485">
        <f>SUM(E78)</f>
        <v>500</v>
      </c>
      <c r="F77" s="485">
        <f>SUM(F78)</f>
        <v>0</v>
      </c>
      <c r="G77" s="698">
        <f aca="true" t="shared" si="10" ref="G77:G86">F77/E77*100</f>
        <v>0</v>
      </c>
      <c r="H77" s="485">
        <f>SUM(H78)</f>
        <v>1000</v>
      </c>
      <c r="I77" s="485">
        <f>SUM(I78)</f>
        <v>0</v>
      </c>
      <c r="J77" s="698">
        <f aca="true" t="shared" si="11" ref="J77:J86">I77/H77*100</f>
        <v>0</v>
      </c>
      <c r="K77" s="74" t="s">
        <v>272</v>
      </c>
      <c r="L77" s="485">
        <v>1</v>
      </c>
      <c r="M77" s="485">
        <v>0</v>
      </c>
      <c r="N77" s="698">
        <v>0</v>
      </c>
      <c r="O77" s="485">
        <v>1</v>
      </c>
      <c r="P77" s="485">
        <v>0</v>
      </c>
      <c r="Q77" s="698">
        <v>0</v>
      </c>
      <c r="R77" s="485">
        <v>1</v>
      </c>
      <c r="S77" s="485">
        <v>0</v>
      </c>
      <c r="T77" s="698">
        <v>0</v>
      </c>
    </row>
    <row r="78" spans="1:107" s="482" customFormat="1" ht="12.75">
      <c r="A78" s="487" t="s">
        <v>927</v>
      </c>
      <c r="B78" s="27">
        <v>500</v>
      </c>
      <c r="C78" s="27"/>
      <c r="D78" s="699">
        <f t="shared" si="9"/>
        <v>0</v>
      </c>
      <c r="E78" s="27">
        <v>500</v>
      </c>
      <c r="F78" s="27"/>
      <c r="G78" s="699">
        <f t="shared" si="10"/>
        <v>0</v>
      </c>
      <c r="H78" s="27">
        <v>1000</v>
      </c>
      <c r="I78" s="27"/>
      <c r="J78" s="699">
        <f t="shared" si="11"/>
        <v>0</v>
      </c>
      <c r="K78" s="487" t="s">
        <v>927</v>
      </c>
      <c r="L78" s="27">
        <v>1</v>
      </c>
      <c r="M78" s="27">
        <v>0</v>
      </c>
      <c r="N78" s="699">
        <v>0</v>
      </c>
      <c r="O78" s="27">
        <v>1</v>
      </c>
      <c r="P78" s="27">
        <v>0</v>
      </c>
      <c r="Q78" s="699">
        <v>0</v>
      </c>
      <c r="R78" s="27">
        <v>1</v>
      </c>
      <c r="S78" s="27">
        <v>0</v>
      </c>
      <c r="T78" s="699">
        <v>0</v>
      </c>
      <c r="U78" s="481"/>
      <c r="V78" s="481"/>
      <c r="W78" s="481"/>
      <c r="X78" s="481"/>
      <c r="Y78" s="481"/>
      <c r="Z78" s="481"/>
      <c r="AA78" s="481"/>
      <c r="AB78" s="481"/>
      <c r="AC78" s="481"/>
      <c r="AD78" s="481"/>
      <c r="AE78" s="481"/>
      <c r="AF78" s="481"/>
      <c r="AG78" s="481"/>
      <c r="AH78" s="481"/>
      <c r="AI78" s="481"/>
      <c r="AJ78" s="481"/>
      <c r="AK78" s="481"/>
      <c r="AL78" s="481"/>
      <c r="AM78" s="481"/>
      <c r="AN78" s="481"/>
      <c r="AO78" s="481"/>
      <c r="AP78" s="481"/>
      <c r="AQ78" s="481"/>
      <c r="AR78" s="481"/>
      <c r="AS78" s="481"/>
      <c r="AT78" s="481"/>
      <c r="AU78" s="481"/>
      <c r="AV78" s="481"/>
      <c r="AW78" s="481"/>
      <c r="AX78" s="481"/>
      <c r="AY78" s="481"/>
      <c r="AZ78" s="481"/>
      <c r="BA78" s="481"/>
      <c r="BB78" s="481"/>
      <c r="BC78" s="481"/>
      <c r="BD78" s="481"/>
      <c r="BE78" s="481"/>
      <c r="BF78" s="481"/>
      <c r="BG78" s="481"/>
      <c r="BH78" s="481"/>
      <c r="BI78" s="481"/>
      <c r="BJ78" s="481"/>
      <c r="BK78" s="481"/>
      <c r="BL78" s="481"/>
      <c r="BM78" s="481"/>
      <c r="BN78" s="481"/>
      <c r="BO78" s="481"/>
      <c r="BP78" s="481"/>
      <c r="BQ78" s="481"/>
      <c r="BR78" s="481"/>
      <c r="BS78" s="481"/>
      <c r="BT78" s="481"/>
      <c r="BU78" s="481"/>
      <c r="BV78" s="481"/>
      <c r="BW78" s="481"/>
      <c r="BX78" s="481"/>
      <c r="BY78" s="481"/>
      <c r="BZ78" s="481"/>
      <c r="CA78" s="481"/>
      <c r="CB78" s="481"/>
      <c r="CC78" s="481"/>
      <c r="CD78" s="481"/>
      <c r="CE78" s="481"/>
      <c r="CF78" s="481"/>
      <c r="CG78" s="481"/>
      <c r="CH78" s="481"/>
      <c r="CI78" s="481"/>
      <c r="CJ78" s="481"/>
      <c r="CK78" s="481"/>
      <c r="CL78" s="481"/>
      <c r="CM78" s="481"/>
      <c r="CN78" s="481"/>
      <c r="CO78" s="481"/>
      <c r="CP78" s="481"/>
      <c r="CQ78" s="481"/>
      <c r="CR78" s="481"/>
      <c r="CS78" s="481"/>
      <c r="CT78" s="481"/>
      <c r="CU78" s="481"/>
      <c r="CV78" s="481"/>
      <c r="CW78" s="481"/>
      <c r="CX78" s="481"/>
      <c r="CY78" s="481"/>
      <c r="CZ78" s="481"/>
      <c r="DA78" s="481"/>
      <c r="DB78" s="481"/>
      <c r="DC78" s="481"/>
    </row>
    <row r="79" spans="1:20" ht="12.75">
      <c r="A79" s="74" t="s">
        <v>280</v>
      </c>
      <c r="B79" s="485">
        <f>SUM(B80)</f>
        <v>600</v>
      </c>
      <c r="C79" s="485">
        <f>SUM(C80)</f>
        <v>0</v>
      </c>
      <c r="D79" s="698">
        <f t="shared" si="9"/>
        <v>0</v>
      </c>
      <c r="E79" s="485">
        <f>SUM(E80)</f>
        <v>600</v>
      </c>
      <c r="F79" s="485">
        <f>SUM(F80)</f>
        <v>0</v>
      </c>
      <c r="G79" s="698">
        <f t="shared" si="10"/>
        <v>0</v>
      </c>
      <c r="H79" s="485">
        <f>SUM(H80)</f>
        <v>0</v>
      </c>
      <c r="I79" s="485">
        <f>SUM(I80)</f>
        <v>0</v>
      </c>
      <c r="J79" s="699" t="e">
        <f t="shared" si="11"/>
        <v>#DIV/0!</v>
      </c>
      <c r="K79" s="74" t="s">
        <v>280</v>
      </c>
      <c r="L79" s="485">
        <v>1</v>
      </c>
      <c r="M79" s="485">
        <v>0</v>
      </c>
      <c r="N79" s="698">
        <v>0</v>
      </c>
      <c r="O79" s="485">
        <v>1</v>
      </c>
      <c r="P79" s="485">
        <v>0</v>
      </c>
      <c r="Q79" s="698">
        <v>0</v>
      </c>
      <c r="R79" s="485">
        <v>0</v>
      </c>
      <c r="S79" s="485">
        <v>0</v>
      </c>
      <c r="T79" s="698"/>
    </row>
    <row r="80" spans="1:107" s="482" customFormat="1" ht="12.75">
      <c r="A80" s="487" t="s">
        <v>927</v>
      </c>
      <c r="B80" s="27">
        <v>600</v>
      </c>
      <c r="C80" s="27"/>
      <c r="D80" s="699">
        <f t="shared" si="9"/>
        <v>0</v>
      </c>
      <c r="E80" s="27">
        <v>600</v>
      </c>
      <c r="F80" s="27"/>
      <c r="G80" s="699">
        <f t="shared" si="10"/>
        <v>0</v>
      </c>
      <c r="H80" s="27"/>
      <c r="I80" s="27"/>
      <c r="J80" s="699" t="e">
        <f t="shared" si="11"/>
        <v>#DIV/0!</v>
      </c>
      <c r="K80" s="487" t="s">
        <v>927</v>
      </c>
      <c r="L80" s="27">
        <v>1</v>
      </c>
      <c r="M80" s="27">
        <v>0</v>
      </c>
      <c r="N80" s="699">
        <v>0</v>
      </c>
      <c r="O80" s="27">
        <v>1</v>
      </c>
      <c r="P80" s="27">
        <v>0</v>
      </c>
      <c r="Q80" s="699">
        <v>0</v>
      </c>
      <c r="R80" s="27">
        <v>0</v>
      </c>
      <c r="S80" s="27">
        <v>0</v>
      </c>
      <c r="T80" s="699"/>
      <c r="U80" s="481"/>
      <c r="V80" s="481"/>
      <c r="W80" s="481"/>
      <c r="X80" s="481"/>
      <c r="Y80" s="481"/>
      <c r="Z80" s="481"/>
      <c r="AA80" s="481"/>
      <c r="AB80" s="481"/>
      <c r="AC80" s="481"/>
      <c r="AD80" s="481"/>
      <c r="AE80" s="481"/>
      <c r="AF80" s="481"/>
      <c r="AG80" s="481"/>
      <c r="AH80" s="481"/>
      <c r="AI80" s="481"/>
      <c r="AJ80" s="481"/>
      <c r="AK80" s="481"/>
      <c r="AL80" s="481"/>
      <c r="AM80" s="481"/>
      <c r="AN80" s="481"/>
      <c r="AO80" s="481"/>
      <c r="AP80" s="481"/>
      <c r="AQ80" s="481"/>
      <c r="AR80" s="481"/>
      <c r="AS80" s="481"/>
      <c r="AT80" s="481"/>
      <c r="AU80" s="481"/>
      <c r="AV80" s="481"/>
      <c r="AW80" s="481"/>
      <c r="AX80" s="481"/>
      <c r="AY80" s="481"/>
      <c r="AZ80" s="481"/>
      <c r="BA80" s="481"/>
      <c r="BB80" s="481"/>
      <c r="BC80" s="481"/>
      <c r="BD80" s="481"/>
      <c r="BE80" s="481"/>
      <c r="BF80" s="481"/>
      <c r="BG80" s="481"/>
      <c r="BH80" s="481"/>
      <c r="BI80" s="481"/>
      <c r="BJ80" s="481"/>
      <c r="BK80" s="481"/>
      <c r="BL80" s="481"/>
      <c r="BM80" s="481"/>
      <c r="BN80" s="481"/>
      <c r="BO80" s="481"/>
      <c r="BP80" s="481"/>
      <c r="BQ80" s="481"/>
      <c r="BR80" s="481"/>
      <c r="BS80" s="481"/>
      <c r="BT80" s="481"/>
      <c r="BU80" s="481"/>
      <c r="BV80" s="481"/>
      <c r="BW80" s="481"/>
      <c r="BX80" s="481"/>
      <c r="BY80" s="481"/>
      <c r="BZ80" s="481"/>
      <c r="CA80" s="481"/>
      <c r="CB80" s="481"/>
      <c r="CC80" s="481"/>
      <c r="CD80" s="481"/>
      <c r="CE80" s="481"/>
      <c r="CF80" s="481"/>
      <c r="CG80" s="481"/>
      <c r="CH80" s="481"/>
      <c r="CI80" s="481"/>
      <c r="CJ80" s="481"/>
      <c r="CK80" s="481"/>
      <c r="CL80" s="481"/>
      <c r="CM80" s="481"/>
      <c r="CN80" s="481"/>
      <c r="CO80" s="481"/>
      <c r="CP80" s="481"/>
      <c r="CQ80" s="481"/>
      <c r="CR80" s="481"/>
      <c r="CS80" s="481"/>
      <c r="CT80" s="481"/>
      <c r="CU80" s="481"/>
      <c r="CV80" s="481"/>
      <c r="CW80" s="481"/>
      <c r="CX80" s="481"/>
      <c r="CY80" s="481"/>
      <c r="CZ80" s="481"/>
      <c r="DA80" s="481"/>
      <c r="DB80" s="481"/>
      <c r="DC80" s="481"/>
    </row>
    <row r="81" spans="1:20" ht="12.75">
      <c r="A81" s="74" t="s">
        <v>284</v>
      </c>
      <c r="B81" s="485">
        <f>B82</f>
        <v>143476</v>
      </c>
      <c r="C81" s="485">
        <f>C82</f>
        <v>0</v>
      </c>
      <c r="D81" s="698">
        <f t="shared" si="9"/>
        <v>0</v>
      </c>
      <c r="E81" s="485">
        <f>E82</f>
        <v>190356</v>
      </c>
      <c r="F81" s="485">
        <f>F82</f>
        <v>0</v>
      </c>
      <c r="G81" s="698">
        <f t="shared" si="10"/>
        <v>0</v>
      </c>
      <c r="H81" s="485">
        <f>H82</f>
        <v>190356</v>
      </c>
      <c r="I81" s="485">
        <f>I82</f>
        <v>0</v>
      </c>
      <c r="J81" s="699">
        <f t="shared" si="11"/>
        <v>0</v>
      </c>
      <c r="K81" s="74" t="s">
        <v>284</v>
      </c>
      <c r="L81" s="485">
        <v>144</v>
      </c>
      <c r="M81" s="485">
        <v>0</v>
      </c>
      <c r="N81" s="698">
        <v>0</v>
      </c>
      <c r="O81" s="485">
        <v>190</v>
      </c>
      <c r="P81" s="485">
        <v>0</v>
      </c>
      <c r="Q81" s="698">
        <v>0</v>
      </c>
      <c r="R81" s="485">
        <v>190</v>
      </c>
      <c r="S81" s="485">
        <v>0</v>
      </c>
      <c r="T81" s="698">
        <v>0</v>
      </c>
    </row>
    <row r="82" spans="1:107" s="482" customFormat="1" ht="12.75">
      <c r="A82" s="487" t="s">
        <v>929</v>
      </c>
      <c r="B82" s="27">
        <v>143476</v>
      </c>
      <c r="C82" s="27"/>
      <c r="D82" s="699">
        <f t="shared" si="9"/>
        <v>0</v>
      </c>
      <c r="E82" s="27">
        <v>190356</v>
      </c>
      <c r="F82" s="27"/>
      <c r="G82" s="699">
        <f t="shared" si="10"/>
        <v>0</v>
      </c>
      <c r="H82" s="27">
        <v>190356</v>
      </c>
      <c r="I82" s="27"/>
      <c r="J82" s="699">
        <f t="shared" si="11"/>
        <v>0</v>
      </c>
      <c r="K82" s="487" t="s">
        <v>929</v>
      </c>
      <c r="L82" s="27">
        <v>144</v>
      </c>
      <c r="M82" s="27">
        <v>0</v>
      </c>
      <c r="N82" s="699">
        <v>0</v>
      </c>
      <c r="O82" s="27">
        <v>190</v>
      </c>
      <c r="P82" s="27">
        <v>0</v>
      </c>
      <c r="Q82" s="699">
        <v>0</v>
      </c>
      <c r="R82" s="27">
        <v>190</v>
      </c>
      <c r="S82" s="27">
        <v>0</v>
      </c>
      <c r="T82" s="699">
        <v>0</v>
      </c>
      <c r="U82" s="481"/>
      <c r="V82" s="481"/>
      <c r="W82" s="481"/>
      <c r="X82" s="481"/>
      <c r="Y82" s="481"/>
      <c r="Z82" s="481"/>
      <c r="AA82" s="481"/>
      <c r="AB82" s="481"/>
      <c r="AC82" s="481"/>
      <c r="AD82" s="481"/>
      <c r="AE82" s="481"/>
      <c r="AF82" s="481"/>
      <c r="AG82" s="481"/>
      <c r="AH82" s="481"/>
      <c r="AI82" s="481"/>
      <c r="AJ82" s="481"/>
      <c r="AK82" s="481"/>
      <c r="AL82" s="481"/>
      <c r="AM82" s="481"/>
      <c r="AN82" s="481"/>
      <c r="AO82" s="481"/>
      <c r="AP82" s="481"/>
      <c r="AQ82" s="481"/>
      <c r="AR82" s="481"/>
      <c r="AS82" s="481"/>
      <c r="AT82" s="481"/>
      <c r="AU82" s="481"/>
      <c r="AV82" s="481"/>
      <c r="AW82" s="481"/>
      <c r="AX82" s="481"/>
      <c r="AY82" s="481"/>
      <c r="AZ82" s="481"/>
      <c r="BA82" s="481"/>
      <c r="BB82" s="481"/>
      <c r="BC82" s="481"/>
      <c r="BD82" s="481"/>
      <c r="BE82" s="481"/>
      <c r="BF82" s="481"/>
      <c r="BG82" s="481"/>
      <c r="BH82" s="481"/>
      <c r="BI82" s="481"/>
      <c r="BJ82" s="481"/>
      <c r="BK82" s="481"/>
      <c r="BL82" s="481"/>
      <c r="BM82" s="481"/>
      <c r="BN82" s="481"/>
      <c r="BO82" s="481"/>
      <c r="BP82" s="481"/>
      <c r="BQ82" s="481"/>
      <c r="BR82" s="481"/>
      <c r="BS82" s="481"/>
      <c r="BT82" s="481"/>
      <c r="BU82" s="481"/>
      <c r="BV82" s="481"/>
      <c r="BW82" s="481"/>
      <c r="BX82" s="481"/>
      <c r="BY82" s="481"/>
      <c r="BZ82" s="481"/>
      <c r="CA82" s="481"/>
      <c r="CB82" s="481"/>
      <c r="CC82" s="481"/>
      <c r="CD82" s="481"/>
      <c r="CE82" s="481"/>
      <c r="CF82" s="481"/>
      <c r="CG82" s="481"/>
      <c r="CH82" s="481"/>
      <c r="CI82" s="481"/>
      <c r="CJ82" s="481"/>
      <c r="CK82" s="481"/>
      <c r="CL82" s="481"/>
      <c r="CM82" s="481"/>
      <c r="CN82" s="481"/>
      <c r="CO82" s="481"/>
      <c r="CP82" s="481"/>
      <c r="CQ82" s="481"/>
      <c r="CR82" s="481"/>
      <c r="CS82" s="481"/>
      <c r="CT82" s="481"/>
      <c r="CU82" s="481"/>
      <c r="CV82" s="481"/>
      <c r="CW82" s="481"/>
      <c r="CX82" s="481"/>
      <c r="CY82" s="481"/>
      <c r="CZ82" s="481"/>
      <c r="DA82" s="481"/>
      <c r="DB82" s="481"/>
      <c r="DC82" s="481"/>
    </row>
    <row r="83" spans="1:20" ht="12.75">
      <c r="A83" s="74" t="s">
        <v>286</v>
      </c>
      <c r="B83" s="485">
        <f>SUM(B84)</f>
        <v>216000</v>
      </c>
      <c r="C83" s="485">
        <f>SUM(C84)</f>
        <v>0</v>
      </c>
      <c r="D83" s="698">
        <f t="shared" si="9"/>
        <v>0</v>
      </c>
      <c r="E83" s="485">
        <f>SUM(E84)</f>
        <v>200000</v>
      </c>
      <c r="F83" s="485">
        <f>SUM(F84)</f>
        <v>0</v>
      </c>
      <c r="G83" s="698">
        <f t="shared" si="10"/>
        <v>0</v>
      </c>
      <c r="H83" s="485">
        <f>SUM(H84)</f>
        <v>400000</v>
      </c>
      <c r="I83" s="485">
        <f>SUM(I84)</f>
        <v>0</v>
      </c>
      <c r="J83" s="699">
        <f t="shared" si="11"/>
        <v>0</v>
      </c>
      <c r="K83" s="74" t="s">
        <v>286</v>
      </c>
      <c r="L83" s="485">
        <v>216</v>
      </c>
      <c r="M83" s="485">
        <v>0</v>
      </c>
      <c r="N83" s="698">
        <v>0</v>
      </c>
      <c r="O83" s="485">
        <v>200</v>
      </c>
      <c r="P83" s="485">
        <v>0</v>
      </c>
      <c r="Q83" s="698">
        <v>0</v>
      </c>
      <c r="R83" s="485">
        <v>400</v>
      </c>
      <c r="S83" s="485">
        <v>0</v>
      </c>
      <c r="T83" s="698">
        <v>0</v>
      </c>
    </row>
    <row r="84" spans="1:107" s="482" customFormat="1" ht="12.75">
      <c r="A84" s="487" t="s">
        <v>549</v>
      </c>
      <c r="B84" s="27">
        <v>216000</v>
      </c>
      <c r="C84" s="27"/>
      <c r="D84" s="699">
        <f t="shared" si="9"/>
        <v>0</v>
      </c>
      <c r="E84" s="27">
        <v>200000</v>
      </c>
      <c r="F84" s="27"/>
      <c r="G84" s="699">
        <f t="shared" si="10"/>
        <v>0</v>
      </c>
      <c r="H84" s="27">
        <v>400000</v>
      </c>
      <c r="I84" s="27"/>
      <c r="J84" s="699">
        <f t="shared" si="11"/>
        <v>0</v>
      </c>
      <c r="K84" s="487" t="s">
        <v>549</v>
      </c>
      <c r="L84" s="27">
        <v>216</v>
      </c>
      <c r="M84" s="27">
        <v>0</v>
      </c>
      <c r="N84" s="699">
        <v>0</v>
      </c>
      <c r="O84" s="27">
        <v>200</v>
      </c>
      <c r="P84" s="27">
        <v>0</v>
      </c>
      <c r="Q84" s="699">
        <v>0</v>
      </c>
      <c r="R84" s="27">
        <v>400</v>
      </c>
      <c r="S84" s="27">
        <v>0</v>
      </c>
      <c r="T84" s="699">
        <v>0</v>
      </c>
      <c r="U84" s="481"/>
      <c r="V84" s="481"/>
      <c r="W84" s="481"/>
      <c r="X84" s="481"/>
      <c r="Y84" s="481"/>
      <c r="Z84" s="481"/>
      <c r="AA84" s="481"/>
      <c r="AB84" s="481"/>
      <c r="AC84" s="481"/>
      <c r="AD84" s="481"/>
      <c r="AE84" s="481"/>
      <c r="AF84" s="481"/>
      <c r="AG84" s="481"/>
      <c r="AH84" s="481"/>
      <c r="AI84" s="481"/>
      <c r="AJ84" s="481"/>
      <c r="AK84" s="481"/>
      <c r="AL84" s="481"/>
      <c r="AM84" s="481"/>
      <c r="AN84" s="481"/>
      <c r="AO84" s="481"/>
      <c r="AP84" s="481"/>
      <c r="AQ84" s="481"/>
      <c r="AR84" s="481"/>
      <c r="AS84" s="481"/>
      <c r="AT84" s="481"/>
      <c r="AU84" s="481"/>
      <c r="AV84" s="481"/>
      <c r="AW84" s="481"/>
      <c r="AX84" s="481"/>
      <c r="AY84" s="481"/>
      <c r="AZ84" s="481"/>
      <c r="BA84" s="481"/>
      <c r="BB84" s="481"/>
      <c r="BC84" s="481"/>
      <c r="BD84" s="481"/>
      <c r="BE84" s="481"/>
      <c r="BF84" s="481"/>
      <c r="BG84" s="481"/>
      <c r="BH84" s="481"/>
      <c r="BI84" s="481"/>
      <c r="BJ84" s="481"/>
      <c r="BK84" s="481"/>
      <c r="BL84" s="481"/>
      <c r="BM84" s="481"/>
      <c r="BN84" s="481"/>
      <c r="BO84" s="481"/>
      <c r="BP84" s="481"/>
      <c r="BQ84" s="481"/>
      <c r="BR84" s="481"/>
      <c r="BS84" s="481"/>
      <c r="BT84" s="481"/>
      <c r="BU84" s="481"/>
      <c r="BV84" s="481"/>
      <c r="BW84" s="481"/>
      <c r="BX84" s="481"/>
      <c r="BY84" s="481"/>
      <c r="BZ84" s="481"/>
      <c r="CA84" s="481"/>
      <c r="CB84" s="481"/>
      <c r="CC84" s="481"/>
      <c r="CD84" s="481"/>
      <c r="CE84" s="481"/>
      <c r="CF84" s="481"/>
      <c r="CG84" s="481"/>
      <c r="CH84" s="481"/>
      <c r="CI84" s="481"/>
      <c r="CJ84" s="481"/>
      <c r="CK84" s="481"/>
      <c r="CL84" s="481"/>
      <c r="CM84" s="481"/>
      <c r="CN84" s="481"/>
      <c r="CO84" s="481"/>
      <c r="CP84" s="481"/>
      <c r="CQ84" s="481"/>
      <c r="CR84" s="481"/>
      <c r="CS84" s="481"/>
      <c r="CT84" s="481"/>
      <c r="CU84" s="481"/>
      <c r="CV84" s="481"/>
      <c r="CW84" s="481"/>
      <c r="CX84" s="481"/>
      <c r="CY84" s="481"/>
      <c r="CZ84" s="481"/>
      <c r="DA84" s="481"/>
      <c r="DB84" s="481"/>
      <c r="DC84" s="481"/>
    </row>
    <row r="85" spans="1:20" ht="24">
      <c r="A85" s="74" t="s">
        <v>931</v>
      </c>
      <c r="B85" s="485">
        <f>B86</f>
        <v>540000</v>
      </c>
      <c r="C85" s="485">
        <f>C86</f>
        <v>0</v>
      </c>
      <c r="D85" s="698">
        <f t="shared" si="9"/>
        <v>0</v>
      </c>
      <c r="E85" s="485">
        <f>E86</f>
        <v>110000</v>
      </c>
      <c r="F85" s="485">
        <f>F86</f>
        <v>0</v>
      </c>
      <c r="G85" s="698">
        <f t="shared" si="10"/>
        <v>0</v>
      </c>
      <c r="H85" s="485">
        <f>H86</f>
        <v>0</v>
      </c>
      <c r="I85" s="485">
        <f>I86</f>
        <v>0</v>
      </c>
      <c r="J85" s="699" t="e">
        <f t="shared" si="11"/>
        <v>#DIV/0!</v>
      </c>
      <c r="K85" s="59" t="s">
        <v>931</v>
      </c>
      <c r="L85" s="485">
        <v>540</v>
      </c>
      <c r="M85" s="485">
        <v>0</v>
      </c>
      <c r="N85" s="698">
        <v>0</v>
      </c>
      <c r="O85" s="485">
        <v>110</v>
      </c>
      <c r="P85" s="485">
        <v>0</v>
      </c>
      <c r="Q85" s="698">
        <v>0</v>
      </c>
      <c r="R85" s="485">
        <v>0</v>
      </c>
      <c r="S85" s="485">
        <v>0</v>
      </c>
      <c r="T85" s="698"/>
    </row>
    <row r="86" spans="1:107" s="482" customFormat="1" ht="12.75">
      <c r="A86" s="487" t="s">
        <v>549</v>
      </c>
      <c r="B86" s="27">
        <v>540000</v>
      </c>
      <c r="C86" s="27"/>
      <c r="D86" s="699">
        <f t="shared" si="9"/>
        <v>0</v>
      </c>
      <c r="E86" s="27">
        <v>110000</v>
      </c>
      <c r="F86" s="27"/>
      <c r="G86" s="699">
        <f t="shared" si="10"/>
        <v>0</v>
      </c>
      <c r="H86" s="27"/>
      <c r="I86" s="27"/>
      <c r="J86" s="699" t="e">
        <f t="shared" si="11"/>
        <v>#DIV/0!</v>
      </c>
      <c r="K86" s="487" t="s">
        <v>549</v>
      </c>
      <c r="L86" s="27">
        <v>540</v>
      </c>
      <c r="M86" s="27">
        <v>0</v>
      </c>
      <c r="N86" s="699">
        <v>0</v>
      </c>
      <c r="O86" s="27">
        <v>110</v>
      </c>
      <c r="P86" s="27">
        <v>0</v>
      </c>
      <c r="Q86" s="699">
        <v>0</v>
      </c>
      <c r="R86" s="27">
        <v>0</v>
      </c>
      <c r="S86" s="27">
        <v>0</v>
      </c>
      <c r="T86" s="699"/>
      <c r="U86" s="481"/>
      <c r="V86" s="481"/>
      <c r="W86" s="481"/>
      <c r="X86" s="481"/>
      <c r="Y86" s="481"/>
      <c r="Z86" s="481"/>
      <c r="AA86" s="481"/>
      <c r="AB86" s="481"/>
      <c r="AC86" s="481"/>
      <c r="AD86" s="481"/>
      <c r="AE86" s="481"/>
      <c r="AF86" s="481"/>
      <c r="AG86" s="481"/>
      <c r="AH86" s="481"/>
      <c r="AI86" s="481"/>
      <c r="AJ86" s="481"/>
      <c r="AK86" s="481"/>
      <c r="AL86" s="481"/>
      <c r="AM86" s="481"/>
      <c r="AN86" s="481"/>
      <c r="AO86" s="481"/>
      <c r="AP86" s="481"/>
      <c r="AQ86" s="481"/>
      <c r="AR86" s="481"/>
      <c r="AS86" s="481"/>
      <c r="AT86" s="481"/>
      <c r="AU86" s="481"/>
      <c r="AV86" s="481"/>
      <c r="AW86" s="481"/>
      <c r="AX86" s="481"/>
      <c r="AY86" s="481"/>
      <c r="AZ86" s="481"/>
      <c r="BA86" s="481"/>
      <c r="BB86" s="481"/>
      <c r="BC86" s="481"/>
      <c r="BD86" s="481"/>
      <c r="BE86" s="481"/>
      <c r="BF86" s="481"/>
      <c r="BG86" s="481"/>
      <c r="BH86" s="481"/>
      <c r="BI86" s="481"/>
      <c r="BJ86" s="481"/>
      <c r="BK86" s="481"/>
      <c r="BL86" s="481"/>
      <c r="BM86" s="481"/>
      <c r="BN86" s="481"/>
      <c r="BO86" s="481"/>
      <c r="BP86" s="481"/>
      <c r="BQ86" s="481"/>
      <c r="BR86" s="481"/>
      <c r="BS86" s="481"/>
      <c r="BT86" s="481"/>
      <c r="BU86" s="481"/>
      <c r="BV86" s="481"/>
      <c r="BW86" s="481"/>
      <c r="BX86" s="481"/>
      <c r="BY86" s="481"/>
      <c r="BZ86" s="481"/>
      <c r="CA86" s="481"/>
      <c r="CB86" s="481"/>
      <c r="CC86" s="481"/>
      <c r="CD86" s="481"/>
      <c r="CE86" s="481"/>
      <c r="CF86" s="481"/>
      <c r="CG86" s="481"/>
      <c r="CH86" s="481"/>
      <c r="CI86" s="481"/>
      <c r="CJ86" s="481"/>
      <c r="CK86" s="481"/>
      <c r="CL86" s="481"/>
      <c r="CM86" s="481"/>
      <c r="CN86" s="481"/>
      <c r="CO86" s="481"/>
      <c r="CP86" s="481"/>
      <c r="CQ86" s="481"/>
      <c r="CR86" s="481"/>
      <c r="CS86" s="481"/>
      <c r="CT86" s="481"/>
      <c r="CU86" s="481"/>
      <c r="CV86" s="481"/>
      <c r="CW86" s="481"/>
      <c r="CX86" s="481"/>
      <c r="CY86" s="481"/>
      <c r="CZ86" s="481"/>
      <c r="DA86" s="481"/>
      <c r="DB86" s="481"/>
      <c r="DC86" s="481"/>
    </row>
    <row r="89" spans="1:20" ht="12.75">
      <c r="A89" s="1"/>
      <c r="B89" s="640"/>
      <c r="C89" s="655"/>
      <c r="D89" s="655"/>
      <c r="E89" s="704"/>
      <c r="F89" s="705"/>
      <c r="G89" s="705"/>
      <c r="H89" s="705"/>
      <c r="I89" s="705"/>
      <c r="J89" s="1"/>
      <c r="K89" s="49" t="s">
        <v>17</v>
      </c>
      <c r="L89"/>
      <c r="M89" s="809" t="s">
        <v>215</v>
      </c>
      <c r="N89" s="809"/>
      <c r="O89" s="708"/>
      <c r="P89" s="709"/>
      <c r="Q89" s="709"/>
      <c r="R89" s="709"/>
      <c r="S89" s="705"/>
      <c r="T89" s="1"/>
    </row>
    <row r="90" spans="1:20" ht="12.75">
      <c r="A90" s="38"/>
      <c r="B90" s="706"/>
      <c r="C90" s="655"/>
      <c r="D90" s="707"/>
      <c r="E90" s="708"/>
      <c r="F90" s="709"/>
      <c r="G90" s="709"/>
      <c r="H90" s="709"/>
      <c r="I90" s="709"/>
      <c r="J90" s="1"/>
      <c r="K90"/>
      <c r="L90"/>
      <c r="M90"/>
      <c r="N90"/>
      <c r="S90" s="709"/>
      <c r="T90" s="1"/>
    </row>
    <row r="91" spans="11:14" ht="12.75">
      <c r="K91"/>
      <c r="L91"/>
      <c r="M91"/>
      <c r="N91"/>
    </row>
    <row r="92" spans="10:20" ht="12.75">
      <c r="J92" s="1"/>
      <c r="K92"/>
      <c r="L92"/>
      <c r="M92"/>
      <c r="N92"/>
      <c r="T92" s="1"/>
    </row>
    <row r="93" spans="10:20" ht="12.75">
      <c r="J93" s="1"/>
      <c r="K93" s="38" t="s">
        <v>171</v>
      </c>
      <c r="L93"/>
      <c r="M93"/>
      <c r="N93"/>
      <c r="T93" s="1"/>
    </row>
    <row r="94" spans="10:20" ht="12.75">
      <c r="J94" s="1"/>
      <c r="K94" s="38" t="s">
        <v>34</v>
      </c>
      <c r="L94"/>
      <c r="M94"/>
      <c r="N94"/>
      <c r="T94" s="1"/>
    </row>
    <row r="95" spans="12:14" s="38" customFormat="1" ht="12.75">
      <c r="L95"/>
      <c r="M95"/>
      <c r="N95"/>
    </row>
    <row r="96" spans="12:14" s="38" customFormat="1" ht="12.75">
      <c r="L96"/>
      <c r="M96"/>
      <c r="N96"/>
    </row>
    <row r="97" spans="10:20" ht="12.75">
      <c r="J97" s="1"/>
      <c r="K97" s="38"/>
      <c r="T97" s="1"/>
    </row>
    <row r="100" spans="10:20" ht="12.75">
      <c r="J100" s="1"/>
      <c r="T100" s="1"/>
    </row>
    <row r="101" spans="10:20" ht="12.75">
      <c r="J101" s="1"/>
      <c r="T101" s="1"/>
    </row>
    <row r="102" spans="10:20" ht="12.75">
      <c r="J102" s="1"/>
      <c r="T102" s="1"/>
    </row>
    <row r="103" spans="10:20" ht="12.75">
      <c r="J103" s="1"/>
      <c r="T103" s="1"/>
    </row>
    <row r="104" spans="10:20" ht="12.75">
      <c r="J104" s="1"/>
      <c r="T104" s="1"/>
    </row>
    <row r="105" spans="10:20" ht="12.75">
      <c r="J105" s="1"/>
      <c r="T105" s="1"/>
    </row>
    <row r="106" spans="10:20" ht="12.75">
      <c r="J106" s="1"/>
      <c r="K106" s="1"/>
      <c r="T106" s="1"/>
    </row>
    <row r="107" spans="10:20" ht="12.75">
      <c r="J107" s="1"/>
      <c r="K107" s="1"/>
      <c r="T107" s="1"/>
    </row>
    <row r="108" spans="10:20" ht="12.75">
      <c r="J108" s="1"/>
      <c r="K108" s="1"/>
      <c r="T108" s="1"/>
    </row>
    <row r="109" spans="10:20" ht="12.75">
      <c r="J109" s="1"/>
      <c r="K109" s="1"/>
      <c r="T109" s="1"/>
    </row>
    <row r="110" spans="10:20" ht="12.75">
      <c r="J110" s="1"/>
      <c r="K110" s="1"/>
      <c r="T110" s="1"/>
    </row>
    <row r="111" spans="10:20" ht="12.75">
      <c r="J111" s="1"/>
      <c r="T111" s="1"/>
    </row>
    <row r="112" spans="10:20" ht="12.75">
      <c r="J112" s="1"/>
      <c r="T112" s="1"/>
    </row>
    <row r="113" spans="10:20" ht="12.75">
      <c r="J113" s="1"/>
      <c r="T113" s="1"/>
    </row>
    <row r="114" spans="10:20" ht="12.75">
      <c r="J114" s="1"/>
      <c r="T114" s="1"/>
    </row>
    <row r="115" spans="10:20" ht="12.75">
      <c r="J115" s="1"/>
      <c r="T115" s="1"/>
    </row>
    <row r="116" spans="10:20" ht="12.75">
      <c r="J116" s="1"/>
      <c r="T116" s="1"/>
    </row>
    <row r="117" spans="10:20" ht="12.75">
      <c r="J117" s="1"/>
      <c r="T117" s="1"/>
    </row>
    <row r="118" spans="10:20" ht="12.75">
      <c r="J118" s="1"/>
      <c r="T118" s="1"/>
    </row>
    <row r="119" spans="10:20" ht="12.75">
      <c r="J119" s="1"/>
      <c r="T119" s="1"/>
    </row>
    <row r="120" spans="10:20" ht="12.75">
      <c r="J120" s="1"/>
      <c r="T120" s="1"/>
    </row>
    <row r="121" spans="10:20" ht="12.75">
      <c r="J121" s="1"/>
      <c r="T121" s="1"/>
    </row>
    <row r="122" spans="10:20" ht="12.75">
      <c r="J122" s="1"/>
      <c r="T122" s="1"/>
    </row>
    <row r="123" spans="10:20" ht="12.75">
      <c r="J123" s="1"/>
      <c r="T123" s="1"/>
    </row>
    <row r="124" spans="10:20" ht="12.75">
      <c r="J124" s="1"/>
      <c r="T124" s="1"/>
    </row>
    <row r="125" spans="10:20" ht="12.75">
      <c r="J125" s="1"/>
      <c r="T125" s="1"/>
    </row>
    <row r="126" spans="10:20" ht="12.75">
      <c r="J126" s="1"/>
      <c r="T126" s="1"/>
    </row>
    <row r="127" spans="10:20" ht="12.75">
      <c r="J127" s="1"/>
      <c r="T127" s="1"/>
    </row>
    <row r="128" spans="10:20" ht="12.75">
      <c r="J128" s="1"/>
      <c r="T128" s="1"/>
    </row>
    <row r="129" spans="10:20" ht="12.75">
      <c r="J129" s="1"/>
      <c r="T129" s="1"/>
    </row>
    <row r="130" spans="10:20" ht="12.75">
      <c r="J130" s="1"/>
      <c r="T130" s="1"/>
    </row>
    <row r="131" spans="10:20" ht="12.75">
      <c r="J131" s="1"/>
      <c r="T131" s="1"/>
    </row>
    <row r="132" spans="10:20" ht="12.75">
      <c r="J132" s="1"/>
      <c r="T132" s="1"/>
    </row>
    <row r="133" spans="10:20" ht="12.75">
      <c r="J133" s="1"/>
      <c r="T133" s="1"/>
    </row>
    <row r="134" spans="10:20" ht="12.75">
      <c r="J134" s="1"/>
      <c r="T134" s="1"/>
    </row>
    <row r="135" spans="10:20" ht="12.75">
      <c r="J135" s="1"/>
      <c r="T135" s="1"/>
    </row>
    <row r="136" spans="10:20" ht="12.75">
      <c r="J136" s="1"/>
      <c r="T136" s="1"/>
    </row>
    <row r="137" spans="10:20" ht="12.75">
      <c r="J137" s="1"/>
      <c r="T137" s="1"/>
    </row>
    <row r="138" spans="10:20" ht="12.75">
      <c r="J138" s="1"/>
      <c r="T138" s="1"/>
    </row>
    <row r="139" spans="10:20" ht="12.75">
      <c r="J139" s="1"/>
      <c r="T139" s="1"/>
    </row>
    <row r="140" spans="10:20" ht="12.75">
      <c r="J140" s="1"/>
      <c r="T140" s="1"/>
    </row>
    <row r="141" spans="10:20" ht="12.75">
      <c r="J141" s="1"/>
      <c r="T141" s="1"/>
    </row>
    <row r="142" spans="10:20" ht="12.75">
      <c r="J142" s="1"/>
      <c r="T142" s="1"/>
    </row>
    <row r="143" spans="10:20" ht="12.75">
      <c r="J143" s="1"/>
      <c r="T143" s="1"/>
    </row>
    <row r="144" spans="10:20" ht="12.75">
      <c r="J144" s="1"/>
      <c r="T144" s="1"/>
    </row>
    <row r="145" spans="10:20" ht="12.75">
      <c r="J145" s="1"/>
      <c r="T145" s="1"/>
    </row>
    <row r="146" spans="10:20" ht="12.75">
      <c r="J146" s="1"/>
      <c r="T146" s="1"/>
    </row>
    <row r="147" spans="10:20" ht="12.75">
      <c r="J147" s="1"/>
      <c r="T147" s="1"/>
    </row>
    <row r="148" spans="10:20" ht="12.75">
      <c r="J148" s="1"/>
      <c r="T148" s="1"/>
    </row>
    <row r="149" spans="10:20" ht="12.75">
      <c r="J149" s="1"/>
      <c r="T149" s="1"/>
    </row>
    <row r="150" spans="10:20" ht="12.75">
      <c r="J150" s="1"/>
      <c r="T150" s="1"/>
    </row>
    <row r="151" spans="10:20" ht="12.75">
      <c r="J151" s="1"/>
      <c r="T151" s="1"/>
    </row>
    <row r="152" spans="10:20" ht="12.75">
      <c r="J152" s="1"/>
      <c r="T152" s="1"/>
    </row>
    <row r="153" spans="10:20" ht="12.75">
      <c r="J153" s="1"/>
      <c r="T153" s="1"/>
    </row>
    <row r="154" spans="10:20" ht="12.75">
      <c r="J154" s="1"/>
      <c r="T154" s="1"/>
    </row>
    <row r="155" spans="10:20" ht="12.75">
      <c r="J155" s="1"/>
      <c r="T155" s="1"/>
    </row>
    <row r="156" spans="10:20" ht="12.75">
      <c r="J156" s="1"/>
      <c r="T156" s="1"/>
    </row>
    <row r="157" spans="10:20" ht="12.75">
      <c r="J157" s="1"/>
      <c r="T157" s="1"/>
    </row>
    <row r="158" spans="10:20" ht="12.75">
      <c r="J158" s="1"/>
      <c r="T158" s="1"/>
    </row>
    <row r="159" spans="10:20" ht="12.75">
      <c r="J159" s="1"/>
      <c r="T159" s="1"/>
    </row>
    <row r="160" spans="10:20" ht="12.75">
      <c r="J160" s="1"/>
      <c r="T160" s="1"/>
    </row>
    <row r="161" spans="10:20" ht="12.75">
      <c r="J161" s="1"/>
      <c r="T161" s="1"/>
    </row>
    <row r="162" spans="10:20" ht="12.75">
      <c r="J162" s="1"/>
      <c r="T162" s="1"/>
    </row>
    <row r="163" spans="10:20" ht="12.75">
      <c r="J163" s="1"/>
      <c r="T163" s="1"/>
    </row>
    <row r="164" spans="10:20" ht="12.75">
      <c r="J164" s="1"/>
      <c r="T164" s="1"/>
    </row>
    <row r="165" spans="10:20" ht="12.75">
      <c r="J165" s="1"/>
      <c r="T165" s="1"/>
    </row>
    <row r="166" spans="10:20" ht="12.75">
      <c r="J166" s="1"/>
      <c r="T166" s="1"/>
    </row>
    <row r="167" spans="10:20" ht="12.75">
      <c r="J167" s="1"/>
      <c r="T167" s="1"/>
    </row>
    <row r="168" spans="10:20" ht="12.75">
      <c r="J168" s="1"/>
      <c r="T168" s="1"/>
    </row>
    <row r="169" spans="10:20" ht="12.75">
      <c r="J169" s="1"/>
      <c r="T169" s="1"/>
    </row>
    <row r="170" spans="10:20" ht="12.75">
      <c r="J170" s="1"/>
      <c r="T170" s="1"/>
    </row>
    <row r="171" spans="10:20" ht="12.75">
      <c r="J171" s="1"/>
      <c r="T171" s="1"/>
    </row>
    <row r="172" spans="10:20" ht="12.75">
      <c r="J172" s="1"/>
      <c r="T172" s="1"/>
    </row>
    <row r="173" spans="10:20" ht="12.75">
      <c r="J173" s="1"/>
      <c r="T173" s="1"/>
    </row>
    <row r="174" spans="10:20" ht="12.75">
      <c r="J174" s="1"/>
      <c r="T174" s="1"/>
    </row>
    <row r="175" spans="1:20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</row>
    <row r="176" spans="1:20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</row>
    <row r="177" spans="1:20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</row>
    <row r="178" spans="1:20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</row>
    <row r="179" spans="1:20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</row>
    <row r="180" spans="1:20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</row>
    <row r="181" spans="1:20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</row>
    <row r="182" spans="1:20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</row>
    <row r="183" spans="1:20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</row>
    <row r="184" spans="1:20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</row>
    <row r="185" spans="1:20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</row>
    <row r="186" spans="1:20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</row>
    <row r="187" spans="1:20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</row>
    <row r="188" spans="1:20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</row>
    <row r="189" spans="1:20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</row>
    <row r="190" spans="1:20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</row>
    <row r="191" spans="1:20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</row>
    <row r="192" spans="1:20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</row>
    <row r="193" spans="1:20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</row>
    <row r="194" spans="1:20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</row>
    <row r="195" spans="1:20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</row>
    <row r="196" spans="1:20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</row>
    <row r="197" spans="1:20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</row>
    <row r="198" spans="1:20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</row>
    <row r="199" spans="1:20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</row>
    <row r="200" spans="1:20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</row>
    <row r="201" spans="1:20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</row>
    <row r="202" spans="1:20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</row>
    <row r="203" spans="1:20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</row>
    <row r="204" spans="1:20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</row>
    <row r="205" spans="1:20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</row>
    <row r="206" spans="1:20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</row>
    <row r="207" spans="1:20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</row>
    <row r="208" spans="1:20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</row>
    <row r="209" spans="1:20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</row>
    <row r="210" spans="1:20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</row>
    <row r="211" spans="1:20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</row>
    <row r="212" spans="1:20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</row>
    <row r="213" spans="1:20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</row>
    <row r="214" spans="1:20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</row>
    <row r="215" spans="1:20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</row>
    <row r="216" spans="1:20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</row>
    <row r="217" spans="1:20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</row>
    <row r="218" spans="1:20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</row>
    <row r="219" spans="1:20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</row>
    <row r="220" spans="1:20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</row>
    <row r="221" spans="1:20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</row>
    <row r="222" spans="1:20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</row>
    <row r="223" spans="1:20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</row>
    <row r="224" spans="1:20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</row>
    <row r="225" spans="1:20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</row>
    <row r="226" spans="1:20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</row>
    <row r="227" spans="1:20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</row>
    <row r="228" spans="1:20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</row>
    <row r="229" spans="1:20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</row>
  </sheetData>
  <mergeCells count="13">
    <mergeCell ref="M89:N89"/>
    <mergeCell ref="A6:J6"/>
    <mergeCell ref="K6:T6"/>
    <mergeCell ref="B9:D9"/>
    <mergeCell ref="E9:G9"/>
    <mergeCell ref="H9:J9"/>
    <mergeCell ref="L9:N9"/>
    <mergeCell ref="O9:Q9"/>
    <mergeCell ref="R9:T9"/>
    <mergeCell ref="A4:J4"/>
    <mergeCell ref="K4:T4"/>
    <mergeCell ref="A5:J5"/>
    <mergeCell ref="K5:T5"/>
  </mergeCells>
  <printOptions/>
  <pageMargins left="0.75" right="0.75" top="0.31" bottom="0.51" header="0.23" footer="0.37"/>
  <pageSetup firstPageNumber="51" useFirstPageNumber="1" horizontalDpi="600" verticalDpi="600" orientation="landscape" paperSize="9" r:id="rId1"/>
  <headerFooter alignWithMargins="0">
    <oddFooter>&amp;R&amp;9&amp;P</oddFooter>
  </headerFooter>
  <rowBreaks count="2" manualBreakCount="2">
    <brk id="29" min="10" max="19" man="1"/>
    <brk id="60" min="10" max="19" man="1"/>
  </rowBreaks>
</worksheet>
</file>

<file path=xl/worksheets/sheet29.xml><?xml version="1.0" encoding="utf-8"?>
<worksheet xmlns="http://schemas.openxmlformats.org/spreadsheetml/2006/main" xmlns:r="http://schemas.openxmlformats.org/officeDocument/2006/relationships">
  <dimension ref="A1:DC181"/>
  <sheetViews>
    <sheetView workbookViewId="0" topLeftCell="K1">
      <selection activeCell="K25" sqref="K25"/>
    </sheetView>
  </sheetViews>
  <sheetFormatPr defaultColWidth="9.140625" defaultRowHeight="12.75"/>
  <cols>
    <col min="1" max="1" width="43.00390625" style="49" hidden="1" customWidth="1"/>
    <col min="2" max="2" width="9.57421875" style="49" hidden="1" customWidth="1"/>
    <col min="3" max="3" width="8.140625" style="49" hidden="1" customWidth="1"/>
    <col min="4" max="4" width="6.140625" style="49" hidden="1" customWidth="1"/>
    <col min="5" max="5" width="9.57421875" style="49" hidden="1" customWidth="1"/>
    <col min="6" max="6" width="7.421875" style="49" hidden="1" customWidth="1"/>
    <col min="7" max="7" width="6.140625" style="49" hidden="1" customWidth="1"/>
    <col min="8" max="8" width="9.57421875" style="49" hidden="1" customWidth="1"/>
    <col min="9" max="9" width="8.140625" style="49" hidden="1" customWidth="1"/>
    <col min="10" max="10" width="6.57421875" style="49" hidden="1" customWidth="1"/>
    <col min="11" max="11" width="46.421875" style="49" customWidth="1"/>
    <col min="12" max="12" width="10.00390625" style="49" customWidth="1"/>
    <col min="13" max="13" width="9.140625" style="49" customWidth="1"/>
    <col min="14" max="14" width="8.421875" style="49" customWidth="1"/>
    <col min="15" max="15" width="9.8515625" style="49" customWidth="1"/>
    <col min="16" max="16" width="9.00390625" style="49" customWidth="1"/>
    <col min="17" max="17" width="7.8515625" style="49" customWidth="1"/>
    <col min="18" max="18" width="10.00390625" style="49" customWidth="1"/>
    <col min="19" max="19" width="8.57421875" style="49" customWidth="1"/>
    <col min="20" max="20" width="8.140625" style="49" customWidth="1"/>
    <col min="21" max="107" width="9.8515625" style="0" customWidth="1"/>
    <col min="108" max="16384" width="9.8515625" style="49" customWidth="1"/>
  </cols>
  <sheetData>
    <row r="1" ht="12.75">
      <c r="T1" s="49" t="s">
        <v>932</v>
      </c>
    </row>
    <row r="2" spans="1:19" ht="17.25" customHeight="1">
      <c r="A2" s="51" t="s">
        <v>218</v>
      </c>
      <c r="B2" s="51"/>
      <c r="C2" s="180"/>
      <c r="D2" s="51"/>
      <c r="E2" s="51"/>
      <c r="F2" s="180"/>
      <c r="G2" s="180"/>
      <c r="H2" s="180"/>
      <c r="I2" s="180"/>
      <c r="K2" s="51" t="s">
        <v>218</v>
      </c>
      <c r="L2" s="51"/>
      <c r="M2" s="180"/>
      <c r="N2" s="51"/>
      <c r="O2" s="51"/>
      <c r="P2" s="180"/>
      <c r="Q2" s="180"/>
      <c r="R2" s="180"/>
      <c r="S2" s="180"/>
    </row>
    <row r="3" spans="1:20" ht="12.75">
      <c r="A3" s="51"/>
      <c r="B3" s="51"/>
      <c r="C3" s="180"/>
      <c r="D3" s="51"/>
      <c r="E3" s="51"/>
      <c r="F3" s="180"/>
      <c r="G3" s="180"/>
      <c r="H3" s="180"/>
      <c r="I3" s="180"/>
      <c r="J3" s="1"/>
      <c r="K3" s="51"/>
      <c r="L3" s="51"/>
      <c r="M3" s="180"/>
      <c r="N3" s="51"/>
      <c r="O3" s="51"/>
      <c r="P3" s="180"/>
      <c r="Q3" s="180"/>
      <c r="R3" s="180"/>
      <c r="S3" s="180"/>
      <c r="T3" s="1"/>
    </row>
    <row r="4" spans="1:20" ht="18.75" customHeight="1">
      <c r="A4" s="756" t="s">
        <v>916</v>
      </c>
      <c r="B4" s="756"/>
      <c r="C4" s="756"/>
      <c r="D4" s="756"/>
      <c r="E4" s="756"/>
      <c r="F4" s="756"/>
      <c r="G4" s="756"/>
      <c r="H4" s="756"/>
      <c r="I4" s="756"/>
      <c r="J4" s="756"/>
      <c r="K4" s="756" t="s">
        <v>915</v>
      </c>
      <c r="L4" s="756"/>
      <c r="M4" s="756"/>
      <c r="N4" s="756"/>
      <c r="O4" s="756"/>
      <c r="P4" s="756"/>
      <c r="Q4" s="756"/>
      <c r="R4" s="756"/>
      <c r="S4" s="756"/>
      <c r="T4" s="756"/>
    </row>
    <row r="5" spans="1:20" ht="18.75" customHeight="1">
      <c r="A5" s="756" t="s">
        <v>933</v>
      </c>
      <c r="B5" s="756"/>
      <c r="C5" s="756"/>
      <c r="D5" s="756"/>
      <c r="E5" s="756"/>
      <c r="F5" s="756"/>
      <c r="G5" s="756"/>
      <c r="H5" s="756"/>
      <c r="I5" s="756"/>
      <c r="J5" s="756"/>
      <c r="K5" s="756" t="s">
        <v>933</v>
      </c>
      <c r="L5" s="756"/>
      <c r="M5" s="756"/>
      <c r="N5" s="756"/>
      <c r="O5" s="756"/>
      <c r="P5" s="756"/>
      <c r="Q5" s="756"/>
      <c r="R5" s="756"/>
      <c r="S5" s="756"/>
      <c r="T5" s="756"/>
    </row>
    <row r="6" spans="1:20" ht="19.5" customHeight="1">
      <c r="A6" s="756" t="s">
        <v>918</v>
      </c>
      <c r="B6" s="756"/>
      <c r="C6" s="756"/>
      <c r="D6" s="756"/>
      <c r="E6" s="756"/>
      <c r="F6" s="756"/>
      <c r="G6" s="756"/>
      <c r="H6" s="756"/>
      <c r="I6" s="756"/>
      <c r="J6" s="756"/>
      <c r="K6" s="765" t="s">
        <v>18</v>
      </c>
      <c r="L6" s="765"/>
      <c r="M6" s="765"/>
      <c r="N6" s="765"/>
      <c r="O6" s="765"/>
      <c r="P6" s="765"/>
      <c r="Q6" s="765"/>
      <c r="R6" s="765"/>
      <c r="S6" s="765"/>
      <c r="T6" s="765"/>
    </row>
    <row r="7" spans="1:20" ht="11.25" customHeight="1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</row>
    <row r="8" spans="1:20" ht="11.25" customHeight="1">
      <c r="A8" s="48"/>
      <c r="B8" s="48"/>
      <c r="C8" s="48"/>
      <c r="D8" s="48"/>
      <c r="E8" s="48"/>
      <c r="F8" s="48"/>
      <c r="G8" s="48"/>
      <c r="H8" s="48"/>
      <c r="I8" s="48"/>
      <c r="J8" s="2" t="s">
        <v>579</v>
      </c>
      <c r="K8" s="48"/>
      <c r="L8" s="48"/>
      <c r="M8" s="48"/>
      <c r="N8" s="48"/>
      <c r="O8" s="48"/>
      <c r="P8" s="48"/>
      <c r="Q8" s="48"/>
      <c r="R8" s="48"/>
      <c r="S8" s="48"/>
      <c r="T8" s="2" t="s">
        <v>94</v>
      </c>
    </row>
    <row r="9" spans="1:20" s="38" customFormat="1" ht="24" customHeight="1">
      <c r="A9" s="692"/>
      <c r="B9" s="810" t="s">
        <v>919</v>
      </c>
      <c r="C9" s="811"/>
      <c r="D9" s="812"/>
      <c r="E9" s="810" t="s">
        <v>920</v>
      </c>
      <c r="F9" s="811"/>
      <c r="G9" s="812"/>
      <c r="H9" s="813" t="s">
        <v>921</v>
      </c>
      <c r="I9" s="814"/>
      <c r="J9" s="815"/>
      <c r="K9" s="692"/>
      <c r="L9" s="810" t="s">
        <v>919</v>
      </c>
      <c r="M9" s="811"/>
      <c r="N9" s="812"/>
      <c r="O9" s="810" t="s">
        <v>920</v>
      </c>
      <c r="P9" s="811"/>
      <c r="Q9" s="812"/>
      <c r="R9" s="813" t="s">
        <v>921</v>
      </c>
      <c r="S9" s="814"/>
      <c r="T9" s="815"/>
    </row>
    <row r="10" spans="1:20" ht="56.25">
      <c r="A10" s="608" t="s">
        <v>47</v>
      </c>
      <c r="B10" s="693" t="s">
        <v>922</v>
      </c>
      <c r="C10" s="9" t="s">
        <v>923</v>
      </c>
      <c r="D10" s="9" t="s">
        <v>650</v>
      </c>
      <c r="E10" s="9" t="s">
        <v>922</v>
      </c>
      <c r="F10" s="9" t="s">
        <v>923</v>
      </c>
      <c r="G10" s="9" t="s">
        <v>924</v>
      </c>
      <c r="H10" s="9" t="s">
        <v>922</v>
      </c>
      <c r="I10" s="9" t="s">
        <v>923</v>
      </c>
      <c r="J10" s="9" t="s">
        <v>925</v>
      </c>
      <c r="K10" s="608" t="s">
        <v>47</v>
      </c>
      <c r="L10" s="693" t="s">
        <v>922</v>
      </c>
      <c r="M10" s="9" t="s">
        <v>923</v>
      </c>
      <c r="N10" s="9" t="s">
        <v>650</v>
      </c>
      <c r="O10" s="9" t="s">
        <v>922</v>
      </c>
      <c r="P10" s="9" t="s">
        <v>923</v>
      </c>
      <c r="Q10" s="9" t="s">
        <v>924</v>
      </c>
      <c r="R10" s="9" t="s">
        <v>922</v>
      </c>
      <c r="S10" s="9" t="s">
        <v>923</v>
      </c>
      <c r="T10" s="9" t="s">
        <v>925</v>
      </c>
    </row>
    <row r="11" spans="1:20" ht="12.75">
      <c r="A11" s="608">
        <v>1</v>
      </c>
      <c r="B11" s="9">
        <v>2</v>
      </c>
      <c r="C11" s="9">
        <v>3</v>
      </c>
      <c r="D11" s="9">
        <v>4</v>
      </c>
      <c r="E11" s="9">
        <v>5</v>
      </c>
      <c r="F11" s="9">
        <v>6</v>
      </c>
      <c r="G11" s="9">
        <v>7</v>
      </c>
      <c r="H11" s="9">
        <v>8</v>
      </c>
      <c r="I11" s="9">
        <v>9</v>
      </c>
      <c r="J11" s="9">
        <v>10</v>
      </c>
      <c r="K11" s="608">
        <v>1</v>
      </c>
      <c r="L11" s="9">
        <v>2</v>
      </c>
      <c r="M11" s="9">
        <v>3</v>
      </c>
      <c r="N11" s="9">
        <v>4</v>
      </c>
      <c r="O11" s="9">
        <v>5</v>
      </c>
      <c r="P11" s="9">
        <v>6</v>
      </c>
      <c r="Q11" s="9">
        <v>7</v>
      </c>
      <c r="R11" s="9">
        <v>8</v>
      </c>
      <c r="S11" s="9">
        <v>9</v>
      </c>
      <c r="T11" s="9">
        <v>10</v>
      </c>
    </row>
    <row r="12" spans="1:107" ht="12.75">
      <c r="A12" s="471" t="s">
        <v>827</v>
      </c>
      <c r="B12" s="400">
        <f>B17+B20+B22+B27+B31+B34</f>
        <v>28402078</v>
      </c>
      <c r="C12" s="400">
        <f>C17+C20+C22+C27+C31+C34</f>
        <v>0</v>
      </c>
      <c r="D12" s="694">
        <f aca="true" t="shared" si="0" ref="D12:D36">C12/B12*100</f>
        <v>0</v>
      </c>
      <c r="E12" s="400">
        <f>E17+E20+E22+E27+E31+E34</f>
        <v>24005234</v>
      </c>
      <c r="F12" s="400">
        <f>F17+F20+F22+F27+F31+F34</f>
        <v>0</v>
      </c>
      <c r="G12" s="694">
        <f aca="true" t="shared" si="1" ref="G12:G36">F12/E12*100</f>
        <v>0</v>
      </c>
      <c r="H12" s="400">
        <f>H17+H20+H22+H27+H31+H34</f>
        <v>73639687</v>
      </c>
      <c r="I12" s="400">
        <f>I17+I20+I22+I27+I31+I34</f>
        <v>0</v>
      </c>
      <c r="J12" s="694">
        <f aca="true" t="shared" si="2" ref="J12:J36">I12/H12*100</f>
        <v>0</v>
      </c>
      <c r="K12" s="94" t="s">
        <v>827</v>
      </c>
      <c r="L12" s="400">
        <v>28402</v>
      </c>
      <c r="M12" s="400">
        <v>0</v>
      </c>
      <c r="N12" s="694">
        <v>0</v>
      </c>
      <c r="O12" s="400">
        <v>24005</v>
      </c>
      <c r="P12" s="400">
        <v>0</v>
      </c>
      <c r="Q12" s="694">
        <v>0</v>
      </c>
      <c r="R12" s="400">
        <v>73640</v>
      </c>
      <c r="S12" s="400">
        <v>0</v>
      </c>
      <c r="T12" s="694">
        <v>0</v>
      </c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49"/>
      <c r="DA12" s="49"/>
      <c r="DB12" s="49"/>
      <c r="DC12" s="49"/>
    </row>
    <row r="13" spans="1:107" s="697" customFormat="1" ht="15" customHeight="1">
      <c r="A13" s="710" t="s">
        <v>926</v>
      </c>
      <c r="B13" s="483">
        <f>B18+B23+B28+B35</f>
        <v>5956047</v>
      </c>
      <c r="C13" s="483">
        <f>C18+C23+C28+C35</f>
        <v>0</v>
      </c>
      <c r="D13" s="573">
        <f t="shared" si="0"/>
        <v>0</v>
      </c>
      <c r="E13" s="483">
        <f>E18+E23+E28+E35</f>
        <v>7448246</v>
      </c>
      <c r="F13" s="483">
        <f>F18+F23+F28+F35</f>
        <v>0</v>
      </c>
      <c r="G13" s="573">
        <f t="shared" si="1"/>
        <v>0</v>
      </c>
      <c r="H13" s="483">
        <f>H18+H23+H28+H35</f>
        <v>40690398</v>
      </c>
      <c r="I13" s="483">
        <f>I18+I23+I28+I35</f>
        <v>0</v>
      </c>
      <c r="J13" s="573">
        <f t="shared" si="2"/>
        <v>0</v>
      </c>
      <c r="K13" s="710" t="s">
        <v>926</v>
      </c>
      <c r="L13" s="483">
        <v>5956</v>
      </c>
      <c r="M13" s="483">
        <v>0</v>
      </c>
      <c r="N13" s="573">
        <v>0</v>
      </c>
      <c r="O13" s="483">
        <v>7448</v>
      </c>
      <c r="P13" s="483">
        <v>0</v>
      </c>
      <c r="Q13" s="573">
        <v>0</v>
      </c>
      <c r="R13" s="483">
        <v>40690</v>
      </c>
      <c r="S13" s="483">
        <v>0</v>
      </c>
      <c r="T13" s="573">
        <v>0</v>
      </c>
      <c r="U13" s="696"/>
      <c r="V13" s="696"/>
      <c r="W13" s="696"/>
      <c r="X13" s="696"/>
      <c r="Y13" s="696"/>
      <c r="Z13" s="696"/>
      <c r="AA13" s="696"/>
      <c r="AB13" s="696"/>
      <c r="AC13" s="696"/>
      <c r="AD13" s="696"/>
      <c r="AE13" s="696"/>
      <c r="AF13" s="696"/>
      <c r="AG13" s="696"/>
      <c r="AH13" s="696"/>
      <c r="AI13" s="696"/>
      <c r="AJ13" s="696"/>
      <c r="AK13" s="696"/>
      <c r="AL13" s="696"/>
      <c r="AM13" s="696"/>
      <c r="AN13" s="696"/>
      <c r="AO13" s="696"/>
      <c r="AP13" s="696"/>
      <c r="AQ13" s="696"/>
      <c r="AR13" s="696"/>
      <c r="AS13" s="696"/>
      <c r="AT13" s="696"/>
      <c r="AU13" s="696"/>
      <c r="AV13" s="696"/>
      <c r="AW13" s="696"/>
      <c r="AX13" s="696"/>
      <c r="AY13" s="696"/>
      <c r="AZ13" s="696"/>
      <c r="BA13" s="696"/>
      <c r="BB13" s="696"/>
      <c r="BC13" s="696"/>
      <c r="BD13" s="696"/>
      <c r="BE13" s="696"/>
      <c r="BF13" s="696"/>
      <c r="BG13" s="696"/>
      <c r="BH13" s="696"/>
      <c r="BI13" s="696"/>
      <c r="BJ13" s="696"/>
      <c r="BK13" s="696"/>
      <c r="BL13" s="696"/>
      <c r="BM13" s="696"/>
      <c r="BN13" s="696"/>
      <c r="BO13" s="696"/>
      <c r="BP13" s="696"/>
      <c r="BQ13" s="696"/>
      <c r="BR13" s="696"/>
      <c r="BS13" s="696"/>
      <c r="BT13" s="696"/>
      <c r="BU13" s="696"/>
      <c r="BV13" s="696"/>
      <c r="BW13" s="696"/>
      <c r="BX13" s="696"/>
      <c r="BY13" s="696"/>
      <c r="BZ13" s="696"/>
      <c r="CA13" s="696"/>
      <c r="CB13" s="696"/>
      <c r="CC13" s="696"/>
      <c r="CD13" s="696"/>
      <c r="CE13" s="696"/>
      <c r="CF13" s="696"/>
      <c r="CG13" s="696"/>
      <c r="CH13" s="696"/>
      <c r="CI13" s="696"/>
      <c r="CJ13" s="696"/>
      <c r="CK13" s="696"/>
      <c r="CL13" s="696"/>
      <c r="CM13" s="696"/>
      <c r="CN13" s="696"/>
      <c r="CO13" s="696"/>
      <c r="CP13" s="696"/>
      <c r="CQ13" s="696"/>
      <c r="CR13" s="696"/>
      <c r="CS13" s="696"/>
      <c r="CT13" s="696"/>
      <c r="CU13" s="696"/>
      <c r="CV13" s="696"/>
      <c r="CW13" s="696"/>
      <c r="CX13" s="696"/>
      <c r="CY13" s="696"/>
      <c r="CZ13" s="696"/>
      <c r="DA13" s="696"/>
      <c r="DB13" s="696"/>
      <c r="DC13" s="696"/>
    </row>
    <row r="14" spans="1:107" s="74" customFormat="1" ht="13.5" customHeight="1">
      <c r="A14" s="695" t="s">
        <v>320</v>
      </c>
      <c r="B14" s="483">
        <f>B19+B24+B29+B36</f>
        <v>3841308</v>
      </c>
      <c r="C14" s="483">
        <f>C19+C24+C29+C36</f>
        <v>0</v>
      </c>
      <c r="D14" s="573">
        <f t="shared" si="0"/>
        <v>0</v>
      </c>
      <c r="E14" s="483">
        <f>E19+E24+E29+E36</f>
        <v>3582720</v>
      </c>
      <c r="F14" s="483">
        <f>F19+F24+F29+F36</f>
        <v>0</v>
      </c>
      <c r="G14" s="573">
        <f t="shared" si="1"/>
        <v>0</v>
      </c>
      <c r="H14" s="483">
        <f>H19+H24+H29+H36</f>
        <v>7614289</v>
      </c>
      <c r="I14" s="483">
        <f>I19+I24+I29+I36</f>
        <v>0</v>
      </c>
      <c r="J14" s="573">
        <f t="shared" si="2"/>
        <v>0</v>
      </c>
      <c r="K14" s="695" t="s">
        <v>320</v>
      </c>
      <c r="L14" s="483">
        <v>3841</v>
      </c>
      <c r="M14" s="483">
        <v>0</v>
      </c>
      <c r="N14" s="573">
        <v>0</v>
      </c>
      <c r="O14" s="483">
        <v>3583</v>
      </c>
      <c r="P14" s="483">
        <v>0</v>
      </c>
      <c r="Q14" s="573">
        <v>0</v>
      </c>
      <c r="R14" s="483">
        <v>7615</v>
      </c>
      <c r="S14" s="483">
        <v>0</v>
      </c>
      <c r="T14" s="573">
        <v>0</v>
      </c>
      <c r="U14" s="696"/>
      <c r="V14" s="696"/>
      <c r="W14" s="696"/>
      <c r="X14" s="696"/>
      <c r="Y14" s="696"/>
      <c r="Z14" s="696"/>
      <c r="AA14" s="696"/>
      <c r="AB14" s="696"/>
      <c r="AC14" s="696"/>
      <c r="AD14" s="696"/>
      <c r="AE14" s="696"/>
      <c r="AF14" s="696"/>
      <c r="AG14" s="696"/>
      <c r="AH14" s="696"/>
      <c r="AI14" s="696"/>
      <c r="AJ14" s="696"/>
      <c r="AK14" s="696"/>
      <c r="AL14" s="696"/>
      <c r="AM14" s="696"/>
      <c r="AN14" s="696"/>
      <c r="AO14" s="696"/>
      <c r="AP14" s="696"/>
      <c r="AQ14" s="696"/>
      <c r="AR14" s="696"/>
      <c r="AS14" s="696"/>
      <c r="AT14" s="696"/>
      <c r="AU14" s="696"/>
      <c r="AV14" s="696"/>
      <c r="AW14" s="696"/>
      <c r="AX14" s="696"/>
      <c r="AY14" s="696"/>
      <c r="AZ14" s="696"/>
      <c r="BA14" s="696"/>
      <c r="BB14" s="696"/>
      <c r="BC14" s="696"/>
      <c r="BD14" s="696"/>
      <c r="BE14" s="696"/>
      <c r="BF14" s="696"/>
      <c r="BG14" s="696"/>
      <c r="BH14" s="696"/>
      <c r="BI14" s="696"/>
      <c r="BJ14" s="696"/>
      <c r="BK14" s="696"/>
      <c r="BL14" s="696"/>
      <c r="BM14" s="696"/>
      <c r="BN14" s="696"/>
      <c r="BO14" s="696"/>
      <c r="BP14" s="696"/>
      <c r="BQ14" s="696"/>
      <c r="BR14" s="696"/>
      <c r="BS14" s="696"/>
      <c r="BT14" s="696"/>
      <c r="BU14" s="696"/>
      <c r="BV14" s="696"/>
      <c r="BW14" s="696"/>
      <c r="BX14" s="696"/>
      <c r="BY14" s="696"/>
      <c r="BZ14" s="696"/>
      <c r="CA14" s="696"/>
      <c r="CB14" s="696"/>
      <c r="CC14" s="696"/>
      <c r="CD14" s="696"/>
      <c r="CE14" s="696"/>
      <c r="CF14" s="696"/>
      <c r="CG14" s="696"/>
      <c r="CH14" s="696"/>
      <c r="CI14" s="696"/>
      <c r="CJ14" s="696"/>
      <c r="CK14" s="696"/>
      <c r="CL14" s="696"/>
      <c r="CM14" s="696"/>
      <c r="CN14" s="696"/>
      <c r="CO14" s="696"/>
      <c r="CP14" s="696"/>
      <c r="CQ14" s="696"/>
      <c r="CR14" s="696"/>
      <c r="CS14" s="696"/>
      <c r="CT14" s="696"/>
      <c r="CU14" s="696"/>
      <c r="CV14" s="696"/>
      <c r="CW14" s="696"/>
      <c r="CX14" s="696"/>
      <c r="CY14" s="696"/>
      <c r="CZ14" s="696"/>
      <c r="DA14" s="696"/>
      <c r="DB14" s="696"/>
      <c r="DC14" s="696"/>
    </row>
    <row r="15" spans="1:107" s="74" customFormat="1" ht="14.25" customHeight="1">
      <c r="A15" s="479" t="s">
        <v>927</v>
      </c>
      <c r="B15" s="483">
        <f>B25+B32</f>
        <v>94000</v>
      </c>
      <c r="C15" s="483">
        <f>C25+C32</f>
        <v>0</v>
      </c>
      <c r="D15" s="573">
        <f t="shared" si="0"/>
        <v>0</v>
      </c>
      <c r="E15" s="483">
        <f>E25+E32</f>
        <v>103000</v>
      </c>
      <c r="F15" s="483">
        <f>F25+F32</f>
        <v>0</v>
      </c>
      <c r="G15" s="573">
        <f t="shared" si="1"/>
        <v>0</v>
      </c>
      <c r="H15" s="483">
        <f>H25+H32</f>
        <v>130000</v>
      </c>
      <c r="I15" s="483">
        <f>I25+I32</f>
        <v>0</v>
      </c>
      <c r="J15" s="573">
        <f t="shared" si="2"/>
        <v>0</v>
      </c>
      <c r="K15" s="479" t="s">
        <v>927</v>
      </c>
      <c r="L15" s="483">
        <v>94</v>
      </c>
      <c r="M15" s="483">
        <v>0</v>
      </c>
      <c r="N15" s="573">
        <v>0</v>
      </c>
      <c r="O15" s="483">
        <v>103</v>
      </c>
      <c r="P15" s="483">
        <v>0</v>
      </c>
      <c r="Q15" s="573">
        <v>0</v>
      </c>
      <c r="R15" s="483">
        <v>130</v>
      </c>
      <c r="S15" s="483">
        <v>0</v>
      </c>
      <c r="T15" s="573">
        <v>0</v>
      </c>
      <c r="U15" s="696"/>
      <c r="V15" s="696"/>
      <c r="W15" s="696"/>
      <c r="X15" s="696"/>
      <c r="Y15" s="696"/>
      <c r="Z15" s="696"/>
      <c r="AA15" s="696"/>
      <c r="AB15" s="696"/>
      <c r="AC15" s="696"/>
      <c r="AD15" s="696"/>
      <c r="AE15" s="696"/>
      <c r="AF15" s="696"/>
      <c r="AG15" s="696"/>
      <c r="AH15" s="696"/>
      <c r="AI15" s="696"/>
      <c r="AJ15" s="696"/>
      <c r="AK15" s="696"/>
      <c r="AL15" s="696"/>
      <c r="AM15" s="696"/>
      <c r="AN15" s="696"/>
      <c r="AO15" s="696"/>
      <c r="AP15" s="696"/>
      <c r="AQ15" s="696"/>
      <c r="AR15" s="696"/>
      <c r="AS15" s="696"/>
      <c r="AT15" s="696"/>
      <c r="AU15" s="696"/>
      <c r="AV15" s="696"/>
      <c r="AW15" s="696"/>
      <c r="AX15" s="696"/>
      <c r="AY15" s="696"/>
      <c r="AZ15" s="696"/>
      <c r="BA15" s="696"/>
      <c r="BB15" s="696"/>
      <c r="BC15" s="696"/>
      <c r="BD15" s="696"/>
      <c r="BE15" s="696"/>
      <c r="BF15" s="696"/>
      <c r="BG15" s="696"/>
      <c r="BH15" s="696"/>
      <c r="BI15" s="696"/>
      <c r="BJ15" s="696"/>
      <c r="BK15" s="696"/>
      <c r="BL15" s="696"/>
      <c r="BM15" s="696"/>
      <c r="BN15" s="696"/>
      <c r="BO15" s="696"/>
      <c r="BP15" s="696"/>
      <c r="BQ15" s="696"/>
      <c r="BR15" s="696"/>
      <c r="BS15" s="696"/>
      <c r="BT15" s="696"/>
      <c r="BU15" s="696"/>
      <c r="BV15" s="696"/>
      <c r="BW15" s="696"/>
      <c r="BX15" s="696"/>
      <c r="BY15" s="696"/>
      <c r="BZ15" s="696"/>
      <c r="CA15" s="696"/>
      <c r="CB15" s="696"/>
      <c r="CC15" s="696"/>
      <c r="CD15" s="696"/>
      <c r="CE15" s="696"/>
      <c r="CF15" s="696"/>
      <c r="CG15" s="696"/>
      <c r="CH15" s="696"/>
      <c r="CI15" s="696"/>
      <c r="CJ15" s="696"/>
      <c r="CK15" s="696"/>
      <c r="CL15" s="696"/>
      <c r="CM15" s="696"/>
      <c r="CN15" s="696"/>
      <c r="CO15" s="696"/>
      <c r="CP15" s="696"/>
      <c r="CQ15" s="696"/>
      <c r="CR15" s="696"/>
      <c r="CS15" s="696"/>
      <c r="CT15" s="696"/>
      <c r="CU15" s="696"/>
      <c r="CV15" s="696"/>
      <c r="CW15" s="696"/>
      <c r="CX15" s="696"/>
      <c r="CY15" s="696"/>
      <c r="CZ15" s="696"/>
      <c r="DA15" s="696"/>
      <c r="DB15" s="696"/>
      <c r="DC15" s="696"/>
    </row>
    <row r="16" spans="1:107" s="74" customFormat="1" ht="14.25" customHeight="1">
      <c r="A16" s="479" t="s">
        <v>549</v>
      </c>
      <c r="B16" s="483">
        <f>B21+B26+B30+B33</f>
        <v>18510723</v>
      </c>
      <c r="C16" s="483">
        <f>C21+C26+C30+C33</f>
        <v>0</v>
      </c>
      <c r="D16" s="573">
        <f t="shared" si="0"/>
        <v>0</v>
      </c>
      <c r="E16" s="483">
        <f>E21+E26+E30+E33</f>
        <v>12871268</v>
      </c>
      <c r="F16" s="483">
        <f>F21+F26+F30+F33</f>
        <v>0</v>
      </c>
      <c r="G16" s="573">
        <f t="shared" si="1"/>
        <v>0</v>
      </c>
      <c r="H16" s="483">
        <f>H21+H26+H30+H33</f>
        <v>25205000</v>
      </c>
      <c r="I16" s="483">
        <f>I21+I26+I30+I33</f>
        <v>0</v>
      </c>
      <c r="J16" s="573">
        <f t="shared" si="2"/>
        <v>0</v>
      </c>
      <c r="K16" s="479" t="s">
        <v>549</v>
      </c>
      <c r="L16" s="483">
        <v>18511</v>
      </c>
      <c r="M16" s="483">
        <v>0</v>
      </c>
      <c r="N16" s="573">
        <v>0</v>
      </c>
      <c r="O16" s="483">
        <v>12871</v>
      </c>
      <c r="P16" s="483">
        <v>0</v>
      </c>
      <c r="Q16" s="573">
        <v>0</v>
      </c>
      <c r="R16" s="483">
        <v>25205</v>
      </c>
      <c r="S16" s="483">
        <v>0</v>
      </c>
      <c r="T16" s="573">
        <v>0</v>
      </c>
      <c r="U16" s="696"/>
      <c r="V16" s="696"/>
      <c r="W16" s="696"/>
      <c r="X16" s="696"/>
      <c r="Y16" s="696"/>
      <c r="Z16" s="696"/>
      <c r="AA16" s="696"/>
      <c r="AB16" s="696"/>
      <c r="AC16" s="696"/>
      <c r="AD16" s="696"/>
      <c r="AE16" s="696"/>
      <c r="AF16" s="696"/>
      <c r="AG16" s="696"/>
      <c r="AH16" s="696"/>
      <c r="AI16" s="696"/>
      <c r="AJ16" s="696"/>
      <c r="AK16" s="696"/>
      <c r="AL16" s="696"/>
      <c r="AM16" s="696"/>
      <c r="AN16" s="696"/>
      <c r="AO16" s="696"/>
      <c r="AP16" s="696"/>
      <c r="AQ16" s="696"/>
      <c r="AR16" s="696"/>
      <c r="AS16" s="696"/>
      <c r="AT16" s="696"/>
      <c r="AU16" s="696"/>
      <c r="AV16" s="696"/>
      <c r="AW16" s="696"/>
      <c r="AX16" s="696"/>
      <c r="AY16" s="696"/>
      <c r="AZ16" s="696"/>
      <c r="BA16" s="696"/>
      <c r="BB16" s="696"/>
      <c r="BC16" s="696"/>
      <c r="BD16" s="696"/>
      <c r="BE16" s="696"/>
      <c r="BF16" s="696"/>
      <c r="BG16" s="696"/>
      <c r="BH16" s="696"/>
      <c r="BI16" s="696"/>
      <c r="BJ16" s="696"/>
      <c r="BK16" s="696"/>
      <c r="BL16" s="696"/>
      <c r="BM16" s="696"/>
      <c r="BN16" s="696"/>
      <c r="BO16" s="696"/>
      <c r="BP16" s="696"/>
      <c r="BQ16" s="696"/>
      <c r="BR16" s="696"/>
      <c r="BS16" s="696"/>
      <c r="BT16" s="696"/>
      <c r="BU16" s="696"/>
      <c r="BV16" s="696"/>
      <c r="BW16" s="696"/>
      <c r="BX16" s="696"/>
      <c r="BY16" s="696"/>
      <c r="BZ16" s="696"/>
      <c r="CA16" s="696"/>
      <c r="CB16" s="696"/>
      <c r="CC16" s="696"/>
      <c r="CD16" s="696"/>
      <c r="CE16" s="696"/>
      <c r="CF16" s="696"/>
      <c r="CG16" s="696"/>
      <c r="CH16" s="696"/>
      <c r="CI16" s="696"/>
      <c r="CJ16" s="696"/>
      <c r="CK16" s="696"/>
      <c r="CL16" s="696"/>
      <c r="CM16" s="696"/>
      <c r="CN16" s="696"/>
      <c r="CO16" s="696"/>
      <c r="CP16" s="696"/>
      <c r="CQ16" s="696"/>
      <c r="CR16" s="696"/>
      <c r="CS16" s="696"/>
      <c r="CT16" s="696"/>
      <c r="CU16" s="696"/>
      <c r="CV16" s="696"/>
      <c r="CW16" s="696"/>
      <c r="CX16" s="696"/>
      <c r="CY16" s="696"/>
      <c r="CZ16" s="696"/>
      <c r="DA16" s="696"/>
      <c r="DB16" s="696"/>
      <c r="DC16" s="696"/>
    </row>
    <row r="17" spans="1:20" ht="12.75">
      <c r="A17" s="74" t="s">
        <v>256</v>
      </c>
      <c r="B17" s="485">
        <f>SUM(B18:B19)</f>
        <v>1297878</v>
      </c>
      <c r="C17" s="485">
        <f>SUM(C18:C19)</f>
        <v>0</v>
      </c>
      <c r="D17" s="698">
        <f t="shared" si="0"/>
        <v>0</v>
      </c>
      <c r="E17" s="485">
        <f>SUM(E18:E19)</f>
        <v>1496344</v>
      </c>
      <c r="F17" s="485">
        <f>SUM(F18:F19)</f>
        <v>0</v>
      </c>
      <c r="G17" s="698">
        <f t="shared" si="1"/>
        <v>0</v>
      </c>
      <c r="H17" s="485">
        <f>SUM(H18:H19)</f>
        <v>0</v>
      </c>
      <c r="I17" s="485">
        <f>SUM(I18:I19)</f>
        <v>0</v>
      </c>
      <c r="J17" s="573" t="e">
        <f t="shared" si="2"/>
        <v>#DIV/0!</v>
      </c>
      <c r="K17" s="74" t="s">
        <v>256</v>
      </c>
      <c r="L17" s="485">
        <v>1298</v>
      </c>
      <c r="M17" s="485">
        <v>0</v>
      </c>
      <c r="N17" s="698">
        <v>0</v>
      </c>
      <c r="O17" s="485">
        <v>1496</v>
      </c>
      <c r="P17" s="485">
        <v>0</v>
      </c>
      <c r="Q17" s="698">
        <v>0</v>
      </c>
      <c r="R17" s="485">
        <v>0</v>
      </c>
      <c r="S17" s="485">
        <v>0</v>
      </c>
      <c r="T17" s="698"/>
    </row>
    <row r="18" spans="1:107" s="482" customFormat="1" ht="12.75">
      <c r="A18" s="487" t="s">
        <v>926</v>
      </c>
      <c r="B18" s="27">
        <v>180888</v>
      </c>
      <c r="C18" s="27"/>
      <c r="D18" s="699">
        <f t="shared" si="0"/>
        <v>0</v>
      </c>
      <c r="E18" s="27">
        <v>379354</v>
      </c>
      <c r="F18" s="27"/>
      <c r="G18" s="699">
        <f t="shared" si="1"/>
        <v>0</v>
      </c>
      <c r="H18" s="27"/>
      <c r="I18" s="27"/>
      <c r="J18" s="573" t="e">
        <f t="shared" si="2"/>
        <v>#DIV/0!</v>
      </c>
      <c r="K18" s="487" t="s">
        <v>926</v>
      </c>
      <c r="L18" s="27">
        <v>181</v>
      </c>
      <c r="M18" s="27">
        <v>0</v>
      </c>
      <c r="N18" s="699">
        <v>0</v>
      </c>
      <c r="O18" s="27">
        <v>379</v>
      </c>
      <c r="P18" s="27">
        <v>0</v>
      </c>
      <c r="Q18" s="699">
        <v>0</v>
      </c>
      <c r="R18" s="27">
        <v>0</v>
      </c>
      <c r="S18" s="27">
        <v>0</v>
      </c>
      <c r="T18" s="699"/>
      <c r="U18" s="481"/>
      <c r="V18" s="481"/>
      <c r="W18" s="481"/>
      <c r="X18" s="481"/>
      <c r="Y18" s="481"/>
      <c r="Z18" s="481"/>
      <c r="AA18" s="481"/>
      <c r="AB18" s="481"/>
      <c r="AC18" s="481"/>
      <c r="AD18" s="481"/>
      <c r="AE18" s="481"/>
      <c r="AF18" s="481"/>
      <c r="AG18" s="481"/>
      <c r="AH18" s="481"/>
      <c r="AI18" s="481"/>
      <c r="AJ18" s="481"/>
      <c r="AK18" s="481"/>
      <c r="AL18" s="481"/>
      <c r="AM18" s="481"/>
      <c r="AN18" s="481"/>
      <c r="AO18" s="481"/>
      <c r="AP18" s="481"/>
      <c r="AQ18" s="481"/>
      <c r="AR18" s="481"/>
      <c r="AS18" s="481"/>
      <c r="AT18" s="481"/>
      <c r="AU18" s="481"/>
      <c r="AV18" s="481"/>
      <c r="AW18" s="481"/>
      <c r="AX18" s="481"/>
      <c r="AY18" s="481"/>
      <c r="AZ18" s="481"/>
      <c r="BA18" s="481"/>
      <c r="BB18" s="481"/>
      <c r="BC18" s="481"/>
      <c r="BD18" s="481"/>
      <c r="BE18" s="481"/>
      <c r="BF18" s="481"/>
      <c r="BG18" s="481"/>
      <c r="BH18" s="481"/>
      <c r="BI18" s="481"/>
      <c r="BJ18" s="481"/>
      <c r="BK18" s="481"/>
      <c r="BL18" s="481"/>
      <c r="BM18" s="481"/>
      <c r="BN18" s="481"/>
      <c r="BO18" s="481"/>
      <c r="BP18" s="481"/>
      <c r="BQ18" s="481"/>
      <c r="BR18" s="481"/>
      <c r="BS18" s="481"/>
      <c r="BT18" s="481"/>
      <c r="BU18" s="481"/>
      <c r="BV18" s="481"/>
      <c r="BW18" s="481"/>
      <c r="BX18" s="481"/>
      <c r="BY18" s="481"/>
      <c r="BZ18" s="481"/>
      <c r="CA18" s="481"/>
      <c r="CB18" s="481"/>
      <c r="CC18" s="481"/>
      <c r="CD18" s="481"/>
      <c r="CE18" s="481"/>
      <c r="CF18" s="481"/>
      <c r="CG18" s="481"/>
      <c r="CH18" s="481"/>
      <c r="CI18" s="481"/>
      <c r="CJ18" s="481"/>
      <c r="CK18" s="481"/>
      <c r="CL18" s="481"/>
      <c r="CM18" s="481"/>
      <c r="CN18" s="481"/>
      <c r="CO18" s="481"/>
      <c r="CP18" s="481"/>
      <c r="CQ18" s="481"/>
      <c r="CR18" s="481"/>
      <c r="CS18" s="481"/>
      <c r="CT18" s="481"/>
      <c r="CU18" s="481"/>
      <c r="CV18" s="481"/>
      <c r="CW18" s="481"/>
      <c r="CX18" s="481"/>
      <c r="CY18" s="481"/>
      <c r="CZ18" s="481"/>
      <c r="DA18" s="481"/>
      <c r="DB18" s="481"/>
      <c r="DC18" s="481"/>
    </row>
    <row r="19" spans="1:107" s="482" customFormat="1" ht="12.75">
      <c r="A19" s="487" t="s">
        <v>320</v>
      </c>
      <c r="B19" s="27">
        <v>1116990</v>
      </c>
      <c r="C19" s="27"/>
      <c r="D19" s="699">
        <f t="shared" si="0"/>
        <v>0</v>
      </c>
      <c r="E19" s="27">
        <v>1116990</v>
      </c>
      <c r="F19" s="27"/>
      <c r="G19" s="699">
        <f t="shared" si="1"/>
        <v>0</v>
      </c>
      <c r="H19" s="27"/>
      <c r="I19" s="27"/>
      <c r="J19" s="573" t="e">
        <f t="shared" si="2"/>
        <v>#DIV/0!</v>
      </c>
      <c r="K19" s="487" t="s">
        <v>320</v>
      </c>
      <c r="L19" s="27">
        <v>1117</v>
      </c>
      <c r="M19" s="27">
        <v>0</v>
      </c>
      <c r="N19" s="699">
        <v>0</v>
      </c>
      <c r="O19" s="27">
        <v>1117</v>
      </c>
      <c r="P19" s="27">
        <v>0</v>
      </c>
      <c r="Q19" s="699">
        <v>0</v>
      </c>
      <c r="R19" s="27">
        <v>0</v>
      </c>
      <c r="S19" s="27">
        <v>0</v>
      </c>
      <c r="T19" s="699"/>
      <c r="U19" s="481"/>
      <c r="V19" s="481"/>
      <c r="W19" s="481"/>
      <c r="X19" s="481"/>
      <c r="Y19" s="481"/>
      <c r="Z19" s="481"/>
      <c r="AA19" s="481"/>
      <c r="AB19" s="481"/>
      <c r="AC19" s="481"/>
      <c r="AD19" s="481"/>
      <c r="AE19" s="481"/>
      <c r="AF19" s="481"/>
      <c r="AG19" s="481"/>
      <c r="AH19" s="481"/>
      <c r="AI19" s="481"/>
      <c r="AJ19" s="481"/>
      <c r="AK19" s="481"/>
      <c r="AL19" s="481"/>
      <c r="AM19" s="481"/>
      <c r="AN19" s="481"/>
      <c r="AO19" s="481"/>
      <c r="AP19" s="481"/>
      <c r="AQ19" s="481"/>
      <c r="AR19" s="481"/>
      <c r="AS19" s="481"/>
      <c r="AT19" s="481"/>
      <c r="AU19" s="481"/>
      <c r="AV19" s="481"/>
      <c r="AW19" s="481"/>
      <c r="AX19" s="481"/>
      <c r="AY19" s="481"/>
      <c r="AZ19" s="481"/>
      <c r="BA19" s="481"/>
      <c r="BB19" s="481"/>
      <c r="BC19" s="481"/>
      <c r="BD19" s="481"/>
      <c r="BE19" s="481"/>
      <c r="BF19" s="481"/>
      <c r="BG19" s="481"/>
      <c r="BH19" s="481"/>
      <c r="BI19" s="481"/>
      <c r="BJ19" s="481"/>
      <c r="BK19" s="481"/>
      <c r="BL19" s="481"/>
      <c r="BM19" s="481"/>
      <c r="BN19" s="481"/>
      <c r="BO19" s="481"/>
      <c r="BP19" s="481"/>
      <c r="BQ19" s="481"/>
      <c r="BR19" s="481"/>
      <c r="BS19" s="481"/>
      <c r="BT19" s="481"/>
      <c r="BU19" s="481"/>
      <c r="BV19" s="481"/>
      <c r="BW19" s="481"/>
      <c r="BX19" s="481"/>
      <c r="BY19" s="481"/>
      <c r="BZ19" s="481"/>
      <c r="CA19" s="481"/>
      <c r="CB19" s="481"/>
      <c r="CC19" s="481"/>
      <c r="CD19" s="481"/>
      <c r="CE19" s="481"/>
      <c r="CF19" s="481"/>
      <c r="CG19" s="481"/>
      <c r="CH19" s="481"/>
      <c r="CI19" s="481"/>
      <c r="CJ19" s="481"/>
      <c r="CK19" s="481"/>
      <c r="CL19" s="481"/>
      <c r="CM19" s="481"/>
      <c r="CN19" s="481"/>
      <c r="CO19" s="481"/>
      <c r="CP19" s="481"/>
      <c r="CQ19" s="481"/>
      <c r="CR19" s="481"/>
      <c r="CS19" s="481"/>
      <c r="CT19" s="481"/>
      <c r="CU19" s="481"/>
      <c r="CV19" s="481"/>
      <c r="CW19" s="481"/>
      <c r="CX19" s="481"/>
      <c r="CY19" s="481"/>
      <c r="CZ19" s="481"/>
      <c r="DA19" s="481"/>
      <c r="DB19" s="481"/>
      <c r="DC19" s="481"/>
    </row>
    <row r="20" spans="1:20" ht="12.75">
      <c r="A20" s="74" t="s">
        <v>258</v>
      </c>
      <c r="B20" s="485">
        <f>SUM(B21:B21)</f>
        <v>72000</v>
      </c>
      <c r="C20" s="485">
        <f>SUM(C21:C21)</f>
        <v>0</v>
      </c>
      <c r="D20" s="698">
        <f t="shared" si="0"/>
        <v>0</v>
      </c>
      <c r="E20" s="485">
        <f>SUM(E21:E21)</f>
        <v>68000</v>
      </c>
      <c r="F20" s="485">
        <f>SUM(F21:F21)</f>
        <v>0</v>
      </c>
      <c r="G20" s="698">
        <f t="shared" si="1"/>
        <v>0</v>
      </c>
      <c r="H20" s="485">
        <f>SUM(H21:H21)</f>
        <v>83000</v>
      </c>
      <c r="I20" s="485">
        <f>SUM(I21:I21)</f>
        <v>0</v>
      </c>
      <c r="J20" s="573">
        <f t="shared" si="2"/>
        <v>0</v>
      </c>
      <c r="K20" s="74" t="s">
        <v>258</v>
      </c>
      <c r="L20" s="485">
        <v>72</v>
      </c>
      <c r="M20" s="485">
        <v>0</v>
      </c>
      <c r="N20" s="698">
        <v>0</v>
      </c>
      <c r="O20" s="485">
        <v>68</v>
      </c>
      <c r="P20" s="485">
        <v>0</v>
      </c>
      <c r="Q20" s="698">
        <v>0</v>
      </c>
      <c r="R20" s="485">
        <v>83</v>
      </c>
      <c r="S20" s="485">
        <v>0</v>
      </c>
      <c r="T20" s="698">
        <v>0</v>
      </c>
    </row>
    <row r="21" spans="1:107" s="482" customFormat="1" ht="12.75">
      <c r="A21" s="487" t="s">
        <v>549</v>
      </c>
      <c r="B21" s="27">
        <v>72000</v>
      </c>
      <c r="C21" s="27"/>
      <c r="D21" s="699">
        <f t="shared" si="0"/>
        <v>0</v>
      </c>
      <c r="E21" s="27">
        <v>68000</v>
      </c>
      <c r="F21" s="27"/>
      <c r="G21" s="699">
        <f t="shared" si="1"/>
        <v>0</v>
      </c>
      <c r="H21" s="27">
        <v>83000</v>
      </c>
      <c r="I21" s="27"/>
      <c r="J21" s="573">
        <f t="shared" si="2"/>
        <v>0</v>
      </c>
      <c r="K21" s="487" t="s">
        <v>549</v>
      </c>
      <c r="L21" s="27">
        <v>72</v>
      </c>
      <c r="M21" s="27">
        <v>0</v>
      </c>
      <c r="N21" s="699">
        <v>0</v>
      </c>
      <c r="O21" s="27">
        <v>68</v>
      </c>
      <c r="P21" s="27">
        <v>0</v>
      </c>
      <c r="Q21" s="699">
        <v>0</v>
      </c>
      <c r="R21" s="27">
        <v>83</v>
      </c>
      <c r="S21" s="27">
        <v>0</v>
      </c>
      <c r="T21" s="699">
        <v>0</v>
      </c>
      <c r="U21" s="481"/>
      <c r="V21" s="481"/>
      <c r="W21" s="481"/>
      <c r="X21" s="481"/>
      <c r="Y21" s="481"/>
      <c r="Z21" s="481"/>
      <c r="AA21" s="481"/>
      <c r="AB21" s="481"/>
      <c r="AC21" s="481"/>
      <c r="AD21" s="481"/>
      <c r="AE21" s="481"/>
      <c r="AF21" s="481"/>
      <c r="AG21" s="481"/>
      <c r="AH21" s="481"/>
      <c r="AI21" s="481"/>
      <c r="AJ21" s="481"/>
      <c r="AK21" s="481"/>
      <c r="AL21" s="481"/>
      <c r="AM21" s="481"/>
      <c r="AN21" s="481"/>
      <c r="AO21" s="481"/>
      <c r="AP21" s="481"/>
      <c r="AQ21" s="481"/>
      <c r="AR21" s="481"/>
      <c r="AS21" s="481"/>
      <c r="AT21" s="481"/>
      <c r="AU21" s="481"/>
      <c r="AV21" s="481"/>
      <c r="AW21" s="481"/>
      <c r="AX21" s="481"/>
      <c r="AY21" s="481"/>
      <c r="AZ21" s="481"/>
      <c r="BA21" s="481"/>
      <c r="BB21" s="481"/>
      <c r="BC21" s="481"/>
      <c r="BD21" s="481"/>
      <c r="BE21" s="481"/>
      <c r="BF21" s="481"/>
      <c r="BG21" s="481"/>
      <c r="BH21" s="481"/>
      <c r="BI21" s="481"/>
      <c r="BJ21" s="481"/>
      <c r="BK21" s="481"/>
      <c r="BL21" s="481"/>
      <c r="BM21" s="481"/>
      <c r="BN21" s="481"/>
      <c r="BO21" s="481"/>
      <c r="BP21" s="481"/>
      <c r="BQ21" s="481"/>
      <c r="BR21" s="481"/>
      <c r="BS21" s="481"/>
      <c r="BT21" s="481"/>
      <c r="BU21" s="481"/>
      <c r="BV21" s="481"/>
      <c r="BW21" s="481"/>
      <c r="BX21" s="481"/>
      <c r="BY21" s="481"/>
      <c r="BZ21" s="481"/>
      <c r="CA21" s="481"/>
      <c r="CB21" s="481"/>
      <c r="CC21" s="481"/>
      <c r="CD21" s="481"/>
      <c r="CE21" s="481"/>
      <c r="CF21" s="481"/>
      <c r="CG21" s="481"/>
      <c r="CH21" s="481"/>
      <c r="CI21" s="481"/>
      <c r="CJ21" s="481"/>
      <c r="CK21" s="481"/>
      <c r="CL21" s="481"/>
      <c r="CM21" s="481"/>
      <c r="CN21" s="481"/>
      <c r="CO21" s="481"/>
      <c r="CP21" s="481"/>
      <c r="CQ21" s="481"/>
      <c r="CR21" s="481"/>
      <c r="CS21" s="481"/>
      <c r="CT21" s="481"/>
      <c r="CU21" s="481"/>
      <c r="CV21" s="481"/>
      <c r="CW21" s="481"/>
      <c r="CX21" s="481"/>
      <c r="CY21" s="481"/>
      <c r="CZ21" s="481"/>
      <c r="DA21" s="481"/>
      <c r="DB21" s="481"/>
      <c r="DC21" s="481"/>
    </row>
    <row r="22" spans="1:20" ht="12.75">
      <c r="A22" s="74" t="s">
        <v>260</v>
      </c>
      <c r="B22" s="485">
        <f>SUM(B23:B26)</f>
        <v>16153402</v>
      </c>
      <c r="C22" s="485">
        <f>SUM(C23:C26)</f>
        <v>0</v>
      </c>
      <c r="D22" s="698">
        <f t="shared" si="0"/>
        <v>0</v>
      </c>
      <c r="E22" s="485">
        <f>SUM(E23:E26)</f>
        <v>16421295</v>
      </c>
      <c r="F22" s="485">
        <f>SUM(F23:F26)</f>
        <v>0</v>
      </c>
      <c r="G22" s="698">
        <f t="shared" si="1"/>
        <v>0</v>
      </c>
      <c r="H22" s="485">
        <f>SUM(H23:H26)</f>
        <v>42942000</v>
      </c>
      <c r="I22" s="485">
        <f>SUM(I23:I26)</f>
        <v>0</v>
      </c>
      <c r="J22" s="698">
        <f t="shared" si="2"/>
        <v>0</v>
      </c>
      <c r="K22" s="74" t="s">
        <v>260</v>
      </c>
      <c r="L22" s="485">
        <v>16153</v>
      </c>
      <c r="M22" s="485">
        <v>0</v>
      </c>
      <c r="N22" s="698">
        <v>0</v>
      </c>
      <c r="O22" s="485">
        <v>16422</v>
      </c>
      <c r="P22" s="485">
        <v>0</v>
      </c>
      <c r="Q22" s="698">
        <v>0</v>
      </c>
      <c r="R22" s="485">
        <v>42942</v>
      </c>
      <c r="S22" s="485">
        <v>0</v>
      </c>
      <c r="T22" s="698">
        <v>0</v>
      </c>
    </row>
    <row r="23" spans="1:107" s="482" customFormat="1" ht="12.75">
      <c r="A23" s="487" t="s">
        <v>926</v>
      </c>
      <c r="B23" s="27">
        <v>4232472</v>
      </c>
      <c r="C23" s="27"/>
      <c r="D23" s="699">
        <f t="shared" si="0"/>
        <v>0</v>
      </c>
      <c r="E23" s="27">
        <v>4740805</v>
      </c>
      <c r="F23" s="27"/>
      <c r="G23" s="699">
        <f t="shared" si="1"/>
        <v>0</v>
      </c>
      <c r="H23" s="27">
        <v>25892000</v>
      </c>
      <c r="I23" s="27"/>
      <c r="J23" s="699">
        <f t="shared" si="2"/>
        <v>0</v>
      </c>
      <c r="K23" s="487" t="s">
        <v>926</v>
      </c>
      <c r="L23" s="27">
        <v>4232</v>
      </c>
      <c r="M23" s="27">
        <v>0</v>
      </c>
      <c r="N23" s="699">
        <v>0</v>
      </c>
      <c r="O23" s="27">
        <v>4741</v>
      </c>
      <c r="P23" s="27">
        <v>0</v>
      </c>
      <c r="Q23" s="699">
        <v>0</v>
      </c>
      <c r="R23" s="27">
        <v>25892</v>
      </c>
      <c r="S23" s="27">
        <v>0</v>
      </c>
      <c r="T23" s="699">
        <v>0</v>
      </c>
      <c r="U23" s="481"/>
      <c r="V23" s="481"/>
      <c r="W23" s="481"/>
      <c r="X23" s="481"/>
      <c r="Y23" s="481"/>
      <c r="Z23" s="481"/>
      <c r="AA23" s="481"/>
      <c r="AB23" s="481"/>
      <c r="AC23" s="481"/>
      <c r="AD23" s="481"/>
      <c r="AE23" s="481"/>
      <c r="AF23" s="481"/>
      <c r="AG23" s="481"/>
      <c r="AH23" s="481"/>
      <c r="AI23" s="481"/>
      <c r="AJ23" s="481"/>
      <c r="AK23" s="481"/>
      <c r="AL23" s="481"/>
      <c r="AM23" s="481"/>
      <c r="AN23" s="481"/>
      <c r="AO23" s="481"/>
      <c r="AP23" s="481"/>
      <c r="AQ23" s="481"/>
      <c r="AR23" s="481"/>
      <c r="AS23" s="481"/>
      <c r="AT23" s="481"/>
      <c r="AU23" s="481"/>
      <c r="AV23" s="481"/>
      <c r="AW23" s="481"/>
      <c r="AX23" s="481"/>
      <c r="AY23" s="481"/>
      <c r="AZ23" s="481"/>
      <c r="BA23" s="481"/>
      <c r="BB23" s="481"/>
      <c r="BC23" s="481"/>
      <c r="BD23" s="481"/>
      <c r="BE23" s="481"/>
      <c r="BF23" s="481"/>
      <c r="BG23" s="481"/>
      <c r="BH23" s="481"/>
      <c r="BI23" s="481"/>
      <c r="BJ23" s="481"/>
      <c r="BK23" s="481"/>
      <c r="BL23" s="481"/>
      <c r="BM23" s="481"/>
      <c r="BN23" s="481"/>
      <c r="BO23" s="481"/>
      <c r="BP23" s="481"/>
      <c r="BQ23" s="481"/>
      <c r="BR23" s="481"/>
      <c r="BS23" s="481"/>
      <c r="BT23" s="481"/>
      <c r="BU23" s="481"/>
      <c r="BV23" s="481"/>
      <c r="BW23" s="481"/>
      <c r="BX23" s="481"/>
      <c r="BY23" s="481"/>
      <c r="BZ23" s="481"/>
      <c r="CA23" s="481"/>
      <c r="CB23" s="481"/>
      <c r="CC23" s="481"/>
      <c r="CD23" s="481"/>
      <c r="CE23" s="481"/>
      <c r="CF23" s="481"/>
      <c r="CG23" s="481"/>
      <c r="CH23" s="481"/>
      <c r="CI23" s="481"/>
      <c r="CJ23" s="481"/>
      <c r="CK23" s="481"/>
      <c r="CL23" s="481"/>
      <c r="CM23" s="481"/>
      <c r="CN23" s="481"/>
      <c r="CO23" s="481"/>
      <c r="CP23" s="481"/>
      <c r="CQ23" s="481"/>
      <c r="CR23" s="481"/>
      <c r="CS23" s="481"/>
      <c r="CT23" s="481"/>
      <c r="CU23" s="481"/>
      <c r="CV23" s="481"/>
      <c r="CW23" s="481"/>
      <c r="CX23" s="481"/>
      <c r="CY23" s="481"/>
      <c r="CZ23" s="481"/>
      <c r="DA23" s="481"/>
      <c r="DB23" s="481"/>
      <c r="DC23" s="481"/>
    </row>
    <row r="24" spans="1:107" s="482" customFormat="1" ht="12.75">
      <c r="A24" s="487" t="s">
        <v>320</v>
      </c>
      <c r="B24" s="27">
        <v>1844930</v>
      </c>
      <c r="C24" s="27"/>
      <c r="D24" s="699">
        <f t="shared" si="0"/>
        <v>0</v>
      </c>
      <c r="E24" s="27">
        <v>1604490</v>
      </c>
      <c r="F24" s="27"/>
      <c r="G24" s="699">
        <f t="shared" si="1"/>
        <v>0</v>
      </c>
      <c r="H24" s="27">
        <v>5940000</v>
      </c>
      <c r="I24" s="27"/>
      <c r="J24" s="699">
        <f t="shared" si="2"/>
        <v>0</v>
      </c>
      <c r="K24" s="487" t="s">
        <v>320</v>
      </c>
      <c r="L24" s="27">
        <v>1845</v>
      </c>
      <c r="M24" s="27">
        <v>0</v>
      </c>
      <c r="N24" s="699">
        <v>0</v>
      </c>
      <c r="O24" s="27">
        <v>1605</v>
      </c>
      <c r="P24" s="27">
        <v>0</v>
      </c>
      <c r="Q24" s="699">
        <v>0</v>
      </c>
      <c r="R24" s="27">
        <v>5940</v>
      </c>
      <c r="S24" s="27">
        <v>0</v>
      </c>
      <c r="T24" s="699">
        <v>0</v>
      </c>
      <c r="U24" s="481"/>
      <c r="V24" s="481"/>
      <c r="W24" s="481"/>
      <c r="X24" s="481"/>
      <c r="Y24" s="481"/>
      <c r="Z24" s="481"/>
      <c r="AA24" s="481"/>
      <c r="AB24" s="481"/>
      <c r="AC24" s="481"/>
      <c r="AD24" s="481"/>
      <c r="AE24" s="481"/>
      <c r="AF24" s="481"/>
      <c r="AG24" s="481"/>
      <c r="AH24" s="481"/>
      <c r="AI24" s="481"/>
      <c r="AJ24" s="481"/>
      <c r="AK24" s="481"/>
      <c r="AL24" s="481"/>
      <c r="AM24" s="481"/>
      <c r="AN24" s="481"/>
      <c r="AO24" s="481"/>
      <c r="AP24" s="481"/>
      <c r="AQ24" s="481"/>
      <c r="AR24" s="481"/>
      <c r="AS24" s="481"/>
      <c r="AT24" s="481"/>
      <c r="AU24" s="481"/>
      <c r="AV24" s="481"/>
      <c r="AW24" s="481"/>
      <c r="AX24" s="481"/>
      <c r="AY24" s="481"/>
      <c r="AZ24" s="481"/>
      <c r="BA24" s="481"/>
      <c r="BB24" s="481"/>
      <c r="BC24" s="481"/>
      <c r="BD24" s="481"/>
      <c r="BE24" s="481"/>
      <c r="BF24" s="481"/>
      <c r="BG24" s="481"/>
      <c r="BH24" s="481"/>
      <c r="BI24" s="481"/>
      <c r="BJ24" s="481"/>
      <c r="BK24" s="481"/>
      <c r="BL24" s="481"/>
      <c r="BM24" s="481"/>
      <c r="BN24" s="481"/>
      <c r="BO24" s="481"/>
      <c r="BP24" s="481"/>
      <c r="BQ24" s="481"/>
      <c r="BR24" s="481"/>
      <c r="BS24" s="481"/>
      <c r="BT24" s="481"/>
      <c r="BU24" s="481"/>
      <c r="BV24" s="481"/>
      <c r="BW24" s="481"/>
      <c r="BX24" s="481"/>
      <c r="BY24" s="481"/>
      <c r="BZ24" s="481"/>
      <c r="CA24" s="481"/>
      <c r="CB24" s="481"/>
      <c r="CC24" s="481"/>
      <c r="CD24" s="481"/>
      <c r="CE24" s="481"/>
      <c r="CF24" s="481"/>
      <c r="CG24" s="481"/>
      <c r="CH24" s="481"/>
      <c r="CI24" s="481"/>
      <c r="CJ24" s="481"/>
      <c r="CK24" s="481"/>
      <c r="CL24" s="481"/>
      <c r="CM24" s="481"/>
      <c r="CN24" s="481"/>
      <c r="CO24" s="481"/>
      <c r="CP24" s="481"/>
      <c r="CQ24" s="481"/>
      <c r="CR24" s="481"/>
      <c r="CS24" s="481"/>
      <c r="CT24" s="481"/>
      <c r="CU24" s="481"/>
      <c r="CV24" s="481"/>
      <c r="CW24" s="481"/>
      <c r="CX24" s="481"/>
      <c r="CY24" s="481"/>
      <c r="CZ24" s="481"/>
      <c r="DA24" s="481"/>
      <c r="DB24" s="481"/>
      <c r="DC24" s="481"/>
    </row>
    <row r="25" spans="1:107" s="482" customFormat="1" ht="12.75">
      <c r="A25" s="487" t="s">
        <v>927</v>
      </c>
      <c r="B25" s="27">
        <v>76000</v>
      </c>
      <c r="C25" s="27"/>
      <c r="D25" s="699">
        <f t="shared" si="0"/>
        <v>0</v>
      </c>
      <c r="E25" s="27">
        <v>76000</v>
      </c>
      <c r="F25" s="27"/>
      <c r="G25" s="699">
        <f t="shared" si="1"/>
        <v>0</v>
      </c>
      <c r="H25" s="27">
        <v>76000</v>
      </c>
      <c r="I25" s="27"/>
      <c r="J25" s="699">
        <f t="shared" si="2"/>
        <v>0</v>
      </c>
      <c r="K25" s="487" t="s">
        <v>927</v>
      </c>
      <c r="L25" s="27">
        <v>76</v>
      </c>
      <c r="M25" s="27">
        <v>0</v>
      </c>
      <c r="N25" s="699">
        <v>0</v>
      </c>
      <c r="O25" s="27">
        <v>76</v>
      </c>
      <c r="P25" s="27">
        <v>0</v>
      </c>
      <c r="Q25" s="699">
        <v>0</v>
      </c>
      <c r="R25" s="27">
        <v>76</v>
      </c>
      <c r="S25" s="27">
        <v>0</v>
      </c>
      <c r="T25" s="699">
        <v>0</v>
      </c>
      <c r="U25" s="481"/>
      <c r="V25" s="481"/>
      <c r="W25" s="481"/>
      <c r="X25" s="481"/>
      <c r="Y25" s="481"/>
      <c r="Z25" s="481"/>
      <c r="AA25" s="481"/>
      <c r="AB25" s="481"/>
      <c r="AC25" s="481"/>
      <c r="AD25" s="481"/>
      <c r="AE25" s="481"/>
      <c r="AF25" s="481"/>
      <c r="AG25" s="481"/>
      <c r="AH25" s="481"/>
      <c r="AI25" s="481"/>
      <c r="AJ25" s="481"/>
      <c r="AK25" s="481"/>
      <c r="AL25" s="481"/>
      <c r="AM25" s="481"/>
      <c r="AN25" s="481"/>
      <c r="AO25" s="481"/>
      <c r="AP25" s="481"/>
      <c r="AQ25" s="481"/>
      <c r="AR25" s="481"/>
      <c r="AS25" s="481"/>
      <c r="AT25" s="481"/>
      <c r="AU25" s="481"/>
      <c r="AV25" s="481"/>
      <c r="AW25" s="481"/>
      <c r="AX25" s="481"/>
      <c r="AY25" s="481"/>
      <c r="AZ25" s="481"/>
      <c r="BA25" s="481"/>
      <c r="BB25" s="481"/>
      <c r="BC25" s="481"/>
      <c r="BD25" s="481"/>
      <c r="BE25" s="481"/>
      <c r="BF25" s="481"/>
      <c r="BG25" s="481"/>
      <c r="BH25" s="481"/>
      <c r="BI25" s="481"/>
      <c r="BJ25" s="481"/>
      <c r="BK25" s="481"/>
      <c r="BL25" s="481"/>
      <c r="BM25" s="481"/>
      <c r="BN25" s="481"/>
      <c r="BO25" s="481"/>
      <c r="BP25" s="481"/>
      <c r="BQ25" s="481"/>
      <c r="BR25" s="481"/>
      <c r="BS25" s="481"/>
      <c r="BT25" s="481"/>
      <c r="BU25" s="481"/>
      <c r="BV25" s="481"/>
      <c r="BW25" s="481"/>
      <c r="BX25" s="481"/>
      <c r="BY25" s="481"/>
      <c r="BZ25" s="481"/>
      <c r="CA25" s="481"/>
      <c r="CB25" s="481"/>
      <c r="CC25" s="481"/>
      <c r="CD25" s="481"/>
      <c r="CE25" s="481"/>
      <c r="CF25" s="481"/>
      <c r="CG25" s="481"/>
      <c r="CH25" s="481"/>
      <c r="CI25" s="481"/>
      <c r="CJ25" s="481"/>
      <c r="CK25" s="481"/>
      <c r="CL25" s="481"/>
      <c r="CM25" s="481"/>
      <c r="CN25" s="481"/>
      <c r="CO25" s="481"/>
      <c r="CP25" s="481"/>
      <c r="CQ25" s="481"/>
      <c r="CR25" s="481"/>
      <c r="CS25" s="481"/>
      <c r="CT25" s="481"/>
      <c r="CU25" s="481"/>
      <c r="CV25" s="481"/>
      <c r="CW25" s="481"/>
      <c r="CX25" s="481"/>
      <c r="CY25" s="481"/>
      <c r="CZ25" s="481"/>
      <c r="DA25" s="481"/>
      <c r="DB25" s="481"/>
      <c r="DC25" s="481"/>
    </row>
    <row r="26" spans="1:107" s="482" customFormat="1" ht="12.75">
      <c r="A26" s="487" t="s">
        <v>549</v>
      </c>
      <c r="B26" s="27">
        <v>10000000</v>
      </c>
      <c r="C26" s="27"/>
      <c r="D26" s="699">
        <f t="shared" si="0"/>
        <v>0</v>
      </c>
      <c r="E26" s="27">
        <v>10000000</v>
      </c>
      <c r="F26" s="27"/>
      <c r="G26" s="699">
        <f t="shared" si="1"/>
        <v>0</v>
      </c>
      <c r="H26" s="27">
        <v>11034000</v>
      </c>
      <c r="I26" s="27"/>
      <c r="J26" s="699">
        <f t="shared" si="2"/>
        <v>0</v>
      </c>
      <c r="K26" s="487" t="s">
        <v>549</v>
      </c>
      <c r="L26" s="27">
        <v>10000</v>
      </c>
      <c r="M26" s="27">
        <v>0</v>
      </c>
      <c r="N26" s="699">
        <v>0</v>
      </c>
      <c r="O26" s="27">
        <v>10000</v>
      </c>
      <c r="P26" s="27">
        <v>0</v>
      </c>
      <c r="Q26" s="699">
        <v>0</v>
      </c>
      <c r="R26" s="27">
        <v>11034</v>
      </c>
      <c r="S26" s="27">
        <v>0</v>
      </c>
      <c r="T26" s="699">
        <v>0</v>
      </c>
      <c r="U26" s="481"/>
      <c r="V26" s="481"/>
      <c r="W26" s="481"/>
      <c r="X26" s="481"/>
      <c r="Y26" s="481"/>
      <c r="Z26" s="481"/>
      <c r="AA26" s="481"/>
      <c r="AB26" s="481"/>
      <c r="AC26" s="481"/>
      <c r="AD26" s="481"/>
      <c r="AE26" s="481"/>
      <c r="AF26" s="481"/>
      <c r="AG26" s="481"/>
      <c r="AH26" s="481"/>
      <c r="AI26" s="481"/>
      <c r="AJ26" s="481"/>
      <c r="AK26" s="481"/>
      <c r="AL26" s="481"/>
      <c r="AM26" s="481"/>
      <c r="AN26" s="481"/>
      <c r="AO26" s="481"/>
      <c r="AP26" s="481"/>
      <c r="AQ26" s="481"/>
      <c r="AR26" s="481"/>
      <c r="AS26" s="481"/>
      <c r="AT26" s="481"/>
      <c r="AU26" s="481"/>
      <c r="AV26" s="481"/>
      <c r="AW26" s="481"/>
      <c r="AX26" s="481"/>
      <c r="AY26" s="481"/>
      <c r="AZ26" s="481"/>
      <c r="BA26" s="481"/>
      <c r="BB26" s="481"/>
      <c r="BC26" s="481"/>
      <c r="BD26" s="481"/>
      <c r="BE26" s="481"/>
      <c r="BF26" s="481"/>
      <c r="BG26" s="481"/>
      <c r="BH26" s="481"/>
      <c r="BI26" s="481"/>
      <c r="BJ26" s="481"/>
      <c r="BK26" s="481"/>
      <c r="BL26" s="481"/>
      <c r="BM26" s="481"/>
      <c r="BN26" s="481"/>
      <c r="BO26" s="481"/>
      <c r="BP26" s="481"/>
      <c r="BQ26" s="481"/>
      <c r="BR26" s="481"/>
      <c r="BS26" s="481"/>
      <c r="BT26" s="481"/>
      <c r="BU26" s="481"/>
      <c r="BV26" s="481"/>
      <c r="BW26" s="481"/>
      <c r="BX26" s="481"/>
      <c r="BY26" s="481"/>
      <c r="BZ26" s="481"/>
      <c r="CA26" s="481"/>
      <c r="CB26" s="481"/>
      <c r="CC26" s="481"/>
      <c r="CD26" s="481"/>
      <c r="CE26" s="481"/>
      <c r="CF26" s="481"/>
      <c r="CG26" s="481"/>
      <c r="CH26" s="481"/>
      <c r="CI26" s="481"/>
      <c r="CJ26" s="481"/>
      <c r="CK26" s="481"/>
      <c r="CL26" s="481"/>
      <c r="CM26" s="481"/>
      <c r="CN26" s="481"/>
      <c r="CO26" s="481"/>
      <c r="CP26" s="481"/>
      <c r="CQ26" s="481"/>
      <c r="CR26" s="481"/>
      <c r="CS26" s="481"/>
      <c r="CT26" s="481"/>
      <c r="CU26" s="481"/>
      <c r="CV26" s="481"/>
      <c r="CW26" s="481"/>
      <c r="CX26" s="481"/>
      <c r="CY26" s="481"/>
      <c r="CZ26" s="481"/>
      <c r="DA26" s="481"/>
      <c r="DB26" s="481"/>
      <c r="DC26" s="481"/>
    </row>
    <row r="27" spans="1:20" ht="12.75">
      <c r="A27" s="74" t="s">
        <v>262</v>
      </c>
      <c r="B27" s="485">
        <f>SUM(B28:B30)</f>
        <v>10084076</v>
      </c>
      <c r="C27" s="485">
        <f>SUM(C28:C30)</f>
        <v>0</v>
      </c>
      <c r="D27" s="698">
        <f t="shared" si="0"/>
        <v>0</v>
      </c>
      <c r="E27" s="485">
        <f>SUM(E28:E30)</f>
        <v>4667080</v>
      </c>
      <c r="F27" s="485">
        <f>SUM(F28:F30)</f>
        <v>0</v>
      </c>
      <c r="G27" s="698">
        <f t="shared" si="1"/>
        <v>0</v>
      </c>
      <c r="H27" s="485">
        <f>SUM(H28:H30)</f>
        <v>29299485</v>
      </c>
      <c r="I27" s="485">
        <f>SUM(I28:I30)</f>
        <v>0</v>
      </c>
      <c r="J27" s="698">
        <f t="shared" si="2"/>
        <v>0</v>
      </c>
      <c r="K27" s="74" t="s">
        <v>262</v>
      </c>
      <c r="L27" s="485">
        <v>10084</v>
      </c>
      <c r="M27" s="485">
        <v>0</v>
      </c>
      <c r="N27" s="698">
        <v>0</v>
      </c>
      <c r="O27" s="485">
        <v>4666</v>
      </c>
      <c r="P27" s="485">
        <v>0</v>
      </c>
      <c r="Q27" s="698">
        <v>0</v>
      </c>
      <c r="R27" s="485">
        <v>29300</v>
      </c>
      <c r="S27" s="485">
        <v>0</v>
      </c>
      <c r="T27" s="698">
        <v>0</v>
      </c>
    </row>
    <row r="28" spans="1:107" s="482" customFormat="1" ht="12.75">
      <c r="A28" s="487" t="s">
        <v>926</v>
      </c>
      <c r="B28" s="27">
        <v>1519853</v>
      </c>
      <c r="C28" s="27"/>
      <c r="D28" s="699">
        <f t="shared" si="0"/>
        <v>0</v>
      </c>
      <c r="E28" s="27">
        <v>2305546</v>
      </c>
      <c r="F28" s="27"/>
      <c r="G28" s="699">
        <f t="shared" si="1"/>
        <v>0</v>
      </c>
      <c r="H28" s="27">
        <v>14740905</v>
      </c>
      <c r="I28" s="27"/>
      <c r="J28" s="699">
        <f t="shared" si="2"/>
        <v>0</v>
      </c>
      <c r="K28" s="487" t="s">
        <v>926</v>
      </c>
      <c r="L28" s="27">
        <v>1520</v>
      </c>
      <c r="M28" s="27">
        <v>0</v>
      </c>
      <c r="N28" s="699">
        <v>0</v>
      </c>
      <c r="O28" s="27">
        <v>2305</v>
      </c>
      <c r="P28" s="27">
        <v>0</v>
      </c>
      <c r="Q28" s="699">
        <v>0</v>
      </c>
      <c r="R28" s="27">
        <v>14741</v>
      </c>
      <c r="S28" s="27">
        <v>0</v>
      </c>
      <c r="T28" s="699">
        <v>0</v>
      </c>
      <c r="U28" s="481"/>
      <c r="V28" s="481"/>
      <c r="W28" s="481"/>
      <c r="X28" s="481"/>
      <c r="Y28" s="481"/>
      <c r="Z28" s="481"/>
      <c r="AA28" s="481"/>
      <c r="AB28" s="481"/>
      <c r="AC28" s="481"/>
      <c r="AD28" s="481"/>
      <c r="AE28" s="481"/>
      <c r="AF28" s="481"/>
      <c r="AG28" s="481"/>
      <c r="AH28" s="481"/>
      <c r="AI28" s="481"/>
      <c r="AJ28" s="481"/>
      <c r="AK28" s="481"/>
      <c r="AL28" s="481"/>
      <c r="AM28" s="481"/>
      <c r="AN28" s="481"/>
      <c r="AO28" s="481"/>
      <c r="AP28" s="481"/>
      <c r="AQ28" s="481"/>
      <c r="AR28" s="481"/>
      <c r="AS28" s="481"/>
      <c r="AT28" s="481"/>
      <c r="AU28" s="481"/>
      <c r="AV28" s="481"/>
      <c r="AW28" s="481"/>
      <c r="AX28" s="481"/>
      <c r="AY28" s="481"/>
      <c r="AZ28" s="481"/>
      <c r="BA28" s="481"/>
      <c r="BB28" s="481"/>
      <c r="BC28" s="481"/>
      <c r="BD28" s="481"/>
      <c r="BE28" s="481"/>
      <c r="BF28" s="481"/>
      <c r="BG28" s="481"/>
      <c r="BH28" s="481"/>
      <c r="BI28" s="481"/>
      <c r="BJ28" s="481"/>
      <c r="BK28" s="481"/>
      <c r="BL28" s="481"/>
      <c r="BM28" s="481"/>
      <c r="BN28" s="481"/>
      <c r="BO28" s="481"/>
      <c r="BP28" s="481"/>
      <c r="BQ28" s="481"/>
      <c r="BR28" s="481"/>
      <c r="BS28" s="481"/>
      <c r="BT28" s="481"/>
      <c r="BU28" s="481"/>
      <c r="BV28" s="481"/>
      <c r="BW28" s="481"/>
      <c r="BX28" s="481"/>
      <c r="BY28" s="481"/>
      <c r="BZ28" s="481"/>
      <c r="CA28" s="481"/>
      <c r="CB28" s="481"/>
      <c r="CC28" s="481"/>
      <c r="CD28" s="481"/>
      <c r="CE28" s="481"/>
      <c r="CF28" s="481"/>
      <c r="CG28" s="481"/>
      <c r="CH28" s="481"/>
      <c r="CI28" s="481"/>
      <c r="CJ28" s="481"/>
      <c r="CK28" s="481"/>
      <c r="CL28" s="481"/>
      <c r="CM28" s="481"/>
      <c r="CN28" s="481"/>
      <c r="CO28" s="481"/>
      <c r="CP28" s="481"/>
      <c r="CQ28" s="481"/>
      <c r="CR28" s="481"/>
      <c r="CS28" s="481"/>
      <c r="CT28" s="481"/>
      <c r="CU28" s="481"/>
      <c r="CV28" s="481"/>
      <c r="CW28" s="481"/>
      <c r="CX28" s="481"/>
      <c r="CY28" s="481"/>
      <c r="CZ28" s="481"/>
      <c r="DA28" s="481"/>
      <c r="DB28" s="481"/>
      <c r="DC28" s="481"/>
    </row>
    <row r="29" spans="1:107" s="482" customFormat="1" ht="12.75">
      <c r="A29" s="487" t="s">
        <v>320</v>
      </c>
      <c r="B29" s="27">
        <v>875500</v>
      </c>
      <c r="C29" s="27"/>
      <c r="D29" s="699">
        <f t="shared" si="0"/>
        <v>0</v>
      </c>
      <c r="E29" s="27">
        <v>858266</v>
      </c>
      <c r="F29" s="27"/>
      <c r="G29" s="699">
        <f t="shared" si="1"/>
        <v>0</v>
      </c>
      <c r="H29" s="27">
        <v>1670580</v>
      </c>
      <c r="I29" s="27"/>
      <c r="J29" s="699">
        <f t="shared" si="2"/>
        <v>0</v>
      </c>
      <c r="K29" s="487" t="s">
        <v>320</v>
      </c>
      <c r="L29" s="27">
        <v>875</v>
      </c>
      <c r="M29" s="27">
        <v>0</v>
      </c>
      <c r="N29" s="699">
        <v>0</v>
      </c>
      <c r="O29" s="27">
        <v>858</v>
      </c>
      <c r="P29" s="27">
        <v>0</v>
      </c>
      <c r="Q29" s="699">
        <v>0</v>
      </c>
      <c r="R29" s="27">
        <v>1671</v>
      </c>
      <c r="S29" s="27">
        <v>0</v>
      </c>
      <c r="T29" s="699">
        <v>0</v>
      </c>
      <c r="U29" s="481"/>
      <c r="V29" s="481"/>
      <c r="W29" s="481"/>
      <c r="X29" s="481"/>
      <c r="Y29" s="481"/>
      <c r="Z29" s="481"/>
      <c r="AA29" s="481"/>
      <c r="AB29" s="481"/>
      <c r="AC29" s="481"/>
      <c r="AD29" s="481"/>
      <c r="AE29" s="481"/>
      <c r="AF29" s="481"/>
      <c r="AG29" s="481"/>
      <c r="AH29" s="481"/>
      <c r="AI29" s="481"/>
      <c r="AJ29" s="481"/>
      <c r="AK29" s="481"/>
      <c r="AL29" s="481"/>
      <c r="AM29" s="481"/>
      <c r="AN29" s="481"/>
      <c r="AO29" s="481"/>
      <c r="AP29" s="481"/>
      <c r="AQ29" s="481"/>
      <c r="AR29" s="481"/>
      <c r="AS29" s="481"/>
      <c r="AT29" s="481"/>
      <c r="AU29" s="481"/>
      <c r="AV29" s="481"/>
      <c r="AW29" s="481"/>
      <c r="AX29" s="481"/>
      <c r="AY29" s="481"/>
      <c r="AZ29" s="481"/>
      <c r="BA29" s="481"/>
      <c r="BB29" s="481"/>
      <c r="BC29" s="481"/>
      <c r="BD29" s="481"/>
      <c r="BE29" s="481"/>
      <c r="BF29" s="481"/>
      <c r="BG29" s="481"/>
      <c r="BH29" s="481"/>
      <c r="BI29" s="481"/>
      <c r="BJ29" s="481"/>
      <c r="BK29" s="481"/>
      <c r="BL29" s="481"/>
      <c r="BM29" s="481"/>
      <c r="BN29" s="481"/>
      <c r="BO29" s="481"/>
      <c r="BP29" s="481"/>
      <c r="BQ29" s="481"/>
      <c r="BR29" s="481"/>
      <c r="BS29" s="481"/>
      <c r="BT29" s="481"/>
      <c r="BU29" s="481"/>
      <c r="BV29" s="481"/>
      <c r="BW29" s="481"/>
      <c r="BX29" s="481"/>
      <c r="BY29" s="481"/>
      <c r="BZ29" s="481"/>
      <c r="CA29" s="481"/>
      <c r="CB29" s="481"/>
      <c r="CC29" s="481"/>
      <c r="CD29" s="481"/>
      <c r="CE29" s="481"/>
      <c r="CF29" s="481"/>
      <c r="CG29" s="481"/>
      <c r="CH29" s="481"/>
      <c r="CI29" s="481"/>
      <c r="CJ29" s="481"/>
      <c r="CK29" s="481"/>
      <c r="CL29" s="481"/>
      <c r="CM29" s="481"/>
      <c r="CN29" s="481"/>
      <c r="CO29" s="481"/>
      <c r="CP29" s="481"/>
      <c r="CQ29" s="481"/>
      <c r="CR29" s="481"/>
      <c r="CS29" s="481"/>
      <c r="CT29" s="481"/>
      <c r="CU29" s="481"/>
      <c r="CV29" s="481"/>
      <c r="CW29" s="481"/>
      <c r="CX29" s="481"/>
      <c r="CY29" s="481"/>
      <c r="CZ29" s="481"/>
      <c r="DA29" s="481"/>
      <c r="DB29" s="481"/>
      <c r="DC29" s="481"/>
    </row>
    <row r="30" spans="1:107" s="482" customFormat="1" ht="12.75">
      <c r="A30" s="487" t="s">
        <v>549</v>
      </c>
      <c r="B30" s="27">
        <v>7688723</v>
      </c>
      <c r="C30" s="27"/>
      <c r="D30" s="699">
        <f t="shared" si="0"/>
        <v>0</v>
      </c>
      <c r="E30" s="27">
        <v>1503268</v>
      </c>
      <c r="F30" s="27"/>
      <c r="G30" s="699">
        <f t="shared" si="1"/>
        <v>0</v>
      </c>
      <c r="H30" s="27">
        <v>12888000</v>
      </c>
      <c r="I30" s="27"/>
      <c r="J30" s="699">
        <f t="shared" si="2"/>
        <v>0</v>
      </c>
      <c r="K30" s="487" t="s">
        <v>549</v>
      </c>
      <c r="L30" s="27">
        <v>7689</v>
      </c>
      <c r="M30" s="27">
        <v>0</v>
      </c>
      <c r="N30" s="699">
        <v>0</v>
      </c>
      <c r="O30" s="27">
        <v>1503</v>
      </c>
      <c r="P30" s="27">
        <v>0</v>
      </c>
      <c r="Q30" s="699">
        <v>0</v>
      </c>
      <c r="R30" s="27">
        <v>12888</v>
      </c>
      <c r="S30" s="27">
        <v>0</v>
      </c>
      <c r="T30" s="699">
        <v>0</v>
      </c>
      <c r="U30" s="481"/>
      <c r="V30" s="481"/>
      <c r="W30" s="481"/>
      <c r="X30" s="481"/>
      <c r="Y30" s="481"/>
      <c r="Z30" s="481"/>
      <c r="AA30" s="481"/>
      <c r="AB30" s="481"/>
      <c r="AC30" s="481"/>
      <c r="AD30" s="481"/>
      <c r="AE30" s="481"/>
      <c r="AF30" s="481"/>
      <c r="AG30" s="481"/>
      <c r="AH30" s="481"/>
      <c r="AI30" s="481"/>
      <c r="AJ30" s="481"/>
      <c r="AK30" s="481"/>
      <c r="AL30" s="481"/>
      <c r="AM30" s="481"/>
      <c r="AN30" s="481"/>
      <c r="AO30" s="481"/>
      <c r="AP30" s="481"/>
      <c r="AQ30" s="481"/>
      <c r="AR30" s="481"/>
      <c r="AS30" s="481"/>
      <c r="AT30" s="481"/>
      <c r="AU30" s="481"/>
      <c r="AV30" s="481"/>
      <c r="AW30" s="481"/>
      <c r="AX30" s="481"/>
      <c r="AY30" s="481"/>
      <c r="AZ30" s="481"/>
      <c r="BA30" s="481"/>
      <c r="BB30" s="481"/>
      <c r="BC30" s="481"/>
      <c r="BD30" s="481"/>
      <c r="BE30" s="481"/>
      <c r="BF30" s="481"/>
      <c r="BG30" s="481"/>
      <c r="BH30" s="481"/>
      <c r="BI30" s="481"/>
      <c r="BJ30" s="481"/>
      <c r="BK30" s="481"/>
      <c r="BL30" s="481"/>
      <c r="BM30" s="481"/>
      <c r="BN30" s="481"/>
      <c r="BO30" s="481"/>
      <c r="BP30" s="481"/>
      <c r="BQ30" s="481"/>
      <c r="BR30" s="481"/>
      <c r="BS30" s="481"/>
      <c r="BT30" s="481"/>
      <c r="BU30" s="481"/>
      <c r="BV30" s="481"/>
      <c r="BW30" s="481"/>
      <c r="BX30" s="481"/>
      <c r="BY30" s="481"/>
      <c r="BZ30" s="481"/>
      <c r="CA30" s="481"/>
      <c r="CB30" s="481"/>
      <c r="CC30" s="481"/>
      <c r="CD30" s="481"/>
      <c r="CE30" s="481"/>
      <c r="CF30" s="481"/>
      <c r="CG30" s="481"/>
      <c r="CH30" s="481"/>
      <c r="CI30" s="481"/>
      <c r="CJ30" s="481"/>
      <c r="CK30" s="481"/>
      <c r="CL30" s="481"/>
      <c r="CM30" s="481"/>
      <c r="CN30" s="481"/>
      <c r="CO30" s="481"/>
      <c r="CP30" s="481"/>
      <c r="CQ30" s="481"/>
      <c r="CR30" s="481"/>
      <c r="CS30" s="481"/>
      <c r="CT30" s="481"/>
      <c r="CU30" s="481"/>
      <c r="CV30" s="481"/>
      <c r="CW30" s="481"/>
      <c r="CX30" s="481"/>
      <c r="CY30" s="481"/>
      <c r="CZ30" s="481"/>
      <c r="DA30" s="481"/>
      <c r="DB30" s="481"/>
      <c r="DC30" s="481"/>
    </row>
    <row r="31" spans="1:20" s="696" customFormat="1" ht="24">
      <c r="A31" s="59" t="s">
        <v>266</v>
      </c>
      <c r="B31" s="485">
        <f>SUM(B32:B33)</f>
        <v>768000</v>
      </c>
      <c r="C31" s="485">
        <f>SUM(C32:C33)</f>
        <v>0</v>
      </c>
      <c r="D31" s="698">
        <f t="shared" si="0"/>
        <v>0</v>
      </c>
      <c r="E31" s="485">
        <f>SUM(E32:E33)</f>
        <v>1327000</v>
      </c>
      <c r="F31" s="485">
        <f>SUM(F32:F33)</f>
        <v>0</v>
      </c>
      <c r="G31" s="698">
        <f t="shared" si="1"/>
        <v>0</v>
      </c>
      <c r="H31" s="485">
        <f>SUM(H32:H33)</f>
        <v>1254000</v>
      </c>
      <c r="I31" s="485">
        <f>SUM(I32:I33)</f>
        <v>0</v>
      </c>
      <c r="J31" s="699">
        <f t="shared" si="2"/>
        <v>0</v>
      </c>
      <c r="K31" s="59" t="s">
        <v>266</v>
      </c>
      <c r="L31" s="485">
        <v>768</v>
      </c>
      <c r="M31" s="485">
        <v>0</v>
      </c>
      <c r="N31" s="698">
        <v>0</v>
      </c>
      <c r="O31" s="485">
        <v>1327</v>
      </c>
      <c r="P31" s="485">
        <v>0</v>
      </c>
      <c r="Q31" s="698">
        <v>0</v>
      </c>
      <c r="R31" s="485">
        <v>1254</v>
      </c>
      <c r="S31" s="485">
        <v>0</v>
      </c>
      <c r="T31" s="698">
        <v>0</v>
      </c>
    </row>
    <row r="32" spans="1:107" s="482" customFormat="1" ht="12.75">
      <c r="A32" s="487" t="s">
        <v>927</v>
      </c>
      <c r="B32" s="27">
        <v>18000</v>
      </c>
      <c r="C32" s="27"/>
      <c r="D32" s="699">
        <f t="shared" si="0"/>
        <v>0</v>
      </c>
      <c r="E32" s="27">
        <v>27000</v>
      </c>
      <c r="F32" s="27"/>
      <c r="G32" s="699">
        <f t="shared" si="1"/>
        <v>0</v>
      </c>
      <c r="H32" s="27">
        <v>54000</v>
      </c>
      <c r="I32" s="27"/>
      <c r="J32" s="699">
        <f t="shared" si="2"/>
        <v>0</v>
      </c>
      <c r="K32" s="487" t="s">
        <v>927</v>
      </c>
      <c r="L32" s="27">
        <v>18</v>
      </c>
      <c r="M32" s="27">
        <v>0</v>
      </c>
      <c r="N32" s="699">
        <v>0</v>
      </c>
      <c r="O32" s="27">
        <v>27</v>
      </c>
      <c r="P32" s="27">
        <v>0</v>
      </c>
      <c r="Q32" s="699">
        <v>0</v>
      </c>
      <c r="R32" s="27">
        <v>54</v>
      </c>
      <c r="S32" s="27">
        <v>0</v>
      </c>
      <c r="T32" s="699">
        <v>0</v>
      </c>
      <c r="U32" s="481"/>
      <c r="V32" s="481"/>
      <c r="W32" s="481"/>
      <c r="X32" s="481"/>
      <c r="Y32" s="481"/>
      <c r="Z32" s="481"/>
      <c r="AA32" s="481"/>
      <c r="AB32" s="481"/>
      <c r="AC32" s="481"/>
      <c r="AD32" s="481"/>
      <c r="AE32" s="481"/>
      <c r="AF32" s="481"/>
      <c r="AG32" s="481"/>
      <c r="AH32" s="481"/>
      <c r="AI32" s="481"/>
      <c r="AJ32" s="481"/>
      <c r="AK32" s="481"/>
      <c r="AL32" s="481"/>
      <c r="AM32" s="481"/>
      <c r="AN32" s="481"/>
      <c r="AO32" s="481"/>
      <c r="AP32" s="481"/>
      <c r="AQ32" s="481"/>
      <c r="AR32" s="481"/>
      <c r="AS32" s="481"/>
      <c r="AT32" s="481"/>
      <c r="AU32" s="481"/>
      <c r="AV32" s="481"/>
      <c r="AW32" s="481"/>
      <c r="AX32" s="481"/>
      <c r="AY32" s="481"/>
      <c r="AZ32" s="481"/>
      <c r="BA32" s="481"/>
      <c r="BB32" s="481"/>
      <c r="BC32" s="481"/>
      <c r="BD32" s="481"/>
      <c r="BE32" s="481"/>
      <c r="BF32" s="481"/>
      <c r="BG32" s="481"/>
      <c r="BH32" s="481"/>
      <c r="BI32" s="481"/>
      <c r="BJ32" s="481"/>
      <c r="BK32" s="481"/>
      <c r="BL32" s="481"/>
      <c r="BM32" s="481"/>
      <c r="BN32" s="481"/>
      <c r="BO32" s="481"/>
      <c r="BP32" s="481"/>
      <c r="BQ32" s="481"/>
      <c r="BR32" s="481"/>
      <c r="BS32" s="481"/>
      <c r="BT32" s="481"/>
      <c r="BU32" s="481"/>
      <c r="BV32" s="481"/>
      <c r="BW32" s="481"/>
      <c r="BX32" s="481"/>
      <c r="BY32" s="481"/>
      <c r="BZ32" s="481"/>
      <c r="CA32" s="481"/>
      <c r="CB32" s="481"/>
      <c r="CC32" s="481"/>
      <c r="CD32" s="481"/>
      <c r="CE32" s="481"/>
      <c r="CF32" s="481"/>
      <c r="CG32" s="481"/>
      <c r="CH32" s="481"/>
      <c r="CI32" s="481"/>
      <c r="CJ32" s="481"/>
      <c r="CK32" s="481"/>
      <c r="CL32" s="481"/>
      <c r="CM32" s="481"/>
      <c r="CN32" s="481"/>
      <c r="CO32" s="481"/>
      <c r="CP32" s="481"/>
      <c r="CQ32" s="481"/>
      <c r="CR32" s="481"/>
      <c r="CS32" s="481"/>
      <c r="CT32" s="481"/>
      <c r="CU32" s="481"/>
      <c r="CV32" s="481"/>
      <c r="CW32" s="481"/>
      <c r="CX32" s="481"/>
      <c r="CY32" s="481"/>
      <c r="CZ32" s="481"/>
      <c r="DA32" s="481"/>
      <c r="DB32" s="481"/>
      <c r="DC32" s="481"/>
    </row>
    <row r="33" spans="1:107" s="482" customFormat="1" ht="12.75">
      <c r="A33" s="487" t="s">
        <v>549</v>
      </c>
      <c r="B33" s="27">
        <v>750000</v>
      </c>
      <c r="C33" s="27"/>
      <c r="D33" s="699">
        <f t="shared" si="0"/>
        <v>0</v>
      </c>
      <c r="E33" s="27">
        <v>1300000</v>
      </c>
      <c r="F33" s="27"/>
      <c r="G33" s="699">
        <f t="shared" si="1"/>
        <v>0</v>
      </c>
      <c r="H33" s="27">
        <v>1200000</v>
      </c>
      <c r="I33" s="27"/>
      <c r="J33" s="699">
        <f t="shared" si="2"/>
        <v>0</v>
      </c>
      <c r="K33" s="487" t="s">
        <v>549</v>
      </c>
      <c r="L33" s="27">
        <v>750</v>
      </c>
      <c r="M33" s="27">
        <v>0</v>
      </c>
      <c r="N33" s="699">
        <v>0</v>
      </c>
      <c r="O33" s="27">
        <v>1300</v>
      </c>
      <c r="P33" s="27">
        <v>0</v>
      </c>
      <c r="Q33" s="699">
        <v>0</v>
      </c>
      <c r="R33" s="27">
        <v>1200</v>
      </c>
      <c r="S33" s="27">
        <v>0</v>
      </c>
      <c r="T33" s="699">
        <v>0</v>
      </c>
      <c r="U33" s="481"/>
      <c r="V33" s="481"/>
      <c r="W33" s="481"/>
      <c r="X33" s="481"/>
      <c r="Y33" s="481"/>
      <c r="Z33" s="481"/>
      <c r="AA33" s="481"/>
      <c r="AB33" s="481"/>
      <c r="AC33" s="481"/>
      <c r="AD33" s="481"/>
      <c r="AE33" s="481"/>
      <c r="AF33" s="481"/>
      <c r="AG33" s="481"/>
      <c r="AH33" s="481"/>
      <c r="AI33" s="481"/>
      <c r="AJ33" s="481"/>
      <c r="AK33" s="481"/>
      <c r="AL33" s="481"/>
      <c r="AM33" s="481"/>
      <c r="AN33" s="481"/>
      <c r="AO33" s="481"/>
      <c r="AP33" s="481"/>
      <c r="AQ33" s="481"/>
      <c r="AR33" s="481"/>
      <c r="AS33" s="481"/>
      <c r="AT33" s="481"/>
      <c r="AU33" s="481"/>
      <c r="AV33" s="481"/>
      <c r="AW33" s="481"/>
      <c r="AX33" s="481"/>
      <c r="AY33" s="481"/>
      <c r="AZ33" s="481"/>
      <c r="BA33" s="481"/>
      <c r="BB33" s="481"/>
      <c r="BC33" s="481"/>
      <c r="BD33" s="481"/>
      <c r="BE33" s="481"/>
      <c r="BF33" s="481"/>
      <c r="BG33" s="481"/>
      <c r="BH33" s="481"/>
      <c r="BI33" s="481"/>
      <c r="BJ33" s="481"/>
      <c r="BK33" s="481"/>
      <c r="BL33" s="481"/>
      <c r="BM33" s="481"/>
      <c r="BN33" s="481"/>
      <c r="BO33" s="481"/>
      <c r="BP33" s="481"/>
      <c r="BQ33" s="481"/>
      <c r="BR33" s="481"/>
      <c r="BS33" s="481"/>
      <c r="BT33" s="481"/>
      <c r="BU33" s="481"/>
      <c r="BV33" s="481"/>
      <c r="BW33" s="481"/>
      <c r="BX33" s="481"/>
      <c r="BY33" s="481"/>
      <c r="BZ33" s="481"/>
      <c r="CA33" s="481"/>
      <c r="CB33" s="481"/>
      <c r="CC33" s="481"/>
      <c r="CD33" s="481"/>
      <c r="CE33" s="481"/>
      <c r="CF33" s="481"/>
      <c r="CG33" s="481"/>
      <c r="CH33" s="481"/>
      <c r="CI33" s="481"/>
      <c r="CJ33" s="481"/>
      <c r="CK33" s="481"/>
      <c r="CL33" s="481"/>
      <c r="CM33" s="481"/>
      <c r="CN33" s="481"/>
      <c r="CO33" s="481"/>
      <c r="CP33" s="481"/>
      <c r="CQ33" s="481"/>
      <c r="CR33" s="481"/>
      <c r="CS33" s="481"/>
      <c r="CT33" s="481"/>
      <c r="CU33" s="481"/>
      <c r="CV33" s="481"/>
      <c r="CW33" s="481"/>
      <c r="CX33" s="481"/>
      <c r="CY33" s="481"/>
      <c r="CZ33" s="481"/>
      <c r="DA33" s="481"/>
      <c r="DB33" s="481"/>
      <c r="DC33" s="481"/>
    </row>
    <row r="34" spans="1:20" ht="24">
      <c r="A34" s="492" t="s">
        <v>290</v>
      </c>
      <c r="B34" s="485">
        <f>SUM(B35:B36)</f>
        <v>26722</v>
      </c>
      <c r="C34" s="485">
        <f>SUM(C35:C36)</f>
        <v>0</v>
      </c>
      <c r="D34" s="698">
        <f t="shared" si="0"/>
        <v>0</v>
      </c>
      <c r="E34" s="485">
        <f>SUM(E35:E36)</f>
        <v>25515</v>
      </c>
      <c r="F34" s="485">
        <f>SUM(F35:F36)</f>
        <v>0</v>
      </c>
      <c r="G34" s="698">
        <f t="shared" si="1"/>
        <v>0</v>
      </c>
      <c r="H34" s="485">
        <f>SUM(H35:H36)</f>
        <v>61202</v>
      </c>
      <c r="I34" s="485">
        <f>SUM(I35:I36)</f>
        <v>0</v>
      </c>
      <c r="J34" s="699">
        <f t="shared" si="2"/>
        <v>0</v>
      </c>
      <c r="K34" s="492" t="s">
        <v>290</v>
      </c>
      <c r="L34" s="485">
        <v>27</v>
      </c>
      <c r="M34" s="485">
        <v>0</v>
      </c>
      <c r="N34" s="698">
        <v>0</v>
      </c>
      <c r="O34" s="485">
        <v>26</v>
      </c>
      <c r="P34" s="485">
        <v>0</v>
      </c>
      <c r="Q34" s="698">
        <v>0</v>
      </c>
      <c r="R34" s="485">
        <v>61</v>
      </c>
      <c r="S34" s="485">
        <v>0</v>
      </c>
      <c r="T34" s="698">
        <v>0</v>
      </c>
    </row>
    <row r="35" spans="1:107" s="482" customFormat="1" ht="12.75">
      <c r="A35" s="487" t="s">
        <v>926</v>
      </c>
      <c r="B35" s="27">
        <v>22834</v>
      </c>
      <c r="C35" s="27"/>
      <c r="D35" s="699">
        <f t="shared" si="0"/>
        <v>0</v>
      </c>
      <c r="E35" s="27">
        <v>22541</v>
      </c>
      <c r="F35" s="27"/>
      <c r="G35" s="699">
        <f t="shared" si="1"/>
        <v>0</v>
      </c>
      <c r="H35" s="27">
        <v>57493</v>
      </c>
      <c r="I35" s="27"/>
      <c r="J35" s="699">
        <f t="shared" si="2"/>
        <v>0</v>
      </c>
      <c r="K35" s="487" t="s">
        <v>926</v>
      </c>
      <c r="L35" s="27">
        <v>23</v>
      </c>
      <c r="M35" s="27">
        <v>0</v>
      </c>
      <c r="N35" s="699">
        <v>0</v>
      </c>
      <c r="O35" s="27">
        <v>23</v>
      </c>
      <c r="P35" s="27">
        <v>0</v>
      </c>
      <c r="Q35" s="699">
        <v>0</v>
      </c>
      <c r="R35" s="27">
        <v>57</v>
      </c>
      <c r="S35" s="27">
        <v>0</v>
      </c>
      <c r="T35" s="699">
        <v>0</v>
      </c>
      <c r="U35" s="481"/>
      <c r="V35" s="481"/>
      <c r="W35" s="481"/>
      <c r="X35" s="481"/>
      <c r="Y35" s="481"/>
      <c r="Z35" s="481"/>
      <c r="AA35" s="481"/>
      <c r="AB35" s="481"/>
      <c r="AC35" s="481"/>
      <c r="AD35" s="481"/>
      <c r="AE35" s="481"/>
      <c r="AF35" s="481"/>
      <c r="AG35" s="481"/>
      <c r="AH35" s="481"/>
      <c r="AI35" s="481"/>
      <c r="AJ35" s="481"/>
      <c r="AK35" s="481"/>
      <c r="AL35" s="481"/>
      <c r="AM35" s="481"/>
      <c r="AN35" s="481"/>
      <c r="AO35" s="481"/>
      <c r="AP35" s="481"/>
      <c r="AQ35" s="481"/>
      <c r="AR35" s="481"/>
      <c r="AS35" s="481"/>
      <c r="AT35" s="481"/>
      <c r="AU35" s="481"/>
      <c r="AV35" s="481"/>
      <c r="AW35" s="481"/>
      <c r="AX35" s="481"/>
      <c r="AY35" s="481"/>
      <c r="AZ35" s="481"/>
      <c r="BA35" s="481"/>
      <c r="BB35" s="481"/>
      <c r="BC35" s="481"/>
      <c r="BD35" s="481"/>
      <c r="BE35" s="481"/>
      <c r="BF35" s="481"/>
      <c r="BG35" s="481"/>
      <c r="BH35" s="481"/>
      <c r="BI35" s="481"/>
      <c r="BJ35" s="481"/>
      <c r="BK35" s="481"/>
      <c r="BL35" s="481"/>
      <c r="BM35" s="481"/>
      <c r="BN35" s="481"/>
      <c r="BO35" s="481"/>
      <c r="BP35" s="481"/>
      <c r="BQ35" s="481"/>
      <c r="BR35" s="481"/>
      <c r="BS35" s="481"/>
      <c r="BT35" s="481"/>
      <c r="BU35" s="481"/>
      <c r="BV35" s="481"/>
      <c r="BW35" s="481"/>
      <c r="BX35" s="481"/>
      <c r="BY35" s="481"/>
      <c r="BZ35" s="481"/>
      <c r="CA35" s="481"/>
      <c r="CB35" s="481"/>
      <c r="CC35" s="481"/>
      <c r="CD35" s="481"/>
      <c r="CE35" s="481"/>
      <c r="CF35" s="481"/>
      <c r="CG35" s="481"/>
      <c r="CH35" s="481"/>
      <c r="CI35" s="481"/>
      <c r="CJ35" s="481"/>
      <c r="CK35" s="481"/>
      <c r="CL35" s="481"/>
      <c r="CM35" s="481"/>
      <c r="CN35" s="481"/>
      <c r="CO35" s="481"/>
      <c r="CP35" s="481"/>
      <c r="CQ35" s="481"/>
      <c r="CR35" s="481"/>
      <c r="CS35" s="481"/>
      <c r="CT35" s="481"/>
      <c r="CU35" s="481"/>
      <c r="CV35" s="481"/>
      <c r="CW35" s="481"/>
      <c r="CX35" s="481"/>
      <c r="CY35" s="481"/>
      <c r="CZ35" s="481"/>
      <c r="DA35" s="481"/>
      <c r="DB35" s="481"/>
      <c r="DC35" s="481"/>
    </row>
    <row r="36" spans="1:107" s="482" customFormat="1" ht="12.75">
      <c r="A36" s="487" t="s">
        <v>320</v>
      </c>
      <c r="B36" s="27">
        <v>3888</v>
      </c>
      <c r="C36" s="27"/>
      <c r="D36" s="699">
        <f t="shared" si="0"/>
        <v>0</v>
      </c>
      <c r="E36" s="27">
        <v>2974</v>
      </c>
      <c r="F36" s="27"/>
      <c r="G36" s="699">
        <f t="shared" si="1"/>
        <v>0</v>
      </c>
      <c r="H36" s="27">
        <v>3709</v>
      </c>
      <c r="I36" s="27"/>
      <c r="J36" s="699">
        <f t="shared" si="2"/>
        <v>0</v>
      </c>
      <c r="K36" s="487" t="s">
        <v>320</v>
      </c>
      <c r="L36" s="27">
        <v>4</v>
      </c>
      <c r="M36" s="27">
        <v>0</v>
      </c>
      <c r="N36" s="699">
        <v>0</v>
      </c>
      <c r="O36" s="27">
        <v>3</v>
      </c>
      <c r="P36" s="27">
        <v>0</v>
      </c>
      <c r="Q36" s="699">
        <v>0</v>
      </c>
      <c r="R36" s="27">
        <v>4</v>
      </c>
      <c r="S36" s="27">
        <v>0</v>
      </c>
      <c r="T36" s="699">
        <v>0</v>
      </c>
      <c r="U36" s="481"/>
      <c r="V36" s="481"/>
      <c r="W36" s="481"/>
      <c r="X36" s="481"/>
      <c r="Y36" s="481"/>
      <c r="Z36" s="481"/>
      <c r="AA36" s="481"/>
      <c r="AB36" s="481"/>
      <c r="AC36" s="481"/>
      <c r="AD36" s="481"/>
      <c r="AE36" s="481"/>
      <c r="AF36" s="481"/>
      <c r="AG36" s="481"/>
      <c r="AH36" s="481"/>
      <c r="AI36" s="481"/>
      <c r="AJ36" s="481"/>
      <c r="AK36" s="481"/>
      <c r="AL36" s="481"/>
      <c r="AM36" s="481"/>
      <c r="AN36" s="481"/>
      <c r="AO36" s="481"/>
      <c r="AP36" s="481"/>
      <c r="AQ36" s="481"/>
      <c r="AR36" s="481"/>
      <c r="AS36" s="481"/>
      <c r="AT36" s="481"/>
      <c r="AU36" s="481"/>
      <c r="AV36" s="481"/>
      <c r="AW36" s="481"/>
      <c r="AX36" s="481"/>
      <c r="AY36" s="481"/>
      <c r="AZ36" s="481"/>
      <c r="BA36" s="481"/>
      <c r="BB36" s="481"/>
      <c r="BC36" s="481"/>
      <c r="BD36" s="481"/>
      <c r="BE36" s="481"/>
      <c r="BF36" s="481"/>
      <c r="BG36" s="481"/>
      <c r="BH36" s="481"/>
      <c r="BI36" s="481"/>
      <c r="BJ36" s="481"/>
      <c r="BK36" s="481"/>
      <c r="BL36" s="481"/>
      <c r="BM36" s="481"/>
      <c r="BN36" s="481"/>
      <c r="BO36" s="481"/>
      <c r="BP36" s="481"/>
      <c r="BQ36" s="481"/>
      <c r="BR36" s="481"/>
      <c r="BS36" s="481"/>
      <c r="BT36" s="481"/>
      <c r="BU36" s="481"/>
      <c r="BV36" s="481"/>
      <c r="BW36" s="481"/>
      <c r="BX36" s="481"/>
      <c r="BY36" s="481"/>
      <c r="BZ36" s="481"/>
      <c r="CA36" s="481"/>
      <c r="CB36" s="481"/>
      <c r="CC36" s="481"/>
      <c r="CD36" s="481"/>
      <c r="CE36" s="481"/>
      <c r="CF36" s="481"/>
      <c r="CG36" s="481"/>
      <c r="CH36" s="481"/>
      <c r="CI36" s="481"/>
      <c r="CJ36" s="481"/>
      <c r="CK36" s="481"/>
      <c r="CL36" s="481"/>
      <c r="CM36" s="481"/>
      <c r="CN36" s="481"/>
      <c r="CO36" s="481"/>
      <c r="CP36" s="481"/>
      <c r="CQ36" s="481"/>
      <c r="CR36" s="481"/>
      <c r="CS36" s="481"/>
      <c r="CT36" s="481"/>
      <c r="CU36" s="481"/>
      <c r="CV36" s="481"/>
      <c r="CW36" s="481"/>
      <c r="CX36" s="481"/>
      <c r="CY36" s="481"/>
      <c r="CZ36" s="481"/>
      <c r="DA36" s="481"/>
      <c r="DB36" s="481"/>
      <c r="DC36" s="481"/>
    </row>
    <row r="37" spans="10:20" ht="12.75">
      <c r="J37" s="1"/>
      <c r="T37" s="1"/>
    </row>
    <row r="38" spans="1:20" ht="12.75">
      <c r="A38" s="180"/>
      <c r="B38" s="711"/>
      <c r="C38" s="712"/>
      <c r="D38" s="713"/>
      <c r="E38" s="713"/>
      <c r="F38" s="714"/>
      <c r="G38" s="714"/>
      <c r="H38" s="714"/>
      <c r="I38" s="714"/>
      <c r="J38" s="1"/>
      <c r="K38" s="180"/>
      <c r="L38" s="711"/>
      <c r="M38" s="712"/>
      <c r="N38" s="713"/>
      <c r="O38" s="713"/>
      <c r="P38" s="714"/>
      <c r="Q38" s="714"/>
      <c r="R38" s="714"/>
      <c r="S38" s="714"/>
      <c r="T38" s="1"/>
    </row>
    <row r="40" spans="1:20" ht="12.75">
      <c r="A40" s="1"/>
      <c r="B40" s="640"/>
      <c r="C40" s="655"/>
      <c r="D40" s="655"/>
      <c r="E40" s="704"/>
      <c r="F40" s="705"/>
      <c r="G40" s="705"/>
      <c r="H40" s="705"/>
      <c r="I40" s="705"/>
      <c r="J40" s="1"/>
      <c r="K40" s="1"/>
      <c r="L40" s="640"/>
      <c r="M40" s="655"/>
      <c r="N40" s="655"/>
      <c r="O40" s="704"/>
      <c r="P40" s="705"/>
      <c r="Q40" s="705"/>
      <c r="R40" s="705"/>
      <c r="S40" s="705"/>
      <c r="T40" s="1"/>
    </row>
    <row r="41" spans="1:20" ht="12.75">
      <c r="A41" s="41" t="s">
        <v>934</v>
      </c>
      <c r="B41" s="640"/>
      <c r="C41" s="655"/>
      <c r="D41" s="655"/>
      <c r="E41" s="704"/>
      <c r="F41" s="705"/>
      <c r="G41" s="705"/>
      <c r="H41" s="705"/>
      <c r="I41" s="705"/>
      <c r="J41" s="1"/>
      <c r="K41" s="49" t="s">
        <v>17</v>
      </c>
      <c r="L41"/>
      <c r="M41" s="809" t="s">
        <v>215</v>
      </c>
      <c r="N41" s="809"/>
      <c r="O41" s="704"/>
      <c r="P41" s="705"/>
      <c r="Q41" s="705"/>
      <c r="R41" s="705"/>
      <c r="S41" s="705"/>
      <c r="T41" s="1"/>
    </row>
    <row r="42" spans="2:20" ht="12.75">
      <c r="B42" s="706"/>
      <c r="C42" s="655"/>
      <c r="D42" s="707"/>
      <c r="E42" s="708"/>
      <c r="F42" s="709"/>
      <c r="G42" s="709"/>
      <c r="H42" s="709"/>
      <c r="I42" s="709"/>
      <c r="J42" s="1"/>
      <c r="K42"/>
      <c r="L42"/>
      <c r="M42"/>
      <c r="N42"/>
      <c r="O42" s="708"/>
      <c r="P42" s="709"/>
      <c r="Q42" s="709"/>
      <c r="R42" s="709"/>
      <c r="S42" s="709"/>
      <c r="T42" s="1"/>
    </row>
    <row r="43" spans="1:14" ht="12.75">
      <c r="A43" s="1"/>
      <c r="K43"/>
      <c r="L43"/>
      <c r="M43"/>
      <c r="N43"/>
    </row>
    <row r="44" spans="1:20" ht="12.75">
      <c r="A44" s="1"/>
      <c r="J44" s="1"/>
      <c r="K44"/>
      <c r="L44"/>
      <c r="M44"/>
      <c r="N44"/>
      <c r="T44" s="1"/>
    </row>
    <row r="45" spans="1:20" ht="12.75">
      <c r="A45" s="1"/>
      <c r="J45" s="1"/>
      <c r="K45"/>
      <c r="L45"/>
      <c r="M45"/>
      <c r="N45"/>
      <c r="T45" s="1"/>
    </row>
    <row r="46" spans="1:20" ht="12.75">
      <c r="A46" s="1"/>
      <c r="J46" s="1"/>
      <c r="K46"/>
      <c r="L46"/>
      <c r="M46"/>
      <c r="N46"/>
      <c r="T46" s="1"/>
    </row>
    <row r="47" spans="10:20" ht="12.75">
      <c r="J47" s="1"/>
      <c r="K47" s="38" t="s">
        <v>171</v>
      </c>
      <c r="L47"/>
      <c r="M47"/>
      <c r="N47"/>
      <c r="T47" s="1"/>
    </row>
    <row r="48" spans="10:20" ht="12.75">
      <c r="J48" s="1"/>
      <c r="K48" s="38" t="s">
        <v>34</v>
      </c>
      <c r="L48"/>
      <c r="M48"/>
      <c r="N48"/>
      <c r="T48" s="1"/>
    </row>
    <row r="49" spans="1:20" ht="12.75">
      <c r="A49" s="1"/>
      <c r="J49" s="1"/>
      <c r="K49" s="1"/>
      <c r="T49" s="1"/>
    </row>
    <row r="50" spans="1:20" ht="12.75">
      <c r="A50" s="1"/>
      <c r="J50" s="1"/>
      <c r="K50" s="1"/>
      <c r="T50" s="1"/>
    </row>
    <row r="51" spans="1:20" ht="12.75">
      <c r="A51" s="1"/>
      <c r="J51" s="1"/>
      <c r="K51" s="1"/>
      <c r="T51" s="1"/>
    </row>
    <row r="52" spans="10:20" ht="12.75">
      <c r="J52" s="1"/>
      <c r="K52" s="1"/>
      <c r="T52" s="1"/>
    </row>
    <row r="53" spans="10:20" ht="12.75">
      <c r="J53" s="1"/>
      <c r="T53" s="1"/>
    </row>
    <row r="54" spans="10:20" ht="12.75">
      <c r="J54" s="1"/>
      <c r="T54" s="1"/>
    </row>
    <row r="55" spans="1:20" ht="12.75">
      <c r="A55" s="1"/>
      <c r="J55" s="1"/>
      <c r="T55" s="1"/>
    </row>
    <row r="56" spans="1:20" ht="12.75">
      <c r="A56" s="1"/>
      <c r="J56" s="1"/>
      <c r="T56" s="1"/>
    </row>
    <row r="57" spans="10:20" ht="12.75">
      <c r="J57" s="1"/>
      <c r="T57" s="1"/>
    </row>
    <row r="58" spans="10:20" ht="12.75">
      <c r="J58" s="1"/>
      <c r="T58" s="1"/>
    </row>
    <row r="59" spans="10:20" ht="12.75">
      <c r="J59" s="1"/>
      <c r="T59" s="1"/>
    </row>
    <row r="60" spans="10:20" ht="12.75">
      <c r="J60" s="1"/>
      <c r="T60" s="1"/>
    </row>
    <row r="61" spans="10:20" ht="12.75">
      <c r="J61" s="1"/>
      <c r="T61" s="1"/>
    </row>
    <row r="62" spans="10:20" ht="12.75">
      <c r="J62" s="1"/>
      <c r="T62" s="1"/>
    </row>
    <row r="63" spans="10:20" ht="12.75">
      <c r="J63" s="1"/>
      <c r="T63" s="1"/>
    </row>
    <row r="64" spans="10:20" ht="12.75">
      <c r="J64" s="1"/>
      <c r="T64" s="1"/>
    </row>
    <row r="65" spans="10:20" ht="12.75">
      <c r="J65" s="1"/>
      <c r="T65" s="1"/>
    </row>
    <row r="66" spans="10:20" ht="12.75">
      <c r="J66" s="1"/>
      <c r="T66" s="1"/>
    </row>
    <row r="67" spans="10:20" ht="12.75">
      <c r="J67" s="1"/>
      <c r="T67" s="1"/>
    </row>
    <row r="68" spans="10:20" ht="12.75">
      <c r="J68" s="1"/>
      <c r="T68" s="1"/>
    </row>
    <row r="69" spans="10:20" ht="12.75">
      <c r="J69" s="1"/>
      <c r="T69" s="1"/>
    </row>
    <row r="70" spans="10:20" ht="12.75">
      <c r="J70" s="1"/>
      <c r="T70" s="1"/>
    </row>
    <row r="71" spans="10:20" ht="12.75">
      <c r="J71" s="1"/>
      <c r="T71" s="1"/>
    </row>
    <row r="72" spans="10:20" ht="12.75">
      <c r="J72" s="1"/>
      <c r="T72" s="1"/>
    </row>
    <row r="73" spans="10:20" ht="12.75">
      <c r="J73" s="1"/>
      <c r="T73" s="1"/>
    </row>
    <row r="74" spans="10:20" ht="12.75">
      <c r="J74" s="1"/>
      <c r="T74" s="1"/>
    </row>
    <row r="75" spans="10:20" ht="12.75">
      <c r="J75" s="1"/>
      <c r="T75" s="1"/>
    </row>
    <row r="76" spans="10:20" ht="12.75">
      <c r="J76" s="1"/>
      <c r="T76" s="1"/>
    </row>
    <row r="77" spans="10:20" ht="12.75">
      <c r="J77" s="1"/>
      <c r="T77" s="1"/>
    </row>
    <row r="78" spans="10:20" ht="12.75">
      <c r="J78" s="1"/>
      <c r="T78" s="1"/>
    </row>
    <row r="79" spans="10:20" ht="12.75">
      <c r="J79" s="1"/>
      <c r="T79" s="1"/>
    </row>
    <row r="80" spans="10:20" ht="12.75">
      <c r="J80" s="1"/>
      <c r="T80" s="1"/>
    </row>
    <row r="81" spans="10:20" ht="12.75">
      <c r="J81" s="1"/>
      <c r="T81" s="1"/>
    </row>
    <row r="82" spans="10:20" ht="12.75">
      <c r="J82" s="1"/>
      <c r="T82" s="1"/>
    </row>
    <row r="83" spans="10:20" ht="12.75">
      <c r="J83" s="1"/>
      <c r="T83" s="1"/>
    </row>
    <row r="84" spans="10:20" ht="12.75">
      <c r="J84" s="1"/>
      <c r="T84" s="1"/>
    </row>
    <row r="85" spans="10:20" ht="12.75">
      <c r="J85" s="1"/>
      <c r="T85" s="1"/>
    </row>
    <row r="86" spans="10:20" ht="12.75">
      <c r="J86" s="1"/>
      <c r="T86" s="1"/>
    </row>
    <row r="87" spans="10:20" ht="12.75">
      <c r="J87" s="1"/>
      <c r="T87" s="1"/>
    </row>
    <row r="88" spans="10:20" ht="12.75">
      <c r="J88" s="1"/>
      <c r="T88" s="1"/>
    </row>
    <row r="89" spans="10:20" ht="12.75">
      <c r="J89" s="1"/>
      <c r="T89" s="1"/>
    </row>
    <row r="90" spans="10:20" ht="12.75">
      <c r="J90" s="1"/>
      <c r="T90" s="1"/>
    </row>
    <row r="91" spans="10:20" ht="12.75">
      <c r="J91" s="1"/>
      <c r="T91" s="1"/>
    </row>
    <row r="92" spans="10:20" ht="12.75">
      <c r="J92" s="1"/>
      <c r="T92" s="1"/>
    </row>
    <row r="93" spans="10:20" ht="12.75">
      <c r="J93" s="1"/>
      <c r="T93" s="1"/>
    </row>
    <row r="94" spans="10:20" ht="12.75">
      <c r="J94" s="1"/>
      <c r="T94" s="1"/>
    </row>
    <row r="95" spans="10:20" ht="12.75">
      <c r="J95" s="1"/>
      <c r="T95" s="1"/>
    </row>
    <row r="96" spans="10:20" ht="12.75">
      <c r="J96" s="1"/>
      <c r="T96" s="1"/>
    </row>
    <row r="97" spans="10:20" ht="12.75">
      <c r="J97" s="1"/>
      <c r="T97" s="1"/>
    </row>
    <row r="98" spans="10:20" ht="12.75">
      <c r="J98" s="1"/>
      <c r="T98" s="1"/>
    </row>
    <row r="99" spans="10:20" ht="12.75">
      <c r="J99" s="1"/>
      <c r="T99" s="1"/>
    </row>
    <row r="100" spans="10:20" ht="12.75">
      <c r="J100" s="1"/>
      <c r="T100" s="1"/>
    </row>
    <row r="101" spans="10:20" ht="12.75">
      <c r="J101" s="1"/>
      <c r="T101" s="1"/>
    </row>
    <row r="102" spans="10:20" ht="12.75">
      <c r="J102" s="1"/>
      <c r="T102" s="1"/>
    </row>
    <row r="103" spans="10:20" ht="12.75">
      <c r="J103" s="1"/>
      <c r="T103" s="1"/>
    </row>
    <row r="104" spans="10:20" ht="12.75">
      <c r="J104" s="1"/>
      <c r="T104" s="1"/>
    </row>
    <row r="105" spans="10:20" ht="12.75">
      <c r="J105" s="1"/>
      <c r="T105" s="1"/>
    </row>
    <row r="106" spans="10:20" ht="12.75">
      <c r="J106" s="1"/>
      <c r="T106" s="1"/>
    </row>
    <row r="107" spans="10:20" ht="12.75">
      <c r="J107" s="1"/>
      <c r="T107" s="1"/>
    </row>
    <row r="108" spans="10:20" ht="12.75">
      <c r="J108" s="1"/>
      <c r="T108" s="1"/>
    </row>
    <row r="109" spans="10:20" ht="12.75">
      <c r="J109" s="1"/>
      <c r="T109" s="1"/>
    </row>
    <row r="110" spans="10:20" ht="12.75">
      <c r="J110" s="1"/>
      <c r="T110" s="1"/>
    </row>
    <row r="111" spans="10:20" ht="12.75">
      <c r="J111" s="1"/>
      <c r="T111" s="1"/>
    </row>
    <row r="112" spans="10:20" ht="12.75">
      <c r="J112" s="1"/>
      <c r="T112" s="1"/>
    </row>
    <row r="113" spans="10:20" ht="12.75">
      <c r="J113" s="1"/>
      <c r="T113" s="1"/>
    </row>
    <row r="114" spans="10:20" ht="12.75">
      <c r="J114" s="1"/>
      <c r="T114" s="1"/>
    </row>
    <row r="115" spans="10:20" ht="12.75">
      <c r="J115" s="1"/>
      <c r="T115" s="1"/>
    </row>
    <row r="116" spans="10:20" ht="12.75">
      <c r="J116" s="1"/>
      <c r="T116" s="1"/>
    </row>
    <row r="117" spans="10:20" ht="12.75">
      <c r="J117" s="1"/>
      <c r="T117" s="1"/>
    </row>
    <row r="118" spans="10:20" ht="12.75">
      <c r="J118" s="1"/>
      <c r="T118" s="1"/>
    </row>
    <row r="119" spans="10:20" ht="12.75">
      <c r="J119" s="1"/>
      <c r="T119" s="1"/>
    </row>
    <row r="120" spans="10:20" ht="12.75">
      <c r="J120" s="1"/>
      <c r="T120" s="1"/>
    </row>
    <row r="121" spans="10:20" ht="12.75">
      <c r="J121" s="1"/>
      <c r="T121" s="1"/>
    </row>
    <row r="122" spans="10:20" ht="12.75">
      <c r="J122" s="1"/>
      <c r="T122" s="1"/>
    </row>
    <row r="123" spans="10:20" ht="12.75">
      <c r="J123" s="1"/>
      <c r="T123" s="1"/>
    </row>
    <row r="124" spans="10:20" ht="12.75">
      <c r="J124" s="1"/>
      <c r="T124" s="1"/>
    </row>
    <row r="125" spans="10:20" ht="12.75">
      <c r="J125" s="1"/>
      <c r="T125" s="1"/>
    </row>
    <row r="126" spans="10:20" ht="12.75">
      <c r="J126" s="1"/>
      <c r="T126" s="1"/>
    </row>
    <row r="127" spans="1:20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</row>
    <row r="128" spans="1:20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</row>
    <row r="129" spans="1:20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</row>
    <row r="130" spans="1:20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</row>
    <row r="131" spans="1:20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</row>
    <row r="132" spans="1:20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</row>
    <row r="133" spans="1:20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</row>
    <row r="134" spans="1:20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</row>
    <row r="135" spans="1:20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</row>
    <row r="136" spans="1:20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</row>
    <row r="137" spans="1:20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</row>
    <row r="138" spans="1:20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</row>
    <row r="139" spans="1:20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</row>
    <row r="140" spans="1:20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</row>
    <row r="141" spans="1:20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</row>
    <row r="142" spans="1:20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</row>
    <row r="143" spans="1:20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</row>
    <row r="144" spans="1:20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</row>
    <row r="145" spans="1:20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</row>
    <row r="146" spans="1:20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</row>
    <row r="147" spans="1:20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</row>
    <row r="148" spans="1:20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</row>
    <row r="149" spans="1:20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</row>
    <row r="150" spans="1:20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</row>
    <row r="151" spans="1:20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</row>
    <row r="152" spans="1:20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</row>
    <row r="153" spans="1:20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</row>
    <row r="154" spans="1:20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</row>
    <row r="155" spans="1:20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</row>
    <row r="156" spans="1:20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</row>
    <row r="157" spans="1:20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</row>
    <row r="158" spans="1:20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</row>
    <row r="159" spans="1:20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</row>
    <row r="160" spans="1:20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</row>
    <row r="161" spans="1:20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</row>
    <row r="162" spans="1:20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</row>
    <row r="163" spans="1:20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</row>
    <row r="164" spans="1:20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</row>
    <row r="165" spans="1:20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</row>
    <row r="166" spans="1:20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</row>
    <row r="167" spans="1:20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</row>
    <row r="168" spans="1:20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</row>
    <row r="169" spans="1:20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</row>
    <row r="170" spans="1:20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</row>
    <row r="171" spans="1:20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</row>
    <row r="172" spans="1:20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</row>
    <row r="173" spans="1:20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</row>
    <row r="174" spans="1:20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</row>
    <row r="175" spans="1:20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</row>
    <row r="176" spans="1:20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</row>
    <row r="177" spans="1:20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</row>
    <row r="178" spans="1:20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</row>
    <row r="179" spans="1:20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</row>
    <row r="180" spans="1:20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</row>
    <row r="181" spans="1:20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</row>
  </sheetData>
  <mergeCells count="13">
    <mergeCell ref="M41:N41"/>
    <mergeCell ref="A6:J6"/>
    <mergeCell ref="K6:T6"/>
    <mergeCell ref="B9:D9"/>
    <mergeCell ref="E9:G9"/>
    <mergeCell ref="H9:J9"/>
    <mergeCell ref="L9:N9"/>
    <mergeCell ref="O9:Q9"/>
    <mergeCell ref="R9:T9"/>
    <mergeCell ref="A4:J4"/>
    <mergeCell ref="K4:T4"/>
    <mergeCell ref="A5:J5"/>
    <mergeCell ref="K5:T5"/>
  </mergeCells>
  <printOptions/>
  <pageMargins left="0.75" right="0.75" top="1" bottom="1" header="0.5" footer="0.5"/>
  <pageSetup firstPageNumber="54" useFirstPageNumber="1" horizontalDpi="600" verticalDpi="600" orientation="landscape" paperSize="9" r:id="rId1"/>
  <headerFooter alignWithMargins="0">
    <oddFooter>&amp;R&amp;9&amp;P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51"/>
  <sheetViews>
    <sheetView workbookViewId="0" topLeftCell="H28">
      <selection activeCell="K52" sqref="K52"/>
    </sheetView>
  </sheetViews>
  <sheetFormatPr defaultColWidth="9.140625" defaultRowHeight="17.25" customHeight="1"/>
  <cols>
    <col min="1" max="1" width="43.421875" style="0" hidden="1" customWidth="1"/>
    <col min="2" max="2" width="10.8515625" style="0" hidden="1" customWidth="1"/>
    <col min="3" max="3" width="10.28125" style="0" hidden="1" customWidth="1"/>
    <col min="4" max="4" width="11.00390625" style="0" hidden="1" customWidth="1"/>
    <col min="5" max="5" width="10.28125" style="0" hidden="1" customWidth="1"/>
    <col min="6" max="6" width="11.28125" style="0" hidden="1" customWidth="1"/>
    <col min="7" max="7" width="9.140625" style="0" hidden="1" customWidth="1"/>
    <col min="8" max="8" width="44.28125" style="0" customWidth="1"/>
    <col min="9" max="9" width="9.8515625" style="0" customWidth="1"/>
    <col min="11" max="11" width="11.28125" style="0" customWidth="1"/>
    <col min="12" max="12" width="10.57421875" style="0" customWidth="1"/>
    <col min="13" max="13" width="8.28125" style="0" customWidth="1"/>
  </cols>
  <sheetData>
    <row r="1" spans="6:13" ht="14.25" customHeight="1">
      <c r="F1" s="90" t="s">
        <v>173</v>
      </c>
      <c r="M1" s="90" t="s">
        <v>173</v>
      </c>
    </row>
    <row r="2" spans="1:13" ht="13.5" customHeight="1">
      <c r="A2" s="755" t="s">
        <v>174</v>
      </c>
      <c r="B2" s="755"/>
      <c r="C2" s="755"/>
      <c r="D2" s="755"/>
      <c r="E2" s="755"/>
      <c r="F2" s="755"/>
      <c r="H2" s="757" t="s">
        <v>174</v>
      </c>
      <c r="I2" s="757"/>
      <c r="J2" s="757"/>
      <c r="K2" s="757"/>
      <c r="L2" s="757"/>
      <c r="M2" s="757"/>
    </row>
    <row r="3" ht="12.75" customHeight="1"/>
    <row r="4" spans="1:13" ht="15" customHeight="1">
      <c r="A4" s="756" t="s">
        <v>175</v>
      </c>
      <c r="B4" s="756"/>
      <c r="C4" s="756"/>
      <c r="D4" s="756"/>
      <c r="E4" s="756"/>
      <c r="F4" s="756"/>
      <c r="H4" s="758" t="s">
        <v>175</v>
      </c>
      <c r="I4" s="758"/>
      <c r="J4" s="758"/>
      <c r="K4" s="758"/>
      <c r="L4" s="758"/>
      <c r="M4" s="758"/>
    </row>
    <row r="5" spans="1:12" ht="14.25" customHeight="1">
      <c r="A5" s="755" t="s">
        <v>176</v>
      </c>
      <c r="B5" s="755"/>
      <c r="C5" s="755"/>
      <c r="D5" s="755"/>
      <c r="E5" s="755"/>
      <c r="H5" s="754" t="s">
        <v>18</v>
      </c>
      <c r="I5" s="754"/>
      <c r="J5" s="754"/>
      <c r="K5" s="754"/>
      <c r="L5" s="754"/>
    </row>
    <row r="6" spans="6:13" ht="14.25" customHeight="1">
      <c r="F6" s="38" t="s">
        <v>94</v>
      </c>
      <c r="M6" s="38" t="s">
        <v>94</v>
      </c>
    </row>
    <row r="7" spans="1:13" ht="33.75">
      <c r="A7" s="9" t="s">
        <v>177</v>
      </c>
      <c r="B7" s="9" t="s">
        <v>95</v>
      </c>
      <c r="C7" s="92" t="s">
        <v>178</v>
      </c>
      <c r="D7" s="9" t="s">
        <v>96</v>
      </c>
      <c r="E7" s="9" t="s">
        <v>179</v>
      </c>
      <c r="F7" s="9" t="s">
        <v>180</v>
      </c>
      <c r="H7" s="9" t="s">
        <v>177</v>
      </c>
      <c r="I7" s="9" t="s">
        <v>95</v>
      </c>
      <c r="J7" s="92" t="s">
        <v>178</v>
      </c>
      <c r="K7" s="9" t="s">
        <v>96</v>
      </c>
      <c r="L7" s="9" t="s">
        <v>179</v>
      </c>
      <c r="M7" s="9" t="s">
        <v>40</v>
      </c>
    </row>
    <row r="8" spans="1:13" ht="13.5" customHeight="1">
      <c r="A8" s="8">
        <v>1</v>
      </c>
      <c r="B8" s="93">
        <v>2</v>
      </c>
      <c r="C8" s="93">
        <v>3</v>
      </c>
      <c r="D8" s="93">
        <v>4</v>
      </c>
      <c r="E8" s="93">
        <v>5</v>
      </c>
      <c r="F8" s="93">
        <v>6</v>
      </c>
      <c r="H8" s="8">
        <v>1</v>
      </c>
      <c r="I8" s="93">
        <v>2</v>
      </c>
      <c r="J8" s="93">
        <v>3</v>
      </c>
      <c r="K8" s="93">
        <v>4</v>
      </c>
      <c r="L8" s="93">
        <v>5</v>
      </c>
      <c r="M8" s="93">
        <v>6</v>
      </c>
    </row>
    <row r="9" spans="1:13" ht="13.5" customHeight="1">
      <c r="A9" s="94" t="s">
        <v>181</v>
      </c>
      <c r="B9" s="95">
        <f>B10+B19+B36+B38</f>
        <v>795383031</v>
      </c>
      <c r="C9" s="96">
        <v>96.25</v>
      </c>
      <c r="D9" s="95">
        <f>D10+D19+D36+D38</f>
        <v>231297319.85</v>
      </c>
      <c r="E9" s="97">
        <f aca="true" t="shared" si="0" ref="E9:E16">IF(ISERROR(D9/B9)," ",(D9/B9))*100</f>
        <v>29.079991756826907</v>
      </c>
      <c r="F9" s="95">
        <f>F10+F19+F36+F38</f>
        <v>62964739.72</v>
      </c>
      <c r="H9" s="94" t="s">
        <v>181</v>
      </c>
      <c r="I9" s="98">
        <v>795383</v>
      </c>
      <c r="J9" s="96">
        <v>95.73</v>
      </c>
      <c r="K9" s="98">
        <v>297304</v>
      </c>
      <c r="L9" s="99">
        <v>37.37873153972278</v>
      </c>
      <c r="M9" s="98">
        <v>66007</v>
      </c>
    </row>
    <row r="10" spans="1:13" ht="13.5" customHeight="1">
      <c r="A10" s="100" t="s">
        <v>182</v>
      </c>
      <c r="B10" s="95">
        <f>B11+B13</f>
        <v>611912797</v>
      </c>
      <c r="C10" s="96">
        <v>95.19</v>
      </c>
      <c r="D10" s="95">
        <f>D11+D13+D17</f>
        <v>183995230.70000002</v>
      </c>
      <c r="E10" s="97">
        <f t="shared" si="0"/>
        <v>30.06886464902613</v>
      </c>
      <c r="F10" s="95">
        <f>F11+F13+F17</f>
        <v>49503963.440000005</v>
      </c>
      <c r="H10" s="100" t="s">
        <v>182</v>
      </c>
      <c r="I10" s="98">
        <v>611913</v>
      </c>
      <c r="J10" s="96">
        <v>94.52</v>
      </c>
      <c r="K10" s="98">
        <v>233621</v>
      </c>
      <c r="L10" s="99">
        <v>38.17856938036876</v>
      </c>
      <c r="M10" s="98">
        <v>49627</v>
      </c>
    </row>
    <row r="11" spans="1:13" ht="13.5" customHeight="1">
      <c r="A11" s="100" t="s">
        <v>183</v>
      </c>
      <c r="B11" s="95">
        <f>B12</f>
        <v>98046000</v>
      </c>
      <c r="C11" s="96">
        <v>85.72</v>
      </c>
      <c r="D11" s="95">
        <f>D12</f>
        <v>34915200.72</v>
      </c>
      <c r="E11" s="97">
        <f t="shared" si="0"/>
        <v>35.611040450400836</v>
      </c>
      <c r="F11" s="95">
        <f>F12</f>
        <v>11754676.959999997</v>
      </c>
      <c r="H11" s="100" t="s">
        <v>183</v>
      </c>
      <c r="I11" s="98">
        <v>98046</v>
      </c>
      <c r="J11" s="96">
        <v>91.84</v>
      </c>
      <c r="K11" s="98">
        <v>46208</v>
      </c>
      <c r="L11" s="99">
        <v>47.129075525773615</v>
      </c>
      <c r="M11" s="98">
        <v>11293</v>
      </c>
    </row>
    <row r="12" spans="1:13" ht="13.5" customHeight="1">
      <c r="A12" s="60" t="s">
        <v>184</v>
      </c>
      <c r="B12" s="101">
        <v>98046000</v>
      </c>
      <c r="C12" s="102">
        <v>85.72</v>
      </c>
      <c r="D12" s="103">
        <v>34915200.72</v>
      </c>
      <c r="E12" s="104">
        <f t="shared" si="0"/>
        <v>35.611040450400836</v>
      </c>
      <c r="F12" s="103">
        <f>D12-'[1]marts'!D12</f>
        <v>11754676.959999997</v>
      </c>
      <c r="H12" s="66" t="s">
        <v>184</v>
      </c>
      <c r="I12" s="105">
        <v>98046</v>
      </c>
      <c r="J12" s="106">
        <v>91.84</v>
      </c>
      <c r="K12" s="105">
        <v>46208</v>
      </c>
      <c r="L12" s="107">
        <v>47.129075525773615</v>
      </c>
      <c r="M12" s="105">
        <v>11293</v>
      </c>
    </row>
    <row r="13" spans="1:13" ht="13.5" customHeight="1">
      <c r="A13" s="100" t="s">
        <v>185</v>
      </c>
      <c r="B13" s="95">
        <f>B14+B15+B16</f>
        <v>513866797</v>
      </c>
      <c r="C13" s="96">
        <v>97.33</v>
      </c>
      <c r="D13" s="95">
        <f>D14+D15+D16</f>
        <v>144738729.86</v>
      </c>
      <c r="E13" s="97">
        <f t="shared" si="0"/>
        <v>28.16658533008896</v>
      </c>
      <c r="F13" s="103">
        <f>D13-'[1]marts'!D13</f>
        <v>36791874.88000001</v>
      </c>
      <c r="H13" s="100" t="s">
        <v>185</v>
      </c>
      <c r="I13" s="98">
        <v>513867</v>
      </c>
      <c r="J13" s="96">
        <v>100</v>
      </c>
      <c r="K13" s="98">
        <v>186491</v>
      </c>
      <c r="L13" s="99">
        <v>36.29130320128468</v>
      </c>
      <c r="M13" s="98">
        <v>41753</v>
      </c>
    </row>
    <row r="14" spans="1:13" ht="13.5" customHeight="1">
      <c r="A14" s="60" t="s">
        <v>186</v>
      </c>
      <c r="B14" s="101">
        <v>368947657</v>
      </c>
      <c r="C14" s="108">
        <v>97.97</v>
      </c>
      <c r="D14" s="103">
        <v>105629423.7</v>
      </c>
      <c r="E14" s="104">
        <f t="shared" si="0"/>
        <v>28.629921262787693</v>
      </c>
      <c r="F14" s="103">
        <f>D14-'[1]marts'!D14</f>
        <v>27463184</v>
      </c>
      <c r="H14" s="66" t="s">
        <v>186</v>
      </c>
      <c r="I14" s="105">
        <v>368948</v>
      </c>
      <c r="J14" s="106">
        <v>94.92</v>
      </c>
      <c r="K14" s="105">
        <v>135971</v>
      </c>
      <c r="L14" s="107">
        <v>36.853752262749836</v>
      </c>
      <c r="M14" s="105">
        <v>30342</v>
      </c>
    </row>
    <row r="15" spans="1:13" ht="13.5" customHeight="1">
      <c r="A15" s="60" t="s">
        <v>187</v>
      </c>
      <c r="B15" s="101">
        <v>132976140</v>
      </c>
      <c r="C15" s="108">
        <v>94.04</v>
      </c>
      <c r="D15" s="103">
        <v>34538281.03</v>
      </c>
      <c r="E15" s="104">
        <f t="shared" si="0"/>
        <v>25.973291922896845</v>
      </c>
      <c r="F15" s="103">
        <f>D15-'[1]marts'!D15</f>
        <v>8030245.609999999</v>
      </c>
      <c r="H15" s="66" t="s">
        <v>187</v>
      </c>
      <c r="I15" s="105">
        <v>132976</v>
      </c>
      <c r="J15" s="106">
        <v>93.78</v>
      </c>
      <c r="K15" s="105">
        <v>44480</v>
      </c>
      <c r="L15" s="107">
        <v>33.448333633387165</v>
      </c>
      <c r="M15" s="105">
        <v>9942</v>
      </c>
    </row>
    <row r="16" spans="1:13" ht="13.5" customHeight="1">
      <c r="A16" s="109" t="s">
        <v>188</v>
      </c>
      <c r="B16" s="101">
        <v>11943000</v>
      </c>
      <c r="C16" s="108">
        <v>100</v>
      </c>
      <c r="D16" s="103">
        <v>4571025.13</v>
      </c>
      <c r="E16" s="104">
        <f t="shared" si="0"/>
        <v>38.27367604454492</v>
      </c>
      <c r="F16" s="103">
        <f>D16-'[1]marts'!D16</f>
        <v>1298445.27</v>
      </c>
      <c r="H16" s="110" t="s">
        <v>188</v>
      </c>
      <c r="I16" s="105">
        <v>11943</v>
      </c>
      <c r="J16" s="106">
        <v>112.2</v>
      </c>
      <c r="K16" s="105">
        <v>6040</v>
      </c>
      <c r="L16" s="107">
        <v>50.57019927991292</v>
      </c>
      <c r="M16" s="105">
        <v>1469</v>
      </c>
    </row>
    <row r="17" spans="1:13" ht="13.5" customHeight="1">
      <c r="A17" s="100" t="s">
        <v>189</v>
      </c>
      <c r="B17" s="111" t="s">
        <v>53</v>
      </c>
      <c r="C17" s="112"/>
      <c r="D17" s="113">
        <v>4341300.12</v>
      </c>
      <c r="E17" s="104"/>
      <c r="F17" s="103">
        <f>D17-'[1]marts'!D17</f>
        <v>957411.6000000001</v>
      </c>
      <c r="H17" s="100" t="s">
        <v>189</v>
      </c>
      <c r="I17" s="114" t="s">
        <v>53</v>
      </c>
      <c r="J17" s="106"/>
      <c r="K17" s="98">
        <v>922</v>
      </c>
      <c r="L17" s="99"/>
      <c r="M17" s="98">
        <v>-3419</v>
      </c>
    </row>
    <row r="18" spans="1:13" ht="13.5" customHeight="1">
      <c r="A18" s="109" t="s">
        <v>190</v>
      </c>
      <c r="B18" s="115" t="s">
        <v>53</v>
      </c>
      <c r="C18" s="108"/>
      <c r="D18" s="103">
        <v>16138.41</v>
      </c>
      <c r="E18" s="104"/>
      <c r="F18" s="103">
        <f>D18-'[1]marts'!D18</f>
        <v>-9278.27</v>
      </c>
      <c r="H18" s="110" t="s">
        <v>190</v>
      </c>
      <c r="I18" s="725" t="s">
        <v>53</v>
      </c>
      <c r="J18" s="726"/>
      <c r="K18" s="727">
        <v>7</v>
      </c>
      <c r="L18" s="728"/>
      <c r="M18" s="727">
        <v>-9</v>
      </c>
    </row>
    <row r="19" spans="1:13" ht="13.5" customHeight="1">
      <c r="A19" s="100" t="s">
        <v>191</v>
      </c>
      <c r="B19" s="95">
        <f>B20+B21+B22+B23+B24+B25+B29+B30</f>
        <v>66652153</v>
      </c>
      <c r="C19" s="96">
        <v>100</v>
      </c>
      <c r="D19" s="95">
        <f>D20+D21+D22+D23+D24+D25+D29+D30</f>
        <v>23069962.82</v>
      </c>
      <c r="E19" s="97">
        <f aca="true" t="shared" si="1" ref="E19:E33">IF(ISERROR(D19/B19)," ",(D19/B19))*100</f>
        <v>34.61247953985823</v>
      </c>
      <c r="F19" s="103">
        <f>D19-'[1]marts'!D19</f>
        <v>7494708.120000001</v>
      </c>
      <c r="H19" s="100" t="s">
        <v>191</v>
      </c>
      <c r="I19" s="98">
        <v>66652</v>
      </c>
      <c r="J19" s="106">
        <v>100</v>
      </c>
      <c r="K19" s="98">
        <v>28597</v>
      </c>
      <c r="L19" s="99">
        <v>42.907030445063036</v>
      </c>
      <c r="M19" s="98">
        <v>5526</v>
      </c>
    </row>
    <row r="20" spans="1:13" ht="13.5" customHeight="1">
      <c r="A20" s="69" t="s">
        <v>192</v>
      </c>
      <c r="B20" s="101">
        <v>1250000</v>
      </c>
      <c r="C20" s="108">
        <v>100</v>
      </c>
      <c r="D20" s="103">
        <v>317188.58</v>
      </c>
      <c r="E20" s="104">
        <f t="shared" si="1"/>
        <v>25.3750864</v>
      </c>
      <c r="F20" s="103">
        <f>D20-'[1]marts'!D20</f>
        <v>129183.54000000001</v>
      </c>
      <c r="H20" s="67" t="s">
        <v>192</v>
      </c>
      <c r="I20" s="105">
        <v>1250</v>
      </c>
      <c r="J20" s="106">
        <v>100</v>
      </c>
      <c r="K20" s="105">
        <v>1014</v>
      </c>
      <c r="L20" s="107">
        <v>81.1413776</v>
      </c>
      <c r="M20" s="105">
        <v>697</v>
      </c>
    </row>
    <row r="21" spans="1:13" ht="13.5" customHeight="1">
      <c r="A21" s="118" t="s">
        <v>193</v>
      </c>
      <c r="B21" s="101">
        <v>14528225</v>
      </c>
      <c r="C21" s="108">
        <v>100</v>
      </c>
      <c r="D21" s="103">
        <v>6182784.33</v>
      </c>
      <c r="E21" s="104">
        <f t="shared" si="1"/>
        <v>42.55705242725797</v>
      </c>
      <c r="F21" s="103">
        <f>D21-'[1]marts'!D21</f>
        <v>2425263.7</v>
      </c>
      <c r="H21" s="119" t="s">
        <v>193</v>
      </c>
      <c r="I21" s="105">
        <v>14528</v>
      </c>
      <c r="J21" s="106">
        <v>100</v>
      </c>
      <c r="K21" s="105">
        <v>7021</v>
      </c>
      <c r="L21" s="107">
        <v>48.323843277482275</v>
      </c>
      <c r="M21" s="105">
        <v>838</v>
      </c>
    </row>
    <row r="22" spans="1:13" ht="12" customHeight="1">
      <c r="A22" s="69" t="s">
        <v>194</v>
      </c>
      <c r="B22" s="101">
        <v>19729654</v>
      </c>
      <c r="C22" s="108">
        <v>100</v>
      </c>
      <c r="D22" s="103">
        <v>5237620.15</v>
      </c>
      <c r="E22" s="104">
        <f t="shared" si="1"/>
        <v>26.546943752789588</v>
      </c>
      <c r="F22" s="103">
        <f>D22-'[1]marts'!D22</f>
        <v>1221527.2100000004</v>
      </c>
      <c r="H22" s="67" t="s">
        <v>194</v>
      </c>
      <c r="I22" s="105">
        <v>19730</v>
      </c>
      <c r="J22" s="106">
        <v>100</v>
      </c>
      <c r="K22" s="105">
        <v>6883</v>
      </c>
      <c r="L22" s="107">
        <v>34.885342642096006</v>
      </c>
      <c r="M22" s="105">
        <v>1645</v>
      </c>
    </row>
    <row r="23" spans="1:13" ht="24.75" customHeight="1">
      <c r="A23" s="69" t="s">
        <v>195</v>
      </c>
      <c r="B23" s="101">
        <v>733720</v>
      </c>
      <c r="C23" s="108">
        <v>100</v>
      </c>
      <c r="D23" s="103">
        <v>255731.85</v>
      </c>
      <c r="E23" s="104">
        <f t="shared" si="1"/>
        <v>34.85414735866543</v>
      </c>
      <c r="F23" s="103">
        <f>D23-'[1]marts'!D23</f>
        <v>115810.55000000002</v>
      </c>
      <c r="H23" s="67" t="s">
        <v>195</v>
      </c>
      <c r="I23" s="105">
        <v>734</v>
      </c>
      <c r="J23" s="106">
        <v>100</v>
      </c>
      <c r="K23" s="105">
        <v>353</v>
      </c>
      <c r="L23" s="107">
        <v>48.06309627650875</v>
      </c>
      <c r="M23" s="105">
        <v>97</v>
      </c>
    </row>
    <row r="24" spans="1:13" ht="13.5" customHeight="1">
      <c r="A24" s="69" t="s">
        <v>196</v>
      </c>
      <c r="B24" s="101">
        <v>624000</v>
      </c>
      <c r="C24" s="108">
        <v>100</v>
      </c>
      <c r="D24" s="103">
        <v>235139.03</v>
      </c>
      <c r="E24" s="104">
        <f t="shared" si="1"/>
        <v>37.68253685897436</v>
      </c>
      <c r="F24" s="103">
        <f>D24-'[1]marts'!D24</f>
        <v>33639.01999999999</v>
      </c>
      <c r="H24" s="67" t="s">
        <v>196</v>
      </c>
      <c r="I24" s="105">
        <v>624</v>
      </c>
      <c r="J24" s="106">
        <v>100</v>
      </c>
      <c r="K24" s="105">
        <v>267</v>
      </c>
      <c r="L24" s="107">
        <v>42.825469551282055</v>
      </c>
      <c r="M24" s="105">
        <v>32</v>
      </c>
    </row>
    <row r="25" spans="1:13" ht="13.5" customHeight="1">
      <c r="A25" s="120" t="s">
        <v>197</v>
      </c>
      <c r="B25" s="101">
        <v>6650000</v>
      </c>
      <c r="C25" s="108">
        <v>100</v>
      </c>
      <c r="D25" s="103">
        <v>2806454.71</v>
      </c>
      <c r="E25" s="104">
        <f t="shared" si="1"/>
        <v>42.20232646616541</v>
      </c>
      <c r="F25" s="103">
        <f>D25-'[1]marts'!D25</f>
        <v>709196</v>
      </c>
      <c r="H25" s="121" t="s">
        <v>197</v>
      </c>
      <c r="I25" s="105">
        <v>6650</v>
      </c>
      <c r="J25" s="106">
        <v>100</v>
      </c>
      <c r="K25" s="105">
        <v>3404</v>
      </c>
      <c r="L25" s="107">
        <v>51.18535428571429</v>
      </c>
      <c r="M25" s="105">
        <v>598</v>
      </c>
    </row>
    <row r="26" spans="1:13" ht="24" customHeight="1">
      <c r="A26" s="122" t="s">
        <v>198</v>
      </c>
      <c r="B26" s="101">
        <v>2250000</v>
      </c>
      <c r="C26" s="108">
        <v>100</v>
      </c>
      <c r="D26" s="103">
        <v>881652.04</v>
      </c>
      <c r="E26" s="104">
        <f t="shared" si="1"/>
        <v>39.18453511111111</v>
      </c>
      <c r="F26" s="103">
        <f>D26-'[1]marts'!D26</f>
        <v>203395.25</v>
      </c>
      <c r="H26" s="123" t="s">
        <v>199</v>
      </c>
      <c r="I26" s="105">
        <v>2250</v>
      </c>
      <c r="J26" s="106">
        <v>100</v>
      </c>
      <c r="K26" s="105">
        <v>1084</v>
      </c>
      <c r="L26" s="107">
        <v>48.15660266666667</v>
      </c>
      <c r="M26" s="105">
        <v>202</v>
      </c>
    </row>
    <row r="27" spans="1:13" ht="25.5">
      <c r="A27" s="122" t="s">
        <v>200</v>
      </c>
      <c r="B27" s="124">
        <v>4200000</v>
      </c>
      <c r="C27" s="108">
        <v>100</v>
      </c>
      <c r="D27" s="103">
        <v>1662176.06</v>
      </c>
      <c r="E27" s="104">
        <f t="shared" si="1"/>
        <v>39.57562047619048</v>
      </c>
      <c r="F27" s="103">
        <f>D27-'[1]marts'!D27</f>
        <v>414415.47</v>
      </c>
      <c r="H27" s="123" t="s">
        <v>200</v>
      </c>
      <c r="I27" s="105">
        <v>4200</v>
      </c>
      <c r="J27" s="106">
        <v>100</v>
      </c>
      <c r="K27" s="105">
        <v>2010</v>
      </c>
      <c r="L27" s="107">
        <v>47.86679261904762</v>
      </c>
      <c r="M27" s="105">
        <v>348</v>
      </c>
    </row>
    <row r="28" spans="1:13" ht="14.25" customHeight="1">
      <c r="A28" s="122" t="s">
        <v>201</v>
      </c>
      <c r="B28" s="124">
        <v>200000</v>
      </c>
      <c r="C28" s="108">
        <v>100</v>
      </c>
      <c r="D28" s="103">
        <v>117760</v>
      </c>
      <c r="E28" s="104">
        <f t="shared" si="1"/>
        <v>58.879999999999995</v>
      </c>
      <c r="F28" s="103">
        <f>D28-'[1]marts'!D28</f>
        <v>58835</v>
      </c>
      <c r="H28" s="123" t="s">
        <v>201</v>
      </c>
      <c r="I28" s="105">
        <v>200</v>
      </c>
      <c r="J28" s="106">
        <v>100</v>
      </c>
      <c r="K28" s="105">
        <v>120</v>
      </c>
      <c r="L28" s="107">
        <v>59.87</v>
      </c>
      <c r="M28" s="105">
        <v>2</v>
      </c>
    </row>
    <row r="29" spans="1:13" ht="13.5" customHeight="1">
      <c r="A29" s="60" t="s">
        <v>202</v>
      </c>
      <c r="B29" s="101">
        <v>8594225</v>
      </c>
      <c r="C29" s="108">
        <v>100</v>
      </c>
      <c r="D29" s="103">
        <v>2492780.25</v>
      </c>
      <c r="E29" s="104">
        <f t="shared" si="1"/>
        <v>29.00529425282675</v>
      </c>
      <c r="F29" s="103">
        <f>D29-'[1]marts'!D29</f>
        <v>656617.4299999999</v>
      </c>
      <c r="H29" s="66" t="s">
        <v>202</v>
      </c>
      <c r="I29" s="105">
        <v>8594</v>
      </c>
      <c r="J29" s="106">
        <v>100</v>
      </c>
      <c r="K29" s="105">
        <v>3031</v>
      </c>
      <c r="L29" s="107">
        <v>35.268514380296075</v>
      </c>
      <c r="M29" s="105">
        <v>538</v>
      </c>
    </row>
    <row r="30" spans="1:13" ht="13.5" customHeight="1">
      <c r="A30" s="60" t="s">
        <v>203</v>
      </c>
      <c r="B30" s="101">
        <v>14542329</v>
      </c>
      <c r="C30" s="108">
        <v>100</v>
      </c>
      <c r="D30" s="103">
        <v>5542263.92</v>
      </c>
      <c r="E30" s="104">
        <f t="shared" si="1"/>
        <v>38.111253843865036</v>
      </c>
      <c r="F30" s="103">
        <f>D30-'[1]marts'!D30</f>
        <v>2203470.67</v>
      </c>
      <c r="H30" s="66" t="s">
        <v>203</v>
      </c>
      <c r="I30" s="105">
        <v>14542</v>
      </c>
      <c r="J30" s="106">
        <v>100</v>
      </c>
      <c r="K30" s="105">
        <v>6624</v>
      </c>
      <c r="L30" s="107">
        <v>45.56407202725231</v>
      </c>
      <c r="M30" s="105">
        <v>1081</v>
      </c>
    </row>
    <row r="31" spans="1:13" ht="27.75" customHeight="1">
      <c r="A31" s="125" t="s">
        <v>204</v>
      </c>
      <c r="B31" s="101">
        <v>1201200</v>
      </c>
      <c r="C31" s="108">
        <v>100</v>
      </c>
      <c r="D31" s="103">
        <v>400400</v>
      </c>
      <c r="E31" s="104">
        <f t="shared" si="1"/>
        <v>33.33333333333333</v>
      </c>
      <c r="F31" s="103">
        <f>D31-'[1]marts'!D31</f>
        <v>100100</v>
      </c>
      <c r="H31" s="126" t="s">
        <v>204</v>
      </c>
      <c r="I31" s="105">
        <v>1201</v>
      </c>
      <c r="J31" s="106">
        <v>100</v>
      </c>
      <c r="K31" s="105">
        <v>501</v>
      </c>
      <c r="L31" s="107">
        <v>41.66666666666667</v>
      </c>
      <c r="M31" s="105">
        <v>100</v>
      </c>
    </row>
    <row r="32" spans="1:13" ht="12.75">
      <c r="A32" s="127" t="s">
        <v>205</v>
      </c>
      <c r="B32" s="101">
        <v>8136610</v>
      </c>
      <c r="C32" s="108">
        <v>100</v>
      </c>
      <c r="D32" s="103">
        <v>2712000</v>
      </c>
      <c r="E32" s="104">
        <f t="shared" si="1"/>
        <v>33.33083434009987</v>
      </c>
      <c r="F32" s="103">
        <f>D32-'[1]marts'!D32</f>
        <v>678000</v>
      </c>
      <c r="H32" s="128" t="s">
        <v>206</v>
      </c>
      <c r="I32" s="105">
        <v>8137</v>
      </c>
      <c r="J32" s="106">
        <v>100</v>
      </c>
      <c r="K32" s="105">
        <v>3390</v>
      </c>
      <c r="L32" s="107">
        <v>41.66354292512484</v>
      </c>
      <c r="M32" s="105">
        <v>678</v>
      </c>
    </row>
    <row r="33" spans="1:13" ht="12.75">
      <c r="A33" s="127" t="s">
        <v>207</v>
      </c>
      <c r="B33" s="101">
        <v>239519</v>
      </c>
      <c r="C33" s="108">
        <v>100</v>
      </c>
      <c r="D33" s="103">
        <v>53004</v>
      </c>
      <c r="E33" s="104">
        <f t="shared" si="1"/>
        <v>22.12935090744367</v>
      </c>
      <c r="F33" s="103">
        <f>D33-'[1]marts'!D33</f>
        <v>18535</v>
      </c>
      <c r="H33" s="128" t="s">
        <v>208</v>
      </c>
      <c r="I33" s="105">
        <v>240</v>
      </c>
      <c r="J33" s="106">
        <v>100</v>
      </c>
      <c r="K33" s="105">
        <v>97</v>
      </c>
      <c r="L33" s="107">
        <v>40.31997461579249</v>
      </c>
      <c r="M33" s="105">
        <v>44</v>
      </c>
    </row>
    <row r="34" spans="1:13" ht="24" customHeight="1">
      <c r="A34" s="122" t="s">
        <v>209</v>
      </c>
      <c r="B34" s="101">
        <v>100000</v>
      </c>
      <c r="C34" s="108">
        <v>100</v>
      </c>
      <c r="D34" s="103"/>
      <c r="E34" s="104"/>
      <c r="F34" s="103">
        <f>D34-'[1]marts'!D34</f>
        <v>0</v>
      </c>
      <c r="H34" s="123" t="s">
        <v>209</v>
      </c>
      <c r="I34" s="105">
        <v>100</v>
      </c>
      <c r="J34" s="106">
        <v>100</v>
      </c>
      <c r="K34" s="105">
        <v>100</v>
      </c>
      <c r="L34" s="107">
        <v>100</v>
      </c>
      <c r="M34" s="105">
        <v>100</v>
      </c>
    </row>
    <row r="35" spans="1:13" ht="15" customHeight="1">
      <c r="A35" s="118" t="s">
        <v>210</v>
      </c>
      <c r="B35" s="129">
        <v>1140000</v>
      </c>
      <c r="C35" s="108">
        <v>100</v>
      </c>
      <c r="D35" s="103">
        <v>98</v>
      </c>
      <c r="E35" s="104"/>
      <c r="F35" s="103">
        <f>D35-'[1]marts'!D35</f>
        <v>98</v>
      </c>
      <c r="H35" s="119" t="s">
        <v>210</v>
      </c>
      <c r="I35" s="105">
        <v>1140</v>
      </c>
      <c r="J35" s="106">
        <v>100</v>
      </c>
      <c r="K35" s="105"/>
      <c r="L35" s="107"/>
      <c r="M35" s="105"/>
    </row>
    <row r="36" spans="1:13" ht="12.75">
      <c r="A36" s="130" t="s">
        <v>211</v>
      </c>
      <c r="B36" s="131">
        <f>B37</f>
        <v>60659270</v>
      </c>
      <c r="C36" s="132">
        <v>100</v>
      </c>
      <c r="D36" s="131">
        <f>D37</f>
        <v>20008019.79</v>
      </c>
      <c r="E36" s="97">
        <f>IF(ISERROR(D36/B36)," ",(D36/B36))*100</f>
        <v>32.984273945268384</v>
      </c>
      <c r="F36" s="103">
        <f>D36-'[1]marts'!D36</f>
        <v>4707514.1499999985</v>
      </c>
      <c r="H36" s="130" t="s">
        <v>211</v>
      </c>
      <c r="I36" s="98">
        <v>60659</v>
      </c>
      <c r="J36" s="106">
        <v>100</v>
      </c>
      <c r="K36" s="117">
        <v>24510</v>
      </c>
      <c r="L36" s="99">
        <v>40.406498545069866</v>
      </c>
      <c r="M36" s="133">
        <v>4502</v>
      </c>
    </row>
    <row r="37" spans="1:13" ht="25.5">
      <c r="A37" s="134" t="s">
        <v>212</v>
      </c>
      <c r="B37" s="101">
        <v>60659270</v>
      </c>
      <c r="C37" s="108">
        <v>100</v>
      </c>
      <c r="D37" s="103">
        <v>20008019.79</v>
      </c>
      <c r="E37" s="104">
        <f>IF(ISERROR(D37/B37)," ",(D37/B37))*100</f>
        <v>32.984273945268384</v>
      </c>
      <c r="F37" s="103">
        <f>D37-'[1]marts'!D37</f>
        <v>4707514.1499999985</v>
      </c>
      <c r="H37" s="135" t="s">
        <v>212</v>
      </c>
      <c r="I37" s="105">
        <v>60659</v>
      </c>
      <c r="J37" s="106">
        <v>100</v>
      </c>
      <c r="K37" s="105">
        <v>24510</v>
      </c>
      <c r="L37" s="107">
        <v>40.406498545069866</v>
      </c>
      <c r="M37" s="136">
        <v>4502</v>
      </c>
    </row>
    <row r="38" spans="1:13" ht="12.75">
      <c r="A38" s="130" t="s">
        <v>213</v>
      </c>
      <c r="B38" s="131">
        <v>56158811</v>
      </c>
      <c r="C38" s="132">
        <v>100</v>
      </c>
      <c r="D38" s="113">
        <v>4224106.54</v>
      </c>
      <c r="E38" s="97">
        <f>IF(ISERROR(D38/B38)," ",(D38/B38))*100</f>
        <v>7.5217164765115845</v>
      </c>
      <c r="F38" s="103">
        <f>D38-'[1]marts'!D38</f>
        <v>1258554.0100000002</v>
      </c>
      <c r="H38" s="130" t="s">
        <v>213</v>
      </c>
      <c r="I38" s="98">
        <v>56159</v>
      </c>
      <c r="J38" s="106">
        <v>100</v>
      </c>
      <c r="K38" s="98">
        <v>10576</v>
      </c>
      <c r="L38" s="137">
        <v>18.831932695298693</v>
      </c>
      <c r="M38" s="136">
        <v>6352</v>
      </c>
    </row>
    <row r="39" spans="1:13" ht="17.25" customHeight="1">
      <c r="A39" s="138"/>
      <c r="B39" s="139"/>
      <c r="C39" s="140"/>
      <c r="D39" s="140"/>
      <c r="E39" s="140"/>
      <c r="F39" s="141"/>
      <c r="H39" s="138"/>
      <c r="I39" s="139"/>
      <c r="J39" s="140"/>
      <c r="K39" s="140"/>
      <c r="L39" s="140"/>
      <c r="M39" s="140"/>
    </row>
    <row r="40" spans="1:13" ht="17.25" customHeight="1">
      <c r="A40" s="142"/>
      <c r="B40" s="143"/>
      <c r="C40" s="140"/>
      <c r="D40" s="140"/>
      <c r="E40" s="140"/>
      <c r="F40" s="140"/>
      <c r="H40" s="142"/>
      <c r="I40" s="143"/>
      <c r="J40" s="140"/>
      <c r="K40" s="140"/>
      <c r="L40" s="140"/>
      <c r="M40" s="140"/>
    </row>
    <row r="41" spans="1:12" ht="15" customHeight="1">
      <c r="A41" s="41" t="s">
        <v>214</v>
      </c>
      <c r="B41" s="39"/>
      <c r="C41" s="39"/>
      <c r="D41" s="39" t="s">
        <v>215</v>
      </c>
      <c r="E41" s="1"/>
      <c r="H41" s="88" t="s">
        <v>21</v>
      </c>
      <c r="I41" s="52"/>
      <c r="J41" s="89"/>
      <c r="K41" s="49"/>
      <c r="L41" s="6"/>
    </row>
    <row r="42" spans="8:11" ht="17.25" customHeight="1">
      <c r="H42" s="88"/>
      <c r="I42" s="52"/>
      <c r="J42" s="89"/>
      <c r="K42" s="89"/>
    </row>
    <row r="43" spans="8:12" ht="14.25" customHeight="1">
      <c r="H43" s="1"/>
      <c r="I43" s="50"/>
      <c r="J43" s="49"/>
      <c r="K43" s="49"/>
      <c r="L43" s="1"/>
    </row>
    <row r="44" spans="8:11" ht="15" customHeight="1">
      <c r="H44" s="1"/>
      <c r="I44" s="50"/>
      <c r="J44" s="38"/>
      <c r="K44" s="38"/>
    </row>
    <row r="45" spans="9:11" ht="12.75" customHeight="1">
      <c r="I45" s="50"/>
      <c r="J45" s="49"/>
      <c r="K45" s="49"/>
    </row>
    <row r="46" spans="9:11" ht="15.75" customHeight="1">
      <c r="I46" s="50"/>
      <c r="J46" s="49"/>
      <c r="K46" s="49"/>
    </row>
    <row r="47" ht="15" customHeight="1">
      <c r="K47" s="49"/>
    </row>
    <row r="48" spans="9:11" ht="17.25" customHeight="1">
      <c r="I48" s="52"/>
      <c r="J48" s="89"/>
      <c r="K48" s="49"/>
    </row>
    <row r="49" spans="8:11" ht="17.25" customHeight="1">
      <c r="H49" s="1" t="s">
        <v>171</v>
      </c>
      <c r="I49" s="50"/>
      <c r="J49" s="49"/>
      <c r="K49" s="49"/>
    </row>
    <row r="50" spans="8:11" ht="17.25" customHeight="1">
      <c r="H50" s="1" t="s">
        <v>19</v>
      </c>
      <c r="I50" s="50"/>
      <c r="J50" s="49"/>
      <c r="K50" s="49"/>
    </row>
    <row r="51" ht="17.25" customHeight="1">
      <c r="H51" s="1"/>
    </row>
    <row r="53" ht="15.75" customHeight="1"/>
    <row r="54" ht="15.75" customHeight="1"/>
  </sheetData>
  <mergeCells count="6">
    <mergeCell ref="A5:E5"/>
    <mergeCell ref="H5:L5"/>
    <mergeCell ref="A2:F2"/>
    <mergeCell ref="H2:M2"/>
    <mergeCell ref="A4:F4"/>
    <mergeCell ref="H4:M4"/>
  </mergeCells>
  <printOptions/>
  <pageMargins left="0.75" right="0.27" top="1" bottom="1" header="0.5" footer="0.5"/>
  <pageSetup firstPageNumber="7" useFirstPageNumber="1" horizontalDpi="600" verticalDpi="600" orientation="portrait" paperSize="9" r:id="rId1"/>
  <headerFooter alignWithMargins="0">
    <oddFooter>&amp;R&amp;9&amp;P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J41"/>
  <sheetViews>
    <sheetView workbookViewId="0" topLeftCell="F25">
      <selection activeCell="K52" sqref="K52"/>
    </sheetView>
  </sheetViews>
  <sheetFormatPr defaultColWidth="9.140625" defaultRowHeight="17.25" customHeight="1"/>
  <cols>
    <col min="1" max="1" width="34.28125" style="0" hidden="1" customWidth="1"/>
    <col min="2" max="3" width="12.7109375" style="0" hidden="1" customWidth="1"/>
    <col min="4" max="4" width="5.57421875" style="0" hidden="1" customWidth="1"/>
    <col min="5" max="5" width="12.140625" style="0" hidden="1" customWidth="1"/>
    <col min="6" max="6" width="37.7109375" style="0" customWidth="1"/>
    <col min="7" max="7" width="12.140625" style="0" customWidth="1"/>
    <col min="8" max="8" width="10.7109375" style="0" customWidth="1"/>
    <col min="9" max="9" width="9.8515625" style="0" customWidth="1"/>
    <col min="10" max="10" width="10.28125" style="0" customWidth="1"/>
  </cols>
  <sheetData>
    <row r="1" spans="1:10" ht="12.75">
      <c r="A1" s="49"/>
      <c r="B1" s="50"/>
      <c r="C1" s="49"/>
      <c r="E1" s="313"/>
      <c r="F1" s="49"/>
      <c r="G1" s="50"/>
      <c r="H1" s="49"/>
      <c r="J1" s="313" t="s">
        <v>935</v>
      </c>
    </row>
    <row r="2" spans="1:10" ht="12.75">
      <c r="A2" s="49"/>
      <c r="B2" s="50"/>
      <c r="C2" s="49"/>
      <c r="E2" s="313"/>
      <c r="F2" s="49"/>
      <c r="G2" s="50"/>
      <c r="H2" s="49"/>
      <c r="J2" s="313"/>
    </row>
    <row r="3" spans="1:10" ht="12.75">
      <c r="A3" s="755" t="s">
        <v>174</v>
      </c>
      <c r="B3" s="755"/>
      <c r="C3" s="755"/>
      <c r="D3" s="755"/>
      <c r="E3" s="755"/>
      <c r="F3" s="755" t="s">
        <v>174</v>
      </c>
      <c r="G3" s="755"/>
      <c r="H3" s="755"/>
      <c r="I3" s="755"/>
      <c r="J3" s="755"/>
    </row>
    <row r="4" spans="1:10" ht="12.75">
      <c r="A4" s="49"/>
      <c r="B4" s="50"/>
      <c r="C4" s="49"/>
      <c r="E4" s="313"/>
      <c r="F4" s="49"/>
      <c r="G4" s="50"/>
      <c r="H4" s="49"/>
      <c r="J4" s="313"/>
    </row>
    <row r="5" spans="1:10" ht="50.25" customHeight="1">
      <c r="A5" s="787" t="s">
        <v>936</v>
      </c>
      <c r="B5" s="787"/>
      <c r="C5" s="787"/>
      <c r="D5" s="787"/>
      <c r="E5" s="787"/>
      <c r="F5" s="787" t="s">
        <v>33</v>
      </c>
      <c r="G5" s="787"/>
      <c r="H5" s="787"/>
      <c r="I5" s="787"/>
      <c r="J5" s="787"/>
    </row>
    <row r="6" spans="1:10" ht="17.25" customHeight="1">
      <c r="A6" s="53"/>
      <c r="B6" s="52"/>
      <c r="C6" s="51"/>
      <c r="D6" s="38"/>
      <c r="E6" s="2" t="s">
        <v>579</v>
      </c>
      <c r="F6" s="53"/>
      <c r="G6" s="52"/>
      <c r="H6" s="51"/>
      <c r="I6" s="38"/>
      <c r="J6" s="2" t="s">
        <v>94</v>
      </c>
    </row>
    <row r="7" spans="1:10" ht="57" customHeight="1">
      <c r="A7" s="9" t="s">
        <v>47</v>
      </c>
      <c r="B7" s="54" t="s">
        <v>95</v>
      </c>
      <c r="C7" s="9" t="s">
        <v>96</v>
      </c>
      <c r="D7" s="9" t="s">
        <v>937</v>
      </c>
      <c r="E7" s="9" t="s">
        <v>307</v>
      </c>
      <c r="F7" s="9" t="s">
        <v>47</v>
      </c>
      <c r="G7" s="54" t="s">
        <v>95</v>
      </c>
      <c r="H7" s="9" t="s">
        <v>96</v>
      </c>
      <c r="I7" s="9" t="s">
        <v>937</v>
      </c>
      <c r="J7" s="9" t="s">
        <v>36</v>
      </c>
    </row>
    <row r="8" spans="1:10" ht="12.75">
      <c r="A8" s="9">
        <v>1</v>
      </c>
      <c r="B8" s="54">
        <v>2</v>
      </c>
      <c r="C8" s="54">
        <v>4</v>
      </c>
      <c r="D8" s="54">
        <v>5</v>
      </c>
      <c r="E8" s="54">
        <v>7</v>
      </c>
      <c r="F8" s="9">
        <v>1</v>
      </c>
      <c r="G8" s="54">
        <v>2</v>
      </c>
      <c r="H8" s="54">
        <v>4</v>
      </c>
      <c r="I8" s="54">
        <v>5</v>
      </c>
      <c r="J8" s="54">
        <v>7</v>
      </c>
    </row>
    <row r="9" spans="1:10" ht="15.75">
      <c r="A9" s="715" t="s">
        <v>938</v>
      </c>
      <c r="B9" s="716">
        <f>B10+B11+B14+B19+B21+B23+B30</f>
        <v>55211790</v>
      </c>
      <c r="C9" s="716">
        <f>C10+C11+C14+C19+C21+C23+C30</f>
        <v>16664632</v>
      </c>
      <c r="D9" s="717">
        <f aca="true" t="shared" si="0" ref="D9:D30">C9/B9*100</f>
        <v>30.18310400731438</v>
      </c>
      <c r="E9" s="716">
        <f>C9-'[15]Marts'!C9</f>
        <v>4141190</v>
      </c>
      <c r="F9" s="716" t="s">
        <v>938</v>
      </c>
      <c r="G9" s="716">
        <v>55212</v>
      </c>
      <c r="H9" s="716">
        <v>21564</v>
      </c>
      <c r="I9" s="717">
        <v>39.056726798522064</v>
      </c>
      <c r="J9" s="716">
        <v>4899</v>
      </c>
    </row>
    <row r="10" spans="1:10" ht="12.75">
      <c r="A10" s="32" t="s">
        <v>246</v>
      </c>
      <c r="B10" s="57">
        <v>48424727</v>
      </c>
      <c r="C10" s="57">
        <v>14758959</v>
      </c>
      <c r="D10" s="215">
        <f t="shared" si="0"/>
        <v>30.478146009991963</v>
      </c>
      <c r="E10" s="57">
        <f>C10-'[15]Marts'!C10</f>
        <v>3765516</v>
      </c>
      <c r="F10" s="32" t="s">
        <v>246</v>
      </c>
      <c r="G10" s="57">
        <v>48425</v>
      </c>
      <c r="H10" s="57">
        <v>18930</v>
      </c>
      <c r="I10" s="215">
        <v>39.09137842023748</v>
      </c>
      <c r="J10" s="57">
        <v>4171</v>
      </c>
    </row>
    <row r="11" spans="1:10" ht="12.75">
      <c r="A11" s="32" t="s">
        <v>939</v>
      </c>
      <c r="B11" s="57">
        <f>SUM(B12:B13)</f>
        <v>223133</v>
      </c>
      <c r="C11" s="57">
        <f>SUM(C12:C13)</f>
        <v>96482</v>
      </c>
      <c r="D11" s="215">
        <f t="shared" si="0"/>
        <v>43.23968216265635</v>
      </c>
      <c r="E11" s="57">
        <f>C11-'[15]Marts'!C11</f>
        <v>33196</v>
      </c>
      <c r="F11" s="32" t="s">
        <v>939</v>
      </c>
      <c r="G11" s="57">
        <v>223</v>
      </c>
      <c r="H11" s="57">
        <v>116</v>
      </c>
      <c r="I11" s="215">
        <v>52.01793721973094</v>
      </c>
      <c r="J11" s="57">
        <v>20</v>
      </c>
    </row>
    <row r="12" spans="1:10" ht="12.75">
      <c r="A12" s="66" t="s">
        <v>940</v>
      </c>
      <c r="B12" s="63">
        <v>61755</v>
      </c>
      <c r="C12" s="63">
        <v>16560</v>
      </c>
      <c r="D12" s="195">
        <f t="shared" si="0"/>
        <v>26.81564245810056</v>
      </c>
      <c r="E12" s="63">
        <f>C12-'[15]Marts'!C12</f>
        <v>4641</v>
      </c>
      <c r="F12" s="66" t="s">
        <v>940</v>
      </c>
      <c r="G12" s="63">
        <v>62</v>
      </c>
      <c r="H12" s="63">
        <v>21</v>
      </c>
      <c r="I12" s="195">
        <v>33.87096774193548</v>
      </c>
      <c r="J12" s="63">
        <v>5</v>
      </c>
    </row>
    <row r="13" spans="1:10" ht="12.75">
      <c r="A13" s="66" t="s">
        <v>941</v>
      </c>
      <c r="B13" s="63">
        <v>161378</v>
      </c>
      <c r="C13" s="63">
        <v>79922</v>
      </c>
      <c r="D13" s="195">
        <f t="shared" si="0"/>
        <v>49.52471836309782</v>
      </c>
      <c r="E13" s="63">
        <f>C13-'[15]Marts'!C13</f>
        <v>28555</v>
      </c>
      <c r="F13" s="66" t="s">
        <v>941</v>
      </c>
      <c r="G13" s="63">
        <v>161</v>
      </c>
      <c r="H13" s="63">
        <v>95</v>
      </c>
      <c r="I13" s="195">
        <v>59.006211180124225</v>
      </c>
      <c r="J13" s="63">
        <v>15</v>
      </c>
    </row>
    <row r="14" spans="1:10" ht="17.25" customHeight="1">
      <c r="A14" s="32" t="s">
        <v>248</v>
      </c>
      <c r="B14" s="57">
        <f>SUM(B15:B18)</f>
        <v>1105085</v>
      </c>
      <c r="C14" s="57">
        <f>SUM(C15:C18)</f>
        <v>434554</v>
      </c>
      <c r="D14" s="215">
        <f t="shared" si="0"/>
        <v>39.32312899007769</v>
      </c>
      <c r="E14" s="57">
        <f>C14-'[15]Marts'!C14</f>
        <v>32707</v>
      </c>
      <c r="F14" s="32" t="s">
        <v>248</v>
      </c>
      <c r="G14" s="57">
        <v>1105</v>
      </c>
      <c r="H14" s="57">
        <v>472</v>
      </c>
      <c r="I14" s="215">
        <v>42.71493212669683</v>
      </c>
      <c r="J14" s="57">
        <v>37</v>
      </c>
    </row>
    <row r="15" spans="1:10" ht="24">
      <c r="A15" s="67" t="s">
        <v>942</v>
      </c>
      <c r="B15" s="63">
        <v>167030</v>
      </c>
      <c r="C15" s="63">
        <v>46645</v>
      </c>
      <c r="D15" s="195">
        <f t="shared" si="0"/>
        <v>27.926121056097706</v>
      </c>
      <c r="E15" s="63">
        <f>C15-'[15]Marts'!C15</f>
        <v>25502</v>
      </c>
      <c r="F15" s="67" t="s">
        <v>942</v>
      </c>
      <c r="G15" s="63">
        <v>167</v>
      </c>
      <c r="H15" s="63">
        <v>65</v>
      </c>
      <c r="I15" s="195">
        <v>38.92215568862276</v>
      </c>
      <c r="J15" s="63">
        <v>18</v>
      </c>
    </row>
    <row r="16" spans="1:10" ht="24">
      <c r="A16" s="67" t="s">
        <v>943</v>
      </c>
      <c r="B16" s="63">
        <v>265000</v>
      </c>
      <c r="C16" s="63">
        <v>2905</v>
      </c>
      <c r="D16" s="195">
        <f t="shared" si="0"/>
        <v>1.0962264150943395</v>
      </c>
      <c r="E16" s="63">
        <f>C16-'[15]Marts'!C16</f>
        <v>915</v>
      </c>
      <c r="F16" s="67" t="s">
        <v>943</v>
      </c>
      <c r="G16" s="63">
        <v>265</v>
      </c>
      <c r="H16" s="193">
        <v>2</v>
      </c>
      <c r="I16" s="195">
        <v>0.7547169811320755</v>
      </c>
      <c r="J16" s="193">
        <v>-1</v>
      </c>
    </row>
    <row r="17" spans="1:10" ht="12.75">
      <c r="A17" s="66" t="s">
        <v>944</v>
      </c>
      <c r="B17" s="63">
        <v>530000</v>
      </c>
      <c r="C17" s="63">
        <v>343613</v>
      </c>
      <c r="D17" s="195">
        <f t="shared" si="0"/>
        <v>64.83264150943397</v>
      </c>
      <c r="E17" s="63">
        <f>C17-'[15]Marts'!C17</f>
        <v>899</v>
      </c>
      <c r="F17" s="66" t="s">
        <v>944</v>
      </c>
      <c r="G17" s="63">
        <v>530</v>
      </c>
      <c r="H17" s="63">
        <v>345</v>
      </c>
      <c r="I17" s="195">
        <v>65.09433962264151</v>
      </c>
      <c r="J17" s="63">
        <v>1</v>
      </c>
    </row>
    <row r="18" spans="1:10" ht="24">
      <c r="A18" s="67" t="s">
        <v>945</v>
      </c>
      <c r="B18" s="63">
        <v>143055</v>
      </c>
      <c r="C18" s="63">
        <v>41391</v>
      </c>
      <c r="D18" s="195">
        <f t="shared" si="0"/>
        <v>28.933626926706513</v>
      </c>
      <c r="E18" s="63">
        <f>C18-'[15]Marts'!C18</f>
        <v>5391</v>
      </c>
      <c r="F18" s="67" t="s">
        <v>945</v>
      </c>
      <c r="G18" s="63">
        <v>143</v>
      </c>
      <c r="H18" s="63">
        <v>60</v>
      </c>
      <c r="I18" s="195">
        <v>41.95804195804196</v>
      </c>
      <c r="J18" s="63">
        <v>19</v>
      </c>
    </row>
    <row r="19" spans="1:10" ht="12.75">
      <c r="A19" s="32" t="s">
        <v>270</v>
      </c>
      <c r="B19" s="57">
        <f>SUM(B20)</f>
        <v>347522</v>
      </c>
      <c r="C19" s="57">
        <f>SUM(C20)</f>
        <v>67310</v>
      </c>
      <c r="D19" s="215">
        <f t="shared" si="0"/>
        <v>19.368557961798103</v>
      </c>
      <c r="E19" s="57">
        <f>C19-'[15]Marts'!C19</f>
        <v>0</v>
      </c>
      <c r="F19" s="32" t="s">
        <v>270</v>
      </c>
      <c r="G19" s="57">
        <v>348</v>
      </c>
      <c r="H19" s="185">
        <v>126</v>
      </c>
      <c r="I19" s="215">
        <v>36.206896551724135</v>
      </c>
      <c r="J19" s="185">
        <v>59</v>
      </c>
    </row>
    <row r="20" spans="1:10" ht="12.75">
      <c r="A20" s="66" t="s">
        <v>946</v>
      </c>
      <c r="B20" s="63">
        <v>347522</v>
      </c>
      <c r="C20" s="63">
        <v>67310</v>
      </c>
      <c r="D20" s="195">
        <f t="shared" si="0"/>
        <v>19.368557961798103</v>
      </c>
      <c r="E20" s="63">
        <f>C20-'[15]Marts'!C20</f>
        <v>0</v>
      </c>
      <c r="F20" s="66" t="s">
        <v>946</v>
      </c>
      <c r="G20" s="63">
        <v>348</v>
      </c>
      <c r="H20" s="193">
        <v>126</v>
      </c>
      <c r="I20" s="195">
        <v>36.206896551724135</v>
      </c>
      <c r="J20" s="193">
        <v>59</v>
      </c>
    </row>
    <row r="21" spans="1:10" ht="12.75">
      <c r="A21" s="32" t="s">
        <v>260</v>
      </c>
      <c r="B21" s="57">
        <f>SUM(B22)</f>
        <v>275000</v>
      </c>
      <c r="C21" s="57">
        <f>SUM(C22)</f>
        <v>100487</v>
      </c>
      <c r="D21" s="215">
        <f t="shared" si="0"/>
        <v>36.540727272727274</v>
      </c>
      <c r="E21" s="57">
        <f>C21-'[15]Marts'!C21</f>
        <v>32577</v>
      </c>
      <c r="F21" s="32" t="s">
        <v>260</v>
      </c>
      <c r="G21" s="57">
        <v>275</v>
      </c>
      <c r="H21" s="185">
        <v>174</v>
      </c>
      <c r="I21" s="215">
        <v>63.272727272727266</v>
      </c>
      <c r="J21" s="185">
        <v>74</v>
      </c>
    </row>
    <row r="22" spans="1:10" ht="36">
      <c r="A22" s="67" t="s">
        <v>947</v>
      </c>
      <c r="B22" s="63">
        <v>275000</v>
      </c>
      <c r="C22" s="63">
        <v>100487</v>
      </c>
      <c r="D22" s="195">
        <f t="shared" si="0"/>
        <v>36.540727272727274</v>
      </c>
      <c r="E22" s="63">
        <f>C22-'[15]Marts'!C22</f>
        <v>32577</v>
      </c>
      <c r="F22" s="67" t="s">
        <v>948</v>
      </c>
      <c r="G22" s="63">
        <v>275</v>
      </c>
      <c r="H22" s="193">
        <v>174</v>
      </c>
      <c r="I22" s="195">
        <v>63.272727272727266</v>
      </c>
      <c r="J22" s="193">
        <v>74</v>
      </c>
    </row>
    <row r="23" spans="1:10" ht="12.75">
      <c r="A23" s="32" t="s">
        <v>254</v>
      </c>
      <c r="B23" s="57">
        <f>SUM(B24:B29)</f>
        <v>3192416</v>
      </c>
      <c r="C23" s="57">
        <f>SUM(C24:C29)</f>
        <v>844339</v>
      </c>
      <c r="D23" s="215">
        <f t="shared" si="0"/>
        <v>26.44827616450989</v>
      </c>
      <c r="E23" s="57">
        <f>C23-'[15]Marts'!C23</f>
        <v>187593</v>
      </c>
      <c r="F23" s="32" t="s">
        <v>254</v>
      </c>
      <c r="G23" s="57">
        <v>3192</v>
      </c>
      <c r="H23" s="57">
        <v>1291</v>
      </c>
      <c r="I23" s="215">
        <v>40.44486215538847</v>
      </c>
      <c r="J23" s="57">
        <v>446</v>
      </c>
    </row>
    <row r="24" spans="1:10" ht="12.75">
      <c r="A24" s="66" t="s">
        <v>949</v>
      </c>
      <c r="B24" s="63">
        <v>1190814</v>
      </c>
      <c r="C24" s="63">
        <v>410624</v>
      </c>
      <c r="D24" s="195">
        <f t="shared" si="0"/>
        <v>34.48263120856826</v>
      </c>
      <c r="E24" s="63">
        <f>C24-'[15]Marts'!C24</f>
        <v>103107</v>
      </c>
      <c r="F24" s="66" t="s">
        <v>949</v>
      </c>
      <c r="G24" s="63">
        <v>1191</v>
      </c>
      <c r="H24" s="63">
        <v>518</v>
      </c>
      <c r="I24" s="195">
        <v>43.492863140218304</v>
      </c>
      <c r="J24" s="63">
        <v>107</v>
      </c>
    </row>
    <row r="25" spans="1:10" ht="24">
      <c r="A25" s="67" t="s">
        <v>954</v>
      </c>
      <c r="B25" s="63">
        <v>919056</v>
      </c>
      <c r="C25" s="63">
        <v>125190</v>
      </c>
      <c r="D25" s="195">
        <f t="shared" si="0"/>
        <v>13.621585626991173</v>
      </c>
      <c r="E25" s="63">
        <f>C25-'[15]Marts'!C25</f>
        <v>20911</v>
      </c>
      <c r="F25" s="67" t="s">
        <v>954</v>
      </c>
      <c r="G25" s="63">
        <v>919</v>
      </c>
      <c r="H25" s="63">
        <v>391</v>
      </c>
      <c r="I25" s="195">
        <v>42.54624591947769</v>
      </c>
      <c r="J25" s="63">
        <v>266</v>
      </c>
    </row>
    <row r="26" spans="1:10" ht="24">
      <c r="A26" s="67" t="s">
        <v>950</v>
      </c>
      <c r="B26" s="63">
        <v>150000</v>
      </c>
      <c r="C26" s="63">
        <v>46928</v>
      </c>
      <c r="D26" s="195">
        <f t="shared" si="0"/>
        <v>31.28533333333333</v>
      </c>
      <c r="E26" s="63">
        <f>C26-'[15]Marts'!C26</f>
        <v>2295</v>
      </c>
      <c r="F26" s="67" t="s">
        <v>950</v>
      </c>
      <c r="G26" s="63">
        <v>150</v>
      </c>
      <c r="H26" s="193">
        <v>55</v>
      </c>
      <c r="I26" s="195">
        <v>36.666666666666664</v>
      </c>
      <c r="J26" s="193">
        <v>8</v>
      </c>
    </row>
    <row r="27" spans="1:10" ht="60">
      <c r="A27" s="67" t="s">
        <v>951</v>
      </c>
      <c r="B27" s="63">
        <v>225466</v>
      </c>
      <c r="C27" s="63">
        <v>50754</v>
      </c>
      <c r="D27" s="195">
        <f t="shared" si="0"/>
        <v>22.510711149352897</v>
      </c>
      <c r="E27" s="63">
        <f>C27-'[15]Marts'!C27</f>
        <v>12831</v>
      </c>
      <c r="F27" s="67" t="s">
        <v>951</v>
      </c>
      <c r="G27" s="63">
        <v>225</v>
      </c>
      <c r="H27" s="63">
        <v>66</v>
      </c>
      <c r="I27" s="195">
        <v>29.333333333333332</v>
      </c>
      <c r="J27" s="63">
        <v>15</v>
      </c>
    </row>
    <row r="28" spans="1:10" ht="36">
      <c r="A28" s="67" t="s">
        <v>952</v>
      </c>
      <c r="B28" s="63">
        <v>141288</v>
      </c>
      <c r="C28" s="63">
        <v>39183</v>
      </c>
      <c r="D28" s="195">
        <f t="shared" si="0"/>
        <v>27.73271615423815</v>
      </c>
      <c r="E28" s="63">
        <f>C28-'[15]Marts'!C28</f>
        <v>8446</v>
      </c>
      <c r="F28" s="67" t="s">
        <v>952</v>
      </c>
      <c r="G28" s="63">
        <v>141</v>
      </c>
      <c r="H28" s="63">
        <v>48</v>
      </c>
      <c r="I28" s="195">
        <v>34.04255319148936</v>
      </c>
      <c r="J28" s="63">
        <v>9</v>
      </c>
    </row>
    <row r="29" spans="1:10" ht="24">
      <c r="A29" s="67" t="s">
        <v>953</v>
      </c>
      <c r="B29" s="63">
        <v>565792</v>
      </c>
      <c r="C29" s="63">
        <v>171660</v>
      </c>
      <c r="D29" s="195">
        <f t="shared" si="0"/>
        <v>30.339771506136533</v>
      </c>
      <c r="E29" s="63">
        <f>C29-'[15]Marts'!C29</f>
        <v>40003</v>
      </c>
      <c r="F29" s="67" t="s">
        <v>953</v>
      </c>
      <c r="G29" s="63">
        <v>566</v>
      </c>
      <c r="H29" s="63">
        <v>213</v>
      </c>
      <c r="I29" s="195">
        <v>37.63250883392226</v>
      </c>
      <c r="J29" s="63">
        <v>41</v>
      </c>
    </row>
    <row r="30" spans="1:10" ht="12.75">
      <c r="A30" s="32" t="s">
        <v>284</v>
      </c>
      <c r="B30" s="57">
        <v>1643907</v>
      </c>
      <c r="C30" s="57">
        <v>362501</v>
      </c>
      <c r="D30" s="215">
        <f t="shared" si="0"/>
        <v>22.05118659388883</v>
      </c>
      <c r="E30" s="57">
        <f>C30-'[15]Marts'!C30</f>
        <v>89601</v>
      </c>
      <c r="F30" s="32" t="s">
        <v>284</v>
      </c>
      <c r="G30" s="57">
        <v>1644</v>
      </c>
      <c r="H30" s="57">
        <v>455</v>
      </c>
      <c r="I30" s="215">
        <v>27.676399026763992</v>
      </c>
      <c r="J30" s="57">
        <v>92</v>
      </c>
    </row>
    <row r="31" spans="1:9" ht="17.25" customHeight="1">
      <c r="A31" s="86"/>
      <c r="B31" s="84"/>
      <c r="C31" s="85"/>
      <c r="D31" s="85"/>
      <c r="F31" s="86"/>
      <c r="G31" s="84"/>
      <c r="H31" s="85"/>
      <c r="I31" s="85"/>
    </row>
    <row r="32" spans="1:9" ht="17.25" customHeight="1">
      <c r="A32" s="86"/>
      <c r="B32" s="84"/>
      <c r="C32" s="85"/>
      <c r="D32" s="85"/>
      <c r="F32" s="86"/>
      <c r="G32" s="84"/>
      <c r="H32" s="85"/>
      <c r="I32" s="85"/>
    </row>
    <row r="33" spans="1:9" ht="17.25" customHeight="1">
      <c r="A33" s="87"/>
      <c r="B33" s="50"/>
      <c r="C33" s="49"/>
      <c r="D33" s="49"/>
      <c r="F33" s="87"/>
      <c r="G33" s="50"/>
      <c r="H33" s="49"/>
      <c r="I33" s="49"/>
    </row>
    <row r="34" spans="1:10" ht="17.25" customHeight="1">
      <c r="A34" s="41" t="s">
        <v>298</v>
      </c>
      <c r="B34" s="49"/>
      <c r="C34" s="49"/>
      <c r="D34" s="49"/>
      <c r="E34" s="49"/>
      <c r="F34" s="49" t="s">
        <v>17</v>
      </c>
      <c r="H34" s="809" t="s">
        <v>215</v>
      </c>
      <c r="I34" s="809"/>
      <c r="J34" s="49"/>
    </row>
    <row r="36" spans="1:4" ht="17.25" customHeight="1">
      <c r="A36" s="88"/>
      <c r="B36" s="52"/>
      <c r="C36" s="89"/>
      <c r="D36" s="89"/>
    </row>
    <row r="37" spans="1:4" ht="17.25" customHeight="1">
      <c r="A37" s="1"/>
      <c r="B37" s="50"/>
      <c r="C37" s="49"/>
      <c r="D37" s="49"/>
    </row>
    <row r="38" spans="1:4" ht="12.75">
      <c r="A38" s="1"/>
      <c r="B38" s="50"/>
      <c r="C38" s="38"/>
      <c r="D38" s="38"/>
    </row>
    <row r="39" spans="2:4" ht="12.75">
      <c r="B39" s="50"/>
      <c r="C39" s="49"/>
      <c r="D39" s="49"/>
    </row>
    <row r="40" ht="12.75">
      <c r="F40" s="38" t="s">
        <v>171</v>
      </c>
    </row>
    <row r="41" ht="17.25" customHeight="1">
      <c r="F41" s="38" t="s">
        <v>34</v>
      </c>
    </row>
  </sheetData>
  <mergeCells count="5">
    <mergeCell ref="H34:I34"/>
    <mergeCell ref="A3:E3"/>
    <mergeCell ref="F3:J3"/>
    <mergeCell ref="A5:E5"/>
    <mergeCell ref="F5:J5"/>
  </mergeCells>
  <printOptions/>
  <pageMargins left="0.75" right="0.75" top="0.25" bottom="0.24" header="0.5" footer="0.5"/>
  <pageSetup firstPageNumber="56" useFirstPageNumber="1" horizontalDpi="600" verticalDpi="600" orientation="portrait" paperSize="9" r:id="rId1"/>
  <headerFooter alignWithMargins="0">
    <oddFooter>&amp;R&amp;9&amp;P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GX53"/>
  <sheetViews>
    <sheetView workbookViewId="0" topLeftCell="E1">
      <selection activeCell="K20" sqref="K20"/>
    </sheetView>
  </sheetViews>
  <sheetFormatPr defaultColWidth="9.140625" defaultRowHeight="12.75"/>
  <cols>
    <col min="1" max="1" width="30.00390625" style="0" hidden="1" customWidth="1"/>
    <col min="2" max="2" width="14.28125" style="0" hidden="1" customWidth="1"/>
    <col min="3" max="3" width="14.421875" style="0" hidden="1" customWidth="1"/>
    <col min="4" max="4" width="12.00390625" style="0" hidden="1" customWidth="1"/>
    <col min="5" max="5" width="30.00390625" style="0" customWidth="1"/>
    <col min="6" max="6" width="14.28125" style="0" customWidth="1"/>
    <col min="7" max="7" width="14.421875" style="0" customWidth="1"/>
    <col min="8" max="8" width="11.28125" style="0" customWidth="1"/>
  </cols>
  <sheetData>
    <row r="1" spans="2:206" s="49" customFormat="1" ht="12.75">
      <c r="B1" s="50"/>
      <c r="D1" s="313" t="s">
        <v>955</v>
      </c>
      <c r="F1" s="50"/>
      <c r="H1" s="313" t="s">
        <v>956</v>
      </c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</row>
    <row r="2" spans="2:206" s="49" customFormat="1" ht="12.75">
      <c r="B2" s="50"/>
      <c r="D2" s="313"/>
      <c r="F2" s="50"/>
      <c r="H2" s="313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</row>
    <row r="3" spans="1:206" s="49" customFormat="1" ht="12.75">
      <c r="A3" s="755" t="s">
        <v>174</v>
      </c>
      <c r="B3" s="755"/>
      <c r="C3" s="755"/>
      <c r="D3" s="755"/>
      <c r="E3" s="755" t="s">
        <v>174</v>
      </c>
      <c r="F3" s="755"/>
      <c r="G3" s="755"/>
      <c r="H3" s="755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</row>
    <row r="4" spans="2:206" s="49" customFormat="1" ht="12.75">
      <c r="B4" s="50"/>
      <c r="D4" s="313"/>
      <c r="F4" s="50"/>
      <c r="H4" s="313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</row>
    <row r="5" spans="1:8" ht="15">
      <c r="A5" s="816" t="s">
        <v>957</v>
      </c>
      <c r="B5" s="816"/>
      <c r="C5" s="816"/>
      <c r="D5" s="816"/>
      <c r="E5" s="816" t="s">
        <v>957</v>
      </c>
      <c r="F5" s="816"/>
      <c r="G5" s="816"/>
      <c r="H5" s="816"/>
    </row>
    <row r="6" spans="1:8" ht="12.75">
      <c r="A6" s="741" t="s">
        <v>918</v>
      </c>
      <c r="B6" s="741"/>
      <c r="C6" s="741"/>
      <c r="D6" s="741"/>
      <c r="E6" s="755" t="s">
        <v>18</v>
      </c>
      <c r="F6" s="755"/>
      <c r="G6" s="755"/>
      <c r="H6" s="755"/>
    </row>
    <row r="7" spans="1:8" ht="12.75">
      <c r="A7" s="257"/>
      <c r="B7" s="257"/>
      <c r="C7" s="257"/>
      <c r="D7" s="257"/>
      <c r="E7" s="257"/>
      <c r="F7" s="257"/>
      <c r="G7" s="257"/>
      <c r="H7" s="257"/>
    </row>
    <row r="8" spans="4:8" ht="12.75">
      <c r="D8" s="2" t="s">
        <v>579</v>
      </c>
      <c r="H8" s="2" t="s">
        <v>94</v>
      </c>
    </row>
    <row r="9" spans="1:8" s="719" customFormat="1" ht="57" customHeight="1">
      <c r="A9" s="718" t="s">
        <v>47</v>
      </c>
      <c r="B9" s="316" t="s">
        <v>958</v>
      </c>
      <c r="C9" s="316" t="s">
        <v>959</v>
      </c>
      <c r="D9" s="316" t="s">
        <v>960</v>
      </c>
      <c r="E9" s="718" t="s">
        <v>47</v>
      </c>
      <c r="F9" s="316" t="s">
        <v>958</v>
      </c>
      <c r="G9" s="316" t="s">
        <v>959</v>
      </c>
      <c r="H9" s="316" t="s">
        <v>960</v>
      </c>
    </row>
    <row r="10" spans="1:8" s="721" customFormat="1" ht="11.25" customHeight="1">
      <c r="A10" s="720">
        <v>1</v>
      </c>
      <c r="B10" s="720">
        <v>2</v>
      </c>
      <c r="C10" s="8">
        <v>3</v>
      </c>
      <c r="D10" s="8" t="s">
        <v>961</v>
      </c>
      <c r="E10" s="720">
        <v>1</v>
      </c>
      <c r="F10" s="720">
        <v>2</v>
      </c>
      <c r="G10" s="8">
        <v>3</v>
      </c>
      <c r="H10" s="8" t="s">
        <v>961</v>
      </c>
    </row>
    <row r="11" spans="1:8" s="724" customFormat="1" ht="15">
      <c r="A11" s="722" t="s">
        <v>962</v>
      </c>
      <c r="B11" s="723">
        <f>B12+B35</f>
        <v>49031643</v>
      </c>
      <c r="C11" s="723">
        <f>C12+C35</f>
        <v>92087862</v>
      </c>
      <c r="D11" s="723">
        <f aca="true" t="shared" si="0" ref="D11:D41">C11-B11</f>
        <v>43056219</v>
      </c>
      <c r="E11" s="722" t="s">
        <v>962</v>
      </c>
      <c r="F11" s="723">
        <v>49032</v>
      </c>
      <c r="G11" s="723">
        <v>107043</v>
      </c>
      <c r="H11" s="723">
        <v>58011</v>
      </c>
    </row>
    <row r="12" spans="1:8" s="481" customFormat="1" ht="12.75">
      <c r="A12" s="245" t="s">
        <v>963</v>
      </c>
      <c r="B12" s="246">
        <f>B13+B22</f>
        <v>47461838</v>
      </c>
      <c r="C12" s="246">
        <f>C13+C22</f>
        <v>89836414</v>
      </c>
      <c r="D12" s="246">
        <f t="shared" si="0"/>
        <v>42374576</v>
      </c>
      <c r="E12" s="245" t="s">
        <v>963</v>
      </c>
      <c r="F12" s="246">
        <v>47462</v>
      </c>
      <c r="G12" s="246">
        <v>104150</v>
      </c>
      <c r="H12" s="246">
        <v>56688</v>
      </c>
    </row>
    <row r="13" spans="1:8" s="696" customFormat="1" ht="12">
      <c r="A13" s="74" t="s">
        <v>964</v>
      </c>
      <c r="B13" s="185">
        <f>SUM(B14:B21)</f>
        <v>25367091</v>
      </c>
      <c r="C13" s="185">
        <f>SUM(C14:C21)</f>
        <v>19001933</v>
      </c>
      <c r="D13" s="185">
        <f t="shared" si="0"/>
        <v>-6365158</v>
      </c>
      <c r="E13" s="74" t="s">
        <v>964</v>
      </c>
      <c r="F13" s="185">
        <v>25367</v>
      </c>
      <c r="G13" s="185">
        <v>22219</v>
      </c>
      <c r="H13" s="185">
        <v>-3148</v>
      </c>
    </row>
    <row r="14" spans="1:8" s="38" customFormat="1" ht="11.25">
      <c r="A14" s="65" t="s">
        <v>76</v>
      </c>
      <c r="B14" s="597">
        <v>24184285</v>
      </c>
      <c r="C14" s="597">
        <f>3662424+943464+5222479+2608743+3706525+352776</f>
        <v>16496411</v>
      </c>
      <c r="D14" s="597">
        <f t="shared" si="0"/>
        <v>-7687874</v>
      </c>
      <c r="E14" s="65" t="s">
        <v>76</v>
      </c>
      <c r="F14" s="597">
        <v>24184</v>
      </c>
      <c r="G14" s="597">
        <v>20169</v>
      </c>
      <c r="H14" s="597">
        <v>-4015</v>
      </c>
    </row>
    <row r="15" spans="1:8" s="38" customFormat="1" ht="11.25">
      <c r="A15" s="65" t="s">
        <v>965</v>
      </c>
      <c r="B15" s="597">
        <f>1683+47151</f>
        <v>48834</v>
      </c>
      <c r="C15" s="597">
        <f>1725+63096</f>
        <v>64821</v>
      </c>
      <c r="D15" s="597">
        <f t="shared" si="0"/>
        <v>15987</v>
      </c>
      <c r="E15" s="65" t="s">
        <v>965</v>
      </c>
      <c r="F15" s="597">
        <v>49</v>
      </c>
      <c r="G15" s="597">
        <v>51</v>
      </c>
      <c r="H15" s="597">
        <v>2</v>
      </c>
    </row>
    <row r="16" spans="1:8" s="38" customFormat="1" ht="11.25">
      <c r="A16" s="65" t="s">
        <v>966</v>
      </c>
      <c r="B16" s="597">
        <f>1051331+27952</f>
        <v>1079283</v>
      </c>
      <c r="C16" s="597">
        <f>2402778+15743</f>
        <v>2418521</v>
      </c>
      <c r="D16" s="597">
        <f t="shared" si="0"/>
        <v>1339238</v>
      </c>
      <c r="E16" s="65" t="s">
        <v>966</v>
      </c>
      <c r="F16" s="597">
        <v>1079</v>
      </c>
      <c r="G16" s="597">
        <v>1973</v>
      </c>
      <c r="H16" s="597">
        <v>894</v>
      </c>
    </row>
    <row r="17" spans="1:8" s="38" customFormat="1" ht="11.25">
      <c r="A17" s="65" t="s">
        <v>967</v>
      </c>
      <c r="B17" s="597">
        <v>11043</v>
      </c>
      <c r="C17" s="597">
        <v>17281</v>
      </c>
      <c r="D17" s="597">
        <f t="shared" si="0"/>
        <v>6238</v>
      </c>
      <c r="E17" s="65" t="s">
        <v>967</v>
      </c>
      <c r="F17" s="597">
        <v>11</v>
      </c>
      <c r="G17" s="597">
        <v>21</v>
      </c>
      <c r="H17" s="597">
        <v>10</v>
      </c>
    </row>
    <row r="18" spans="1:8" s="38" customFormat="1" ht="11.25">
      <c r="A18" s="65" t="s">
        <v>0</v>
      </c>
      <c r="B18" s="597">
        <v>1284</v>
      </c>
      <c r="C18" s="597">
        <v>2045</v>
      </c>
      <c r="D18" s="597">
        <f t="shared" si="0"/>
        <v>761</v>
      </c>
      <c r="E18" s="65" t="s">
        <v>1</v>
      </c>
      <c r="F18" s="597">
        <v>1</v>
      </c>
      <c r="G18" s="597">
        <v>2</v>
      </c>
      <c r="H18" s="597">
        <v>1</v>
      </c>
    </row>
    <row r="19" spans="1:8" s="38" customFormat="1" ht="11.25">
      <c r="A19" s="65" t="s">
        <v>2</v>
      </c>
      <c r="B19" s="597"/>
      <c r="C19" s="597"/>
      <c r="D19" s="597">
        <f t="shared" si="0"/>
        <v>0</v>
      </c>
      <c r="E19" s="65" t="s">
        <v>2</v>
      </c>
      <c r="F19" s="597">
        <v>0</v>
      </c>
      <c r="G19" s="597">
        <v>0</v>
      </c>
      <c r="H19" s="597">
        <v>0</v>
      </c>
    </row>
    <row r="20" spans="1:8" s="38" customFormat="1" ht="11.25">
      <c r="A20" s="65" t="s">
        <v>3</v>
      </c>
      <c r="B20" s="597">
        <v>42362</v>
      </c>
      <c r="C20" s="597">
        <v>2854</v>
      </c>
      <c r="D20" s="597">
        <f t="shared" si="0"/>
        <v>-39508</v>
      </c>
      <c r="E20" s="65" t="s">
        <v>3</v>
      </c>
      <c r="F20" s="597">
        <v>43</v>
      </c>
      <c r="G20" s="597">
        <v>3</v>
      </c>
      <c r="H20" s="597">
        <v>-40</v>
      </c>
    </row>
    <row r="21" spans="1:8" s="38" customFormat="1" ht="11.25">
      <c r="A21" s="65" t="s">
        <v>4</v>
      </c>
      <c r="B21" s="597"/>
      <c r="C21" s="597"/>
      <c r="D21" s="597">
        <f t="shared" si="0"/>
        <v>0</v>
      </c>
      <c r="E21" s="65" t="s">
        <v>4</v>
      </c>
      <c r="F21" s="597">
        <v>0</v>
      </c>
      <c r="G21" s="597">
        <v>0</v>
      </c>
      <c r="H21" s="597">
        <v>0</v>
      </c>
    </row>
    <row r="22" spans="1:8" s="696" customFormat="1" ht="12">
      <c r="A22" s="74" t="s">
        <v>5</v>
      </c>
      <c r="B22" s="185">
        <f>SUM(B23:B34)</f>
        <v>22094747</v>
      </c>
      <c r="C22" s="185">
        <f>SUM(C23:C34)</f>
        <v>70834481</v>
      </c>
      <c r="D22" s="185">
        <f t="shared" si="0"/>
        <v>48739734</v>
      </c>
      <c r="E22" s="74" t="s">
        <v>5</v>
      </c>
      <c r="F22" s="185">
        <v>22095</v>
      </c>
      <c r="G22" s="185">
        <v>81931</v>
      </c>
      <c r="H22" s="185">
        <v>59836</v>
      </c>
    </row>
    <row r="23" spans="1:8" s="38" customFormat="1" ht="11.25">
      <c r="A23" s="65" t="s">
        <v>76</v>
      </c>
      <c r="B23" s="597">
        <v>22085409</v>
      </c>
      <c r="C23" s="597">
        <f>35000000+3402708+2888800</f>
        <v>41291508</v>
      </c>
      <c r="D23" s="597">
        <f t="shared" si="0"/>
        <v>19206099</v>
      </c>
      <c r="E23" s="65" t="s">
        <v>76</v>
      </c>
      <c r="F23" s="597">
        <v>22086</v>
      </c>
      <c r="G23" s="597">
        <v>32240</v>
      </c>
      <c r="H23" s="597">
        <v>10154</v>
      </c>
    </row>
    <row r="24" spans="1:8" s="38" customFormat="1" ht="11.25">
      <c r="A24" s="65" t="s">
        <v>965</v>
      </c>
      <c r="B24" s="597"/>
      <c r="C24" s="597">
        <v>14400000</v>
      </c>
      <c r="D24" s="597">
        <f t="shared" si="0"/>
        <v>14400000</v>
      </c>
      <c r="E24" s="65" t="s">
        <v>965</v>
      </c>
      <c r="F24" s="597">
        <v>0</v>
      </c>
      <c r="G24" s="597">
        <v>15000</v>
      </c>
      <c r="H24" s="597">
        <v>15000</v>
      </c>
    </row>
    <row r="25" spans="1:8" s="38" customFormat="1" ht="11.25">
      <c r="A25" s="65" t="s">
        <v>966</v>
      </c>
      <c r="B25" s="597"/>
      <c r="C25" s="597">
        <v>4200000</v>
      </c>
      <c r="D25" s="597">
        <f t="shared" si="0"/>
        <v>4200000</v>
      </c>
      <c r="E25" s="65" t="s">
        <v>966</v>
      </c>
      <c r="F25" s="597">
        <v>0</v>
      </c>
      <c r="G25" s="597">
        <v>3600</v>
      </c>
      <c r="H25" s="597">
        <v>3600</v>
      </c>
    </row>
    <row r="26" spans="1:8" s="38" customFormat="1" ht="11.25">
      <c r="A26" s="65" t="s">
        <v>6</v>
      </c>
      <c r="B26" s="597"/>
      <c r="C26" s="597">
        <v>1242973</v>
      </c>
      <c r="D26" s="597">
        <f t="shared" si="0"/>
        <v>1242973</v>
      </c>
      <c r="E26" s="65" t="s">
        <v>6</v>
      </c>
      <c r="F26" s="597">
        <v>0</v>
      </c>
      <c r="G26" s="597">
        <v>5001</v>
      </c>
      <c r="H26" s="597">
        <v>5001</v>
      </c>
    </row>
    <row r="27" spans="1:8" s="38" customFormat="1" ht="11.25">
      <c r="A27" s="65" t="s">
        <v>967</v>
      </c>
      <c r="B27" s="597"/>
      <c r="C27" s="597"/>
      <c r="D27" s="597">
        <f t="shared" si="0"/>
        <v>0</v>
      </c>
      <c r="E27" s="65" t="s">
        <v>967</v>
      </c>
      <c r="F27" s="597">
        <v>0</v>
      </c>
      <c r="G27" s="597">
        <v>5000</v>
      </c>
      <c r="H27" s="597">
        <v>5000</v>
      </c>
    </row>
    <row r="28" spans="1:8" s="38" customFormat="1" ht="11.25">
      <c r="A28" s="65" t="s">
        <v>7</v>
      </c>
      <c r="B28" s="597"/>
      <c r="C28" s="597">
        <v>2000000</v>
      </c>
      <c r="D28" s="597">
        <f t="shared" si="0"/>
        <v>2000000</v>
      </c>
      <c r="E28" s="65" t="s">
        <v>7</v>
      </c>
      <c r="F28" s="597">
        <v>0</v>
      </c>
      <c r="G28" s="597">
        <v>9190</v>
      </c>
      <c r="H28" s="597">
        <v>9190</v>
      </c>
    </row>
    <row r="29" spans="1:8" s="38" customFormat="1" ht="11.25">
      <c r="A29" s="65" t="s">
        <v>2</v>
      </c>
      <c r="B29" s="597">
        <v>9338</v>
      </c>
      <c r="C29" s="597"/>
      <c r="D29" s="597">
        <f t="shared" si="0"/>
        <v>-9338</v>
      </c>
      <c r="E29" s="65" t="s">
        <v>2</v>
      </c>
      <c r="F29" s="597">
        <v>9</v>
      </c>
      <c r="G29" s="597">
        <v>3000</v>
      </c>
      <c r="H29" s="597">
        <v>2991</v>
      </c>
    </row>
    <row r="30" spans="1:8" s="38" customFormat="1" ht="11.25">
      <c r="A30" s="65" t="s">
        <v>3</v>
      </c>
      <c r="B30" s="597"/>
      <c r="C30" s="597">
        <v>2000000</v>
      </c>
      <c r="D30" s="597">
        <f t="shared" si="0"/>
        <v>2000000</v>
      </c>
      <c r="E30" s="65" t="s">
        <v>3</v>
      </c>
      <c r="F30" s="597">
        <v>0</v>
      </c>
      <c r="G30" s="597">
        <v>0</v>
      </c>
      <c r="H30" s="597">
        <v>0</v>
      </c>
    </row>
    <row r="31" spans="1:8" s="38" customFormat="1" ht="11.25">
      <c r="A31" s="65" t="s">
        <v>0</v>
      </c>
      <c r="B31" s="597"/>
      <c r="C31" s="597"/>
      <c r="D31" s="597">
        <f t="shared" si="0"/>
        <v>0</v>
      </c>
      <c r="E31" s="65" t="s">
        <v>1</v>
      </c>
      <c r="F31" s="597">
        <v>0</v>
      </c>
      <c r="G31" s="597">
        <v>0</v>
      </c>
      <c r="H31" s="597">
        <v>0</v>
      </c>
    </row>
    <row r="32" spans="1:8" s="38" customFormat="1" ht="11.25">
      <c r="A32" s="65" t="s">
        <v>8</v>
      </c>
      <c r="B32" s="597"/>
      <c r="C32" s="597"/>
      <c r="D32" s="597">
        <f t="shared" si="0"/>
        <v>0</v>
      </c>
      <c r="E32" s="65" t="s">
        <v>8</v>
      </c>
      <c r="F32" s="597">
        <v>0</v>
      </c>
      <c r="G32" s="597">
        <v>2900</v>
      </c>
      <c r="H32" s="597">
        <v>2900</v>
      </c>
    </row>
    <row r="33" spans="1:8" s="38" customFormat="1" ht="11.25">
      <c r="A33" s="65" t="s">
        <v>9</v>
      </c>
      <c r="B33" s="597"/>
      <c r="C33" s="597">
        <v>5700000</v>
      </c>
      <c r="D33" s="597">
        <f t="shared" si="0"/>
        <v>5700000</v>
      </c>
      <c r="E33" s="65" t="s">
        <v>9</v>
      </c>
      <c r="F33" s="597">
        <v>0</v>
      </c>
      <c r="G33" s="597">
        <v>6000</v>
      </c>
      <c r="H33" s="597">
        <v>6000</v>
      </c>
    </row>
    <row r="34" spans="1:8" s="38" customFormat="1" ht="11.25">
      <c r="A34" s="65" t="s">
        <v>4</v>
      </c>
      <c r="B34" s="597"/>
      <c r="C34" s="597"/>
      <c r="D34" s="597">
        <f t="shared" si="0"/>
        <v>0</v>
      </c>
      <c r="E34" s="65" t="s">
        <v>4</v>
      </c>
      <c r="F34" s="597">
        <v>0</v>
      </c>
      <c r="G34" s="597">
        <v>0</v>
      </c>
      <c r="H34" s="597">
        <v>0</v>
      </c>
    </row>
    <row r="35" spans="1:8" s="481" customFormat="1" ht="12.75">
      <c r="A35" s="245" t="s">
        <v>10</v>
      </c>
      <c r="B35" s="246">
        <f>B36</f>
        <v>1569805</v>
      </c>
      <c r="C35" s="246">
        <f>C36</f>
        <v>2251448</v>
      </c>
      <c r="D35" s="246">
        <f t="shared" si="0"/>
        <v>681643</v>
      </c>
      <c r="E35" s="245" t="s">
        <v>10</v>
      </c>
      <c r="F35" s="246">
        <v>1570</v>
      </c>
      <c r="G35" s="246">
        <v>2893</v>
      </c>
      <c r="H35" s="246">
        <v>1323</v>
      </c>
    </row>
    <row r="36" spans="1:8" s="696" customFormat="1" ht="12">
      <c r="A36" s="74" t="s">
        <v>11</v>
      </c>
      <c r="B36" s="185">
        <f>SUM(B37:B41)</f>
        <v>1569805</v>
      </c>
      <c r="C36" s="185">
        <f>SUM(C37:C41)</f>
        <v>2251448</v>
      </c>
      <c r="D36" s="185">
        <f t="shared" si="0"/>
        <v>681643</v>
      </c>
      <c r="E36" s="74" t="s">
        <v>11</v>
      </c>
      <c r="F36" s="185">
        <v>1570</v>
      </c>
      <c r="G36" s="185">
        <v>2893</v>
      </c>
      <c r="H36" s="185">
        <v>1323</v>
      </c>
    </row>
    <row r="37" spans="1:8" s="38" customFormat="1" ht="11.25">
      <c r="A37" s="65" t="s">
        <v>12</v>
      </c>
      <c r="B37" s="597">
        <v>158837</v>
      </c>
      <c r="C37" s="597">
        <v>118176</v>
      </c>
      <c r="D37" s="597">
        <f t="shared" si="0"/>
        <v>-40661</v>
      </c>
      <c r="E37" s="65" t="s">
        <v>12</v>
      </c>
      <c r="F37" s="597">
        <v>159</v>
      </c>
      <c r="G37" s="597">
        <v>153</v>
      </c>
      <c r="H37" s="597">
        <v>-6</v>
      </c>
    </row>
    <row r="38" spans="1:8" s="38" customFormat="1" ht="11.25">
      <c r="A38" s="65" t="s">
        <v>13</v>
      </c>
      <c r="B38" s="597">
        <v>760900</v>
      </c>
      <c r="C38" s="597">
        <v>636491</v>
      </c>
      <c r="D38" s="597">
        <f t="shared" si="0"/>
        <v>-124409</v>
      </c>
      <c r="E38" s="65" t="s">
        <v>13</v>
      </c>
      <c r="F38" s="597">
        <v>761</v>
      </c>
      <c r="G38" s="597">
        <v>1265</v>
      </c>
      <c r="H38" s="597">
        <v>504</v>
      </c>
    </row>
    <row r="39" spans="1:8" s="38" customFormat="1" ht="11.25">
      <c r="A39" s="65" t="s">
        <v>14</v>
      </c>
      <c r="B39" s="597">
        <v>120897</v>
      </c>
      <c r="C39" s="597">
        <v>151334</v>
      </c>
      <c r="D39" s="597">
        <f t="shared" si="0"/>
        <v>30437</v>
      </c>
      <c r="E39" s="65" t="s">
        <v>14</v>
      </c>
      <c r="F39" s="597">
        <v>121</v>
      </c>
      <c r="G39" s="597">
        <v>111</v>
      </c>
      <c r="H39" s="597">
        <v>-10</v>
      </c>
    </row>
    <row r="40" spans="1:8" s="38" customFormat="1" ht="11.25">
      <c r="A40" s="65" t="s">
        <v>15</v>
      </c>
      <c r="B40" s="597">
        <v>37031</v>
      </c>
      <c r="C40" s="597"/>
      <c r="D40" s="597">
        <f t="shared" si="0"/>
        <v>-37031</v>
      </c>
      <c r="E40" s="65" t="s">
        <v>15</v>
      </c>
      <c r="F40" s="597">
        <v>37</v>
      </c>
      <c r="G40" s="597">
        <v>0</v>
      </c>
      <c r="H40" s="597">
        <v>-37</v>
      </c>
    </row>
    <row r="41" spans="1:8" s="38" customFormat="1" ht="11.25">
      <c r="A41" s="65" t="s">
        <v>16</v>
      </c>
      <c r="B41" s="597">
        <v>492140</v>
      </c>
      <c r="C41" s="597">
        <v>1345447</v>
      </c>
      <c r="D41" s="597">
        <f t="shared" si="0"/>
        <v>853307</v>
      </c>
      <c r="E41" s="65" t="s">
        <v>16</v>
      </c>
      <c r="F41" s="597">
        <v>492</v>
      </c>
      <c r="G41" s="597">
        <v>1364</v>
      </c>
      <c r="H41" s="597">
        <v>872</v>
      </c>
    </row>
    <row r="42" ht="12.75">
      <c r="E42" s="38"/>
    </row>
    <row r="44" spans="1:8" s="49" customFormat="1" ht="12.75">
      <c r="A44" s="49" t="s">
        <v>17</v>
      </c>
      <c r="B44" s="689"/>
      <c r="C44" s="689"/>
      <c r="D44" s="377" t="s">
        <v>215</v>
      </c>
      <c r="F44" s="85"/>
      <c r="G44" s="85"/>
      <c r="H44" s="377"/>
    </row>
    <row r="46" spans="5:8" ht="12.75">
      <c r="E46" s="49" t="s">
        <v>17</v>
      </c>
      <c r="G46" s="809" t="s">
        <v>215</v>
      </c>
      <c r="H46" s="809"/>
    </row>
    <row r="52" ht="12.75">
      <c r="E52" s="38" t="s">
        <v>171</v>
      </c>
    </row>
    <row r="53" ht="12.75">
      <c r="E53" s="38" t="s">
        <v>34</v>
      </c>
    </row>
  </sheetData>
  <mergeCells count="7">
    <mergeCell ref="A6:D6"/>
    <mergeCell ref="E6:H6"/>
    <mergeCell ref="G46:H46"/>
    <mergeCell ref="A3:D3"/>
    <mergeCell ref="E3:H3"/>
    <mergeCell ref="A5:D5"/>
    <mergeCell ref="E5:H5"/>
  </mergeCells>
  <printOptions/>
  <pageMargins left="0.75" right="0.75" top="1" bottom="1" header="0.5" footer="0.5"/>
  <pageSetup firstPageNumber="57" useFirstPageNumber="1" horizontalDpi="600" verticalDpi="600" orientation="portrait" paperSize="9" r:id="rId1"/>
  <headerFooter alignWithMargins="0">
    <oddFooter>&amp;R&amp;9&amp;P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S251"/>
  <sheetViews>
    <sheetView workbookViewId="0" topLeftCell="H1">
      <selection activeCell="K8" sqref="K8"/>
    </sheetView>
  </sheetViews>
  <sheetFormatPr defaultColWidth="9.140625" defaultRowHeight="17.25" customHeight="1"/>
  <cols>
    <col min="1" max="1" width="37.7109375" style="145" hidden="1" customWidth="1"/>
    <col min="2" max="2" width="12.140625" style="145" hidden="1" customWidth="1"/>
    <col min="3" max="3" width="12.421875" style="145" hidden="1" customWidth="1"/>
    <col min="4" max="4" width="11.140625" style="145" hidden="1" customWidth="1"/>
    <col min="5" max="5" width="7.8515625" style="145" hidden="1" customWidth="1"/>
    <col min="6" max="6" width="12.7109375" style="145" hidden="1" customWidth="1"/>
    <col min="7" max="7" width="11.421875" style="145" hidden="1" customWidth="1"/>
    <col min="8" max="8" width="0.13671875" style="145" customWidth="1"/>
    <col min="9" max="9" width="35.28125" style="145" customWidth="1"/>
    <col min="10" max="10" width="12.00390625" style="145" customWidth="1"/>
    <col min="11" max="11" width="12.57421875" style="145" customWidth="1"/>
    <col min="12" max="12" width="9.140625" style="145" customWidth="1"/>
    <col min="13" max="13" width="6.28125" style="145" customWidth="1"/>
    <col min="14" max="14" width="9.8515625" style="145" customWidth="1"/>
    <col min="15" max="15" width="9.00390625" style="145" customWidth="1"/>
    <col min="16" max="19" width="11.421875" style="145" hidden="1" customWidth="1"/>
  </cols>
  <sheetData>
    <row r="1" spans="2:15" ht="17.25" customHeight="1">
      <c r="B1" s="146"/>
      <c r="C1" s="146"/>
      <c r="D1" s="146"/>
      <c r="E1" s="146"/>
      <c r="F1" s="146"/>
      <c r="G1" s="145" t="s">
        <v>217</v>
      </c>
      <c r="J1" s="146"/>
      <c r="K1" s="146"/>
      <c r="L1" s="146"/>
      <c r="M1" s="146"/>
      <c r="N1" s="146"/>
      <c r="O1" s="145" t="s">
        <v>217</v>
      </c>
    </row>
    <row r="2" spans="1:14" ht="17.25" customHeight="1">
      <c r="A2" s="146" t="s">
        <v>218</v>
      </c>
      <c r="B2" s="146"/>
      <c r="C2" s="146"/>
      <c r="D2" s="146"/>
      <c r="E2" s="146"/>
      <c r="F2" s="146"/>
      <c r="I2" s="146" t="s">
        <v>218</v>
      </c>
      <c r="J2" s="146"/>
      <c r="K2" s="146"/>
      <c r="L2" s="146"/>
      <c r="M2" s="146"/>
      <c r="N2" s="146"/>
    </row>
    <row r="3" spans="1:15" ht="17.25" customHeight="1">
      <c r="A3" s="147" t="s">
        <v>219</v>
      </c>
      <c r="B3" s="146"/>
      <c r="C3" s="146"/>
      <c r="D3" s="146"/>
      <c r="E3" s="146"/>
      <c r="F3" s="146"/>
      <c r="I3" s="760" t="s">
        <v>219</v>
      </c>
      <c r="J3" s="760"/>
      <c r="K3" s="760"/>
      <c r="L3" s="760"/>
      <c r="M3" s="760"/>
      <c r="N3" s="760"/>
      <c r="O3" s="760"/>
    </row>
    <row r="4" spans="1:14" ht="17.25" customHeight="1">
      <c r="A4" s="761" t="s">
        <v>220</v>
      </c>
      <c r="B4" s="761"/>
      <c r="C4" s="761"/>
      <c r="D4" s="761"/>
      <c r="E4" s="761"/>
      <c r="F4" s="761"/>
      <c r="I4" s="762" t="s">
        <v>28</v>
      </c>
      <c r="J4" s="762"/>
      <c r="K4" s="762"/>
      <c r="L4" s="762"/>
      <c r="M4" s="762"/>
      <c r="N4" s="762"/>
    </row>
    <row r="5" spans="1:14" ht="17.25" customHeight="1">
      <c r="A5" s="759" t="s">
        <v>222</v>
      </c>
      <c r="B5" s="759"/>
      <c r="C5" s="759"/>
      <c r="D5" s="759"/>
      <c r="E5" s="759"/>
      <c r="F5" s="759"/>
      <c r="I5" s="759" t="s">
        <v>222</v>
      </c>
      <c r="J5" s="759"/>
      <c r="K5" s="759"/>
      <c r="L5" s="759"/>
      <c r="M5" s="759"/>
      <c r="N5" s="759"/>
    </row>
    <row r="6" spans="1:14" ht="17.25" customHeight="1" hidden="1">
      <c r="A6" s="148"/>
      <c r="B6" s="148"/>
      <c r="C6" s="148"/>
      <c r="D6" s="148"/>
      <c r="E6" s="148"/>
      <c r="F6" s="148"/>
      <c r="I6" s="148"/>
      <c r="J6" s="148"/>
      <c r="K6" s="148"/>
      <c r="L6" s="148"/>
      <c r="M6" s="148"/>
      <c r="N6" s="148"/>
    </row>
    <row r="7" spans="1:15" ht="15.75" customHeight="1">
      <c r="A7" s="759"/>
      <c r="B7" s="759"/>
      <c r="C7" s="759"/>
      <c r="D7" s="759"/>
      <c r="E7" s="759"/>
      <c r="F7" s="759"/>
      <c r="G7" s="145" t="s">
        <v>94</v>
      </c>
      <c r="I7" s="759"/>
      <c r="J7" s="759"/>
      <c r="K7" s="759"/>
      <c r="L7" s="759"/>
      <c r="M7" s="759"/>
      <c r="N7" s="759"/>
      <c r="O7" s="145" t="s">
        <v>94</v>
      </c>
    </row>
    <row r="8" spans="1:15" ht="85.5" customHeight="1">
      <c r="A8" s="149" t="s">
        <v>47</v>
      </c>
      <c r="B8" s="149" t="s">
        <v>95</v>
      </c>
      <c r="C8" s="149" t="s">
        <v>223</v>
      </c>
      <c r="D8" s="149" t="s">
        <v>96</v>
      </c>
      <c r="E8" s="149" t="s">
        <v>224</v>
      </c>
      <c r="F8" s="149" t="s">
        <v>225</v>
      </c>
      <c r="G8" s="149" t="s">
        <v>226</v>
      </c>
      <c r="I8" s="149" t="s">
        <v>47</v>
      </c>
      <c r="J8" s="149" t="s">
        <v>95</v>
      </c>
      <c r="K8" s="149" t="s">
        <v>223</v>
      </c>
      <c r="L8" s="149" t="s">
        <v>96</v>
      </c>
      <c r="M8" s="149" t="s">
        <v>224</v>
      </c>
      <c r="N8" s="149" t="s">
        <v>225</v>
      </c>
      <c r="O8" s="9" t="s">
        <v>40</v>
      </c>
    </row>
    <row r="9" spans="1:15" ht="12.75">
      <c r="A9" s="149">
        <v>1</v>
      </c>
      <c r="B9" s="149">
        <v>2</v>
      </c>
      <c r="C9" s="149">
        <v>3</v>
      </c>
      <c r="D9" s="149">
        <v>4</v>
      </c>
      <c r="E9" s="149">
        <v>5</v>
      </c>
      <c r="F9" s="149">
        <v>6</v>
      </c>
      <c r="G9" s="150">
        <v>7</v>
      </c>
      <c r="I9" s="149">
        <v>1</v>
      </c>
      <c r="J9" s="149">
        <v>2</v>
      </c>
      <c r="K9" s="149">
        <v>3</v>
      </c>
      <c r="L9" s="149">
        <v>4</v>
      </c>
      <c r="M9" s="149">
        <v>5</v>
      </c>
      <c r="N9" s="149">
        <v>6</v>
      </c>
      <c r="O9" s="150">
        <v>7</v>
      </c>
    </row>
    <row r="10" spans="1:19" ht="17.25" customHeight="1">
      <c r="A10" s="151" t="s">
        <v>227</v>
      </c>
      <c r="B10" s="152">
        <v>795383031</v>
      </c>
      <c r="C10" s="153"/>
      <c r="D10" s="152">
        <v>231297320</v>
      </c>
      <c r="E10" s="154">
        <f aca="true" t="shared" si="0" ref="E10:E19">IF(ISERROR(D10/B10)," ",(D10/B10))*100</f>
        <v>29.07999177568574</v>
      </c>
      <c r="F10" s="155"/>
      <c r="G10" s="156">
        <v>62964740</v>
      </c>
      <c r="I10" s="151" t="s">
        <v>227</v>
      </c>
      <c r="J10" s="152">
        <v>795383</v>
      </c>
      <c r="K10" s="157"/>
      <c r="L10" s="152">
        <v>297304</v>
      </c>
      <c r="M10" s="158"/>
      <c r="N10" s="158"/>
      <c r="O10" s="152">
        <v>66007</v>
      </c>
      <c r="Q10" s="159">
        <f aca="true" t="shared" si="1" ref="Q10:Q73">L10</f>
        <v>297304</v>
      </c>
      <c r="R10" s="145">
        <v>168333</v>
      </c>
      <c r="S10" s="145">
        <f aca="true" t="shared" si="2" ref="S10:S73">Q10-R10</f>
        <v>128971</v>
      </c>
    </row>
    <row r="11" spans="1:19" ht="12.75" customHeight="1">
      <c r="A11" s="160" t="s">
        <v>228</v>
      </c>
      <c r="B11" s="161">
        <f>B22+B28+B35+B43+B50+B57+B66+B77+B85+B94+B102+B110+B119+B127+B135+B143+B150+B158+B164+B171+B178+B184+B189+B194+B201+B206+B214+B222+B229+B235</f>
        <v>822567488</v>
      </c>
      <c r="C11" s="161">
        <f>C22+C28+C35+C43+C50+C57+C66+C77+C85+C94+C102+C110+C119+C127+C135+C143+C150+C158+C164+C171+C178+C184+C189+C194+C201+C206+C214+C222+C229+C235</f>
        <v>263159741</v>
      </c>
      <c r="D11" s="161">
        <f>D22+D28+D35+D43+D50+D57+D66+D77+D85+D94+D102+D110+D119+D127+D135+D143+D150+D158+D164+D171+D178+D184+D189+D194+D201+D206+D214+D222+D229+D235</f>
        <v>250974675.56</v>
      </c>
      <c r="E11" s="155">
        <f t="shared" si="0"/>
        <v>30.511134857788107</v>
      </c>
      <c r="F11" s="155">
        <f aca="true" t="shared" si="3" ref="F11:F18">IF(ISERROR(D11/C11)," ",(D11/C11))*100</f>
        <v>95.3697076180053</v>
      </c>
      <c r="G11" s="161">
        <f>G22+G28+G35+G43+G50+G57+G66+G77+G85+G94+G102+G110+G119+G127+G135+G143+G150+G158+G164+G171+G178+G184+G189+G194+G201+G206+G214+G222+G229+G235</f>
        <v>66499789.900000006</v>
      </c>
      <c r="I11" s="160" t="s">
        <v>228</v>
      </c>
      <c r="J11" s="152">
        <v>822566</v>
      </c>
      <c r="K11" s="152">
        <v>337703</v>
      </c>
      <c r="L11" s="152">
        <v>326234</v>
      </c>
      <c r="M11" s="162">
        <v>39.660525720732444</v>
      </c>
      <c r="N11" s="162">
        <v>96.60382051684468</v>
      </c>
      <c r="O11" s="152">
        <v>75258</v>
      </c>
      <c r="Q11" s="159">
        <f t="shared" si="1"/>
        <v>326234</v>
      </c>
      <c r="R11" s="145">
        <v>184476</v>
      </c>
      <c r="S11" s="145">
        <f t="shared" si="2"/>
        <v>141758</v>
      </c>
    </row>
    <row r="12" spans="1:19" ht="12.75" customHeight="1">
      <c r="A12" s="160" t="s">
        <v>229</v>
      </c>
      <c r="B12" s="161">
        <f>B23+B29+B36+B44+B51+B58+B67+B78+B86+B95+B103+B111+B120+B128+B136+B144+B151+B159+B165+B172+B179+B185+B190+B195+B202+B207+B215+B230+B236</f>
        <v>702268383</v>
      </c>
      <c r="C12" s="161">
        <f>C23+C29+C36+C44+C51+C58+C67+C78+C86+C95+C103+C111+C120+C128+C136+C144+C151+C159+C165+C172+C179+C185+C190+C195+C202+C207+C215+C230+C236</f>
        <v>226559454</v>
      </c>
      <c r="D12" s="161">
        <f>D23+D29+D36+D44+D51+D58+D67+D78+D86+D95+D103+D111+D120+D128+D136+D144+D151+D159+D165+D172+D179+D185+D190+D195+D202+D207+D215+D230+D236</f>
        <v>226559454</v>
      </c>
      <c r="E12" s="155">
        <f t="shared" si="0"/>
        <v>32.26109269395943</v>
      </c>
      <c r="F12" s="155">
        <f t="shared" si="3"/>
        <v>100</v>
      </c>
      <c r="G12" s="161">
        <f>G23+G29+G36+G44+G51+G58+G67+G78+G86+G95+G103+G111+G120+G128+G136+G144+G151+G159+G165+G172+G179+G185+G190+G195+G202+G207+G215+G230+G236</f>
        <v>61086755</v>
      </c>
      <c r="I12" s="160" t="s">
        <v>229</v>
      </c>
      <c r="J12" s="163">
        <v>702268</v>
      </c>
      <c r="K12" s="163">
        <v>294535</v>
      </c>
      <c r="L12" s="163">
        <v>294535</v>
      </c>
      <c r="M12" s="164">
        <v>41.94054121788263</v>
      </c>
      <c r="N12" s="164">
        <v>100</v>
      </c>
      <c r="O12" s="163">
        <v>67974</v>
      </c>
      <c r="Q12" s="159">
        <f t="shared" si="1"/>
        <v>294535</v>
      </c>
      <c r="R12" s="145">
        <v>165474</v>
      </c>
      <c r="S12" s="145">
        <f t="shared" si="2"/>
        <v>129061</v>
      </c>
    </row>
    <row r="13" spans="1:19" ht="12.75" customHeight="1">
      <c r="A13" s="160" t="s">
        <v>230</v>
      </c>
      <c r="B13" s="161">
        <f>B59+B68+B87+B112</f>
        <v>3480024</v>
      </c>
      <c r="C13" s="161">
        <f>C59+C68+C87+C112</f>
        <v>648857</v>
      </c>
      <c r="D13" s="161">
        <f>D59+D68+D87+D112</f>
        <v>442138.51</v>
      </c>
      <c r="E13" s="155">
        <f t="shared" si="0"/>
        <v>12.705041976722</v>
      </c>
      <c r="F13" s="155">
        <f t="shared" si="3"/>
        <v>68.14113279197112</v>
      </c>
      <c r="G13" s="161">
        <f>G59+G68+G87+G112</f>
        <v>151254.49</v>
      </c>
      <c r="I13" s="160" t="s">
        <v>230</v>
      </c>
      <c r="J13" s="163">
        <v>3480</v>
      </c>
      <c r="K13" s="163">
        <v>928</v>
      </c>
      <c r="L13" s="163">
        <v>532</v>
      </c>
      <c r="M13" s="164">
        <v>15.287356321839079</v>
      </c>
      <c r="N13" s="164">
        <v>57.327586206896555</v>
      </c>
      <c r="O13" s="163">
        <v>90</v>
      </c>
      <c r="Q13" s="159">
        <f t="shared" si="1"/>
        <v>532</v>
      </c>
      <c r="R13" s="145">
        <v>290</v>
      </c>
      <c r="S13" s="145">
        <f t="shared" si="2"/>
        <v>242</v>
      </c>
    </row>
    <row r="14" spans="1:19" ht="12.75" customHeight="1">
      <c r="A14" s="160" t="s">
        <v>231</v>
      </c>
      <c r="B14" s="161">
        <f>B30+B37+B45+B52+B60+B69+B79+B88+B96+B104+B113+B121+B129+B137+B145+B152+B166+B173+B196+B223</f>
        <v>60659270</v>
      </c>
      <c r="C14" s="161">
        <f>C30+C37+C45+C52+C60+C69+C79+C88+C96+C104+C113+C121+C129+C137+C145+C152+C166+C173+C196+C223</f>
        <v>20011975</v>
      </c>
      <c r="D14" s="161">
        <f>D30+D37+D45+D52+D60+D69+D79+D88+D96+D104+D113+D121+D129+D137+D145+D152+D166+D173+D196+D223</f>
        <v>20008011.349999998</v>
      </c>
      <c r="E14" s="155">
        <f t="shared" si="0"/>
        <v>32.984260031484055</v>
      </c>
      <c r="F14" s="155">
        <f t="shared" si="3"/>
        <v>99.98019360907655</v>
      </c>
      <c r="G14" s="161">
        <f>G30+G37+G45+G52+G60+G69+G79+G88+G96+G104+G113+G121+G129+G137+G145+G152+G166+G173+G196+G223</f>
        <v>4707526.409999999</v>
      </c>
      <c r="I14" s="160" t="s">
        <v>231</v>
      </c>
      <c r="J14" s="163">
        <v>60659</v>
      </c>
      <c r="K14" s="163">
        <v>24971</v>
      </c>
      <c r="L14" s="163">
        <v>24510</v>
      </c>
      <c r="M14" s="164">
        <v>40.40620517977547</v>
      </c>
      <c r="N14" s="164">
        <v>98.15385847583197</v>
      </c>
      <c r="O14" s="163">
        <v>4502</v>
      </c>
      <c r="Q14" s="159">
        <f t="shared" si="1"/>
        <v>24510</v>
      </c>
      <c r="R14" s="145">
        <v>15301</v>
      </c>
      <c r="S14" s="145">
        <f t="shared" si="2"/>
        <v>9209</v>
      </c>
    </row>
    <row r="15" spans="1:19" ht="12.75" customHeight="1">
      <c r="A15" s="160" t="s">
        <v>232</v>
      </c>
      <c r="B15" s="161">
        <f>B38+B61+B70+B80+B89+B97+B105+B114+B122+B130+B138+B153+B209+B217</f>
        <v>56159811</v>
      </c>
      <c r="C15" s="161">
        <f>C38+C61+C70+C80+C89+C97+C105+C114+C122+C130+C138+C153+C209+C217</f>
        <v>15939455</v>
      </c>
      <c r="D15" s="165">
        <f>D38+D61+D70+D80+D89+D97+D105+D114+D122+D130+D138+D153+D209+D217</f>
        <v>3965051</v>
      </c>
      <c r="E15" s="155">
        <f t="shared" si="0"/>
        <v>7.060299757775182</v>
      </c>
      <c r="F15" s="155">
        <f t="shared" si="3"/>
        <v>24.87569995335474</v>
      </c>
      <c r="G15" s="161">
        <f>G38+G61+G70+G80+G89+G97+G105+G114+G122+G130+G138+G153+G209+G217</f>
        <v>554254</v>
      </c>
      <c r="I15" s="160" t="s">
        <v>232</v>
      </c>
      <c r="J15" s="163">
        <v>56159</v>
      </c>
      <c r="K15" s="163">
        <v>17269</v>
      </c>
      <c r="L15" s="163">
        <v>6657</v>
      </c>
      <c r="M15" s="164">
        <v>11.853843551345287</v>
      </c>
      <c r="N15" s="164">
        <v>38.548844750709364</v>
      </c>
      <c r="O15" s="163">
        <v>2692</v>
      </c>
      <c r="Q15" s="159">
        <f t="shared" si="1"/>
        <v>6657</v>
      </c>
      <c r="R15" s="145">
        <v>3411</v>
      </c>
      <c r="S15" s="145">
        <f t="shared" si="2"/>
        <v>3246</v>
      </c>
    </row>
    <row r="16" spans="1:19" ht="12.75" customHeight="1">
      <c r="A16" s="166" t="s">
        <v>233</v>
      </c>
      <c r="B16" s="167">
        <f>B24+B31+B39+B46+B53+B62+B71+B81+B90+B98+B106+B115+B123+B131+B139+B146+B154+B161+B167+B174+B180+B186+B191+B197+B203+B210+B218+B224+B231+B237</f>
        <v>822563488</v>
      </c>
      <c r="C16" s="167">
        <f>C24+C31+C39+C46+C53+C62+C71+C81+C90+C98+C106+C115+C123+C131+C139+C146+C154+C161+C167+C174+C180+C186+C191+C197+C203+C210+C218+C224+C231+C237</f>
        <v>263307267</v>
      </c>
      <c r="D16" s="167">
        <f>D24+D31+D39+D46+D53+D62+D71+D81+D90+D98+D106+D115+D123+D131+D139+D146+D154+D161+D167+D174+D180+D186+D191+D197+D203+D210+D218+D224+D231+D237</f>
        <v>238122263.66000006</v>
      </c>
      <c r="E16" s="155">
        <f t="shared" si="0"/>
        <v>28.948800564802124</v>
      </c>
      <c r="F16" s="155">
        <f t="shared" si="3"/>
        <v>90.43512789185574</v>
      </c>
      <c r="G16" s="167">
        <f>G24+G31+G39+G46+G53+G62+G71+G81+G90+G98+G106+G115+G123+G131+G139+G146+G154+G161+G167+G174+G180+G186+G191+G197+G203+G210+G218+G224+G231+G237</f>
        <v>63836928.95</v>
      </c>
      <c r="I16" s="166" t="s">
        <v>233</v>
      </c>
      <c r="J16" s="152">
        <v>822563</v>
      </c>
      <c r="K16" s="152">
        <v>337886</v>
      </c>
      <c r="L16" s="152">
        <v>310201</v>
      </c>
      <c r="M16" s="162">
        <v>37.711518752970896</v>
      </c>
      <c r="N16" s="162">
        <v>91.80640807846433</v>
      </c>
      <c r="O16" s="152">
        <v>72080</v>
      </c>
      <c r="Q16" s="159">
        <f t="shared" si="1"/>
        <v>310201</v>
      </c>
      <c r="R16" s="145">
        <v>174285</v>
      </c>
      <c r="S16" s="145">
        <f t="shared" si="2"/>
        <v>135916</v>
      </c>
    </row>
    <row r="17" spans="1:19" ht="12.75" customHeight="1">
      <c r="A17" s="168" t="s">
        <v>234</v>
      </c>
      <c r="B17" s="169">
        <f>B25+B32+B40+B47+B54+B63+B72+B82+B91+B99+B107+B116+B124+B132+B140+B147+B155+B162+B175+B181+B187+B192+B198+B204+B211+B219+B225+B232+B238+B168</f>
        <v>743343379</v>
      </c>
      <c r="C17" s="169">
        <f>C25+C32+C40+C47+C54+C63+C72+C82+C91+C99+C107+C116+C124+C132+C140+C147+C155+C162+C175+C181+C187+C192+C198+C204+C211+C219+C225+C232+C238+C168</f>
        <v>242138265</v>
      </c>
      <c r="D17" s="169">
        <f>D25+D32+D40+D47+D54+D63+D72+D82+D91+D99+D107+D116+D124+D132+D140+D147+D155+D162+D175+D181+D187+D192+D198+D204+D211+D219+D225+D232+D238+D168</f>
        <v>225376425.95000002</v>
      </c>
      <c r="E17" s="155">
        <f t="shared" si="0"/>
        <v>30.319288812822</v>
      </c>
      <c r="F17" s="155">
        <f t="shared" si="3"/>
        <v>93.07757530599305</v>
      </c>
      <c r="G17" s="169">
        <f>G25+G32+G40+G47+G54+G63+G72+G82+G91+G99+G107+G116+G124+G132+G140+G147+G155+G162+G175+G181+G187+G192+G198+G204+G211+G219+G225+G232+G238+G168</f>
        <v>59905491.67999999</v>
      </c>
      <c r="I17" s="168" t="s">
        <v>234</v>
      </c>
      <c r="J17" s="169">
        <v>743343</v>
      </c>
      <c r="K17" s="169">
        <v>309383</v>
      </c>
      <c r="L17" s="169">
        <v>291091</v>
      </c>
      <c r="M17" s="164">
        <v>39.15971496334801</v>
      </c>
      <c r="N17" s="164">
        <v>94.08758723006758</v>
      </c>
      <c r="O17" s="163">
        <v>65716</v>
      </c>
      <c r="Q17" s="159">
        <f t="shared" si="1"/>
        <v>291091</v>
      </c>
      <c r="R17" s="145">
        <v>165471</v>
      </c>
      <c r="S17" s="145">
        <f t="shared" si="2"/>
        <v>125620</v>
      </c>
    </row>
    <row r="18" spans="1:19" ht="12.75" customHeight="1">
      <c r="A18" s="168" t="s">
        <v>235</v>
      </c>
      <c r="B18" s="169">
        <f>B26+B33+B41+B48+B55+B64+B73+B83+B92+B100+B108+B117+B125+B133+B141+B148+B156+B169+B176+B182+B199+B212+B220+B226+B233</f>
        <v>79220109</v>
      </c>
      <c r="C18" s="169">
        <f>C26+C33+C41+C48+C55+C64+C73+C83+C92+C100+C108+C117+C125+C133+C141+C148+C156+C169+C176+C182+C199+C212+C220+C226+C233</f>
        <v>21169002</v>
      </c>
      <c r="D18" s="169">
        <f>D26+D33+D41+D48+D55+D64+D73+D83+D92+D100+D108+D117+D125+D133+D141+D148+D156+D169+D176+D182+D199+D212+D220+D226+D233</f>
        <v>12745837.709999997</v>
      </c>
      <c r="E18" s="155">
        <f t="shared" si="0"/>
        <v>16.08914437368421</v>
      </c>
      <c r="F18" s="155">
        <f t="shared" si="3"/>
        <v>60.209913107854575</v>
      </c>
      <c r="G18" s="169">
        <f>G26+G33+G41+G48+G55+G64+G73+G83+G92+G100+G108+G117+G125+G133+G141+G148+G156+G169+G176+G182+G199+G212+G220+G226+G233</f>
        <v>3931437.2700000005</v>
      </c>
      <c r="I18" s="168" t="s">
        <v>235</v>
      </c>
      <c r="J18" s="169">
        <v>79220</v>
      </c>
      <c r="K18" s="169">
        <v>28503</v>
      </c>
      <c r="L18" s="169">
        <v>19110</v>
      </c>
      <c r="M18" s="164">
        <v>24.122696288815956</v>
      </c>
      <c r="N18" s="164">
        <v>67.04557415008946</v>
      </c>
      <c r="O18" s="163">
        <v>6364</v>
      </c>
      <c r="Q18" s="159">
        <f t="shared" si="1"/>
        <v>19110</v>
      </c>
      <c r="R18" s="145">
        <v>8814</v>
      </c>
      <c r="S18" s="145">
        <f t="shared" si="2"/>
        <v>10296</v>
      </c>
    </row>
    <row r="19" spans="1:19" ht="12.75" customHeight="1">
      <c r="A19" s="121" t="s">
        <v>236</v>
      </c>
      <c r="B19" s="170">
        <f>B74</f>
        <v>48898920</v>
      </c>
      <c r="C19" s="170"/>
      <c r="D19" s="170">
        <f>D74</f>
        <v>19940654</v>
      </c>
      <c r="E19" s="155">
        <f t="shared" si="0"/>
        <v>40.779334185703895</v>
      </c>
      <c r="F19" s="170"/>
      <c r="G19" s="170">
        <f>G74</f>
        <v>7308235</v>
      </c>
      <c r="I19" s="121" t="s">
        <v>236</v>
      </c>
      <c r="J19" s="163">
        <v>48899</v>
      </c>
      <c r="K19" s="157"/>
      <c r="L19" s="163">
        <v>17214</v>
      </c>
      <c r="M19" s="158"/>
      <c r="N19" s="158"/>
      <c r="O19" s="163">
        <v>-2727</v>
      </c>
      <c r="Q19" s="159">
        <f t="shared" si="1"/>
        <v>17214</v>
      </c>
      <c r="R19" s="145">
        <v>12632</v>
      </c>
      <c r="S19" s="145">
        <f t="shared" si="2"/>
        <v>4582</v>
      </c>
    </row>
    <row r="20" spans="1:19" ht="12.75" customHeight="1">
      <c r="A20" s="121" t="s">
        <v>237</v>
      </c>
      <c r="B20" s="170">
        <f>B10-B16-B19</f>
        <v>-76079377</v>
      </c>
      <c r="C20" s="170"/>
      <c r="D20" s="170">
        <f>D10-D16-D19</f>
        <v>-26765597.660000056</v>
      </c>
      <c r="E20" s="155">
        <f>E10-E16-E19</f>
        <v>-40.648142974820274</v>
      </c>
      <c r="F20" s="155"/>
      <c r="G20" s="170">
        <f>G10-G16-G19</f>
        <v>-8180423.950000003</v>
      </c>
      <c r="I20" s="121" t="s">
        <v>237</v>
      </c>
      <c r="J20" s="163">
        <v>-76079</v>
      </c>
      <c r="K20" s="157"/>
      <c r="L20" s="163">
        <v>-30111</v>
      </c>
      <c r="M20" s="158"/>
      <c r="N20" s="158"/>
      <c r="O20" s="163">
        <v>-3346</v>
      </c>
      <c r="Q20" s="159">
        <f t="shared" si="1"/>
        <v>-30111</v>
      </c>
      <c r="R20" s="145">
        <v>-18584</v>
      </c>
      <c r="S20" s="145">
        <f t="shared" si="2"/>
        <v>-11527</v>
      </c>
    </row>
    <row r="21" spans="1:19" ht="12.75" customHeight="1">
      <c r="A21" s="171" t="s">
        <v>238</v>
      </c>
      <c r="B21" s="172"/>
      <c r="C21" s="172"/>
      <c r="D21" s="172"/>
      <c r="E21" s="172"/>
      <c r="F21" s="172"/>
      <c r="G21" s="172"/>
      <c r="I21" s="171" t="s">
        <v>239</v>
      </c>
      <c r="J21" s="172"/>
      <c r="K21" s="172"/>
      <c r="L21" s="172"/>
      <c r="M21" s="164"/>
      <c r="N21" s="164"/>
      <c r="O21" s="172"/>
      <c r="Q21" s="159">
        <f t="shared" si="1"/>
        <v>0</v>
      </c>
      <c r="S21" s="145">
        <f t="shared" si="2"/>
        <v>0</v>
      </c>
    </row>
    <row r="22" spans="1:19" ht="12.75" customHeight="1">
      <c r="A22" s="160" t="s">
        <v>228</v>
      </c>
      <c r="B22" s="170">
        <f>B23</f>
        <v>1179112</v>
      </c>
      <c r="C22" s="170">
        <f>C23</f>
        <v>354959</v>
      </c>
      <c r="D22" s="170">
        <f>D23</f>
        <v>354959</v>
      </c>
      <c r="E22" s="155">
        <f>IF(ISERROR(D22/B22)," ",(D22/B22))*100</f>
        <v>30.103925666094483</v>
      </c>
      <c r="F22" s="155">
        <f>IF(ISERROR(D22/C22)," ",(D22/C22))*100</f>
        <v>100</v>
      </c>
      <c r="G22" s="170">
        <f>G23</f>
        <v>99889</v>
      </c>
      <c r="I22" s="160" t="s">
        <v>228</v>
      </c>
      <c r="J22" s="152">
        <v>1179</v>
      </c>
      <c r="K22" s="152">
        <v>447</v>
      </c>
      <c r="L22" s="152">
        <v>447</v>
      </c>
      <c r="M22" s="162">
        <v>37.913486005089055</v>
      </c>
      <c r="N22" s="162">
        <v>100</v>
      </c>
      <c r="O22" s="152">
        <v>92</v>
      </c>
      <c r="Q22" s="159">
        <f t="shared" si="1"/>
        <v>447</v>
      </c>
      <c r="R22" s="145">
        <v>255</v>
      </c>
      <c r="S22" s="145">
        <f t="shared" si="2"/>
        <v>192</v>
      </c>
    </row>
    <row r="23" spans="1:19" ht="12.75" customHeight="1">
      <c r="A23" s="160" t="s">
        <v>229</v>
      </c>
      <c r="B23" s="170">
        <v>1179112</v>
      </c>
      <c r="C23" s="170">
        <v>354959</v>
      </c>
      <c r="D23" s="170">
        <v>354959</v>
      </c>
      <c r="E23" s="155">
        <f>IF(ISERROR(D23/B23)," ",(D23/B23))*100</f>
        <v>30.103925666094483</v>
      </c>
      <c r="F23" s="155">
        <f>IF(ISERROR(D23/C23)," ",(D23/C23))*100</f>
        <v>100</v>
      </c>
      <c r="G23" s="170">
        <f>D23-'[2]Marts'!D23</f>
        <v>99889</v>
      </c>
      <c r="I23" s="160" t="s">
        <v>229</v>
      </c>
      <c r="J23" s="163">
        <v>1179</v>
      </c>
      <c r="K23" s="163">
        <v>447</v>
      </c>
      <c r="L23" s="163">
        <v>447</v>
      </c>
      <c r="M23" s="164">
        <v>37.913486005089055</v>
      </c>
      <c r="N23" s="164">
        <v>100</v>
      </c>
      <c r="O23" s="163">
        <v>92</v>
      </c>
      <c r="Q23" s="159">
        <f t="shared" si="1"/>
        <v>447</v>
      </c>
      <c r="R23" s="145">
        <v>255</v>
      </c>
      <c r="S23" s="145">
        <f t="shared" si="2"/>
        <v>192</v>
      </c>
    </row>
    <row r="24" spans="1:19" ht="12.75" customHeight="1">
      <c r="A24" s="166" t="s">
        <v>240</v>
      </c>
      <c r="B24" s="172">
        <f>SUM(B25:B26)</f>
        <v>1179112</v>
      </c>
      <c r="C24" s="172">
        <f>SUM(C25:C26)</f>
        <v>354959</v>
      </c>
      <c r="D24" s="172">
        <f>SUM(D25:D26)</f>
        <v>353027.16000000003</v>
      </c>
      <c r="E24" s="154">
        <f>IF(ISERROR(D24/B24)," ",(D24/B24))*100</f>
        <v>29.94008711640625</v>
      </c>
      <c r="F24" s="154">
        <f>IF(ISERROR(D24/C24)," ",(D24/C24))*100</f>
        <v>99.45575686206013</v>
      </c>
      <c r="G24" s="172">
        <f>SUM(G25:G26)</f>
        <v>98125.98000000001</v>
      </c>
      <c r="I24" s="166" t="s">
        <v>240</v>
      </c>
      <c r="J24" s="152">
        <v>1179</v>
      </c>
      <c r="K24" s="152">
        <v>447</v>
      </c>
      <c r="L24" s="152">
        <v>447</v>
      </c>
      <c r="M24" s="162">
        <v>37.913486005089055</v>
      </c>
      <c r="N24" s="162">
        <v>100</v>
      </c>
      <c r="O24" s="152">
        <v>92</v>
      </c>
      <c r="Q24" s="159">
        <f t="shared" si="1"/>
        <v>447</v>
      </c>
      <c r="R24" s="145">
        <v>255</v>
      </c>
      <c r="S24" s="145">
        <f t="shared" si="2"/>
        <v>192</v>
      </c>
    </row>
    <row r="25" spans="1:19" ht="12.75" customHeight="1">
      <c r="A25" s="168" t="s">
        <v>234</v>
      </c>
      <c r="B25" s="170">
        <v>1123212</v>
      </c>
      <c r="C25" s="170">
        <v>333781</v>
      </c>
      <c r="D25" s="170">
        <v>333773.89</v>
      </c>
      <c r="E25" s="155">
        <f>IF(ISERROR(D25/B25)," ",(D25/B25))*100</f>
        <v>29.716018881564654</v>
      </c>
      <c r="F25" s="155">
        <f>IF(ISERROR(D25/C25)," ",(D25/C25))*100</f>
        <v>99.99786986077697</v>
      </c>
      <c r="G25" s="170">
        <f>D25-'[2]Marts'!D25</f>
        <v>99881.89000000001</v>
      </c>
      <c r="I25" s="168" t="s">
        <v>234</v>
      </c>
      <c r="J25" s="163">
        <v>1123</v>
      </c>
      <c r="K25" s="163">
        <v>425</v>
      </c>
      <c r="L25" s="163">
        <v>425</v>
      </c>
      <c r="M25" s="164">
        <v>37.845057880676755</v>
      </c>
      <c r="N25" s="164">
        <v>100</v>
      </c>
      <c r="O25" s="163">
        <v>90</v>
      </c>
      <c r="Q25" s="159">
        <f t="shared" si="1"/>
        <v>425</v>
      </c>
      <c r="R25" s="145">
        <v>234</v>
      </c>
      <c r="S25" s="145">
        <f t="shared" si="2"/>
        <v>191</v>
      </c>
    </row>
    <row r="26" spans="1:19" ht="12.75" customHeight="1">
      <c r="A26" s="168" t="s">
        <v>235</v>
      </c>
      <c r="B26" s="170">
        <v>55900</v>
      </c>
      <c r="C26" s="170">
        <v>21178</v>
      </c>
      <c r="D26" s="170">
        <v>19253.27</v>
      </c>
      <c r="E26" s="155">
        <f>IF(ISERROR(D26/B26)," ",(D26/B26))*100</f>
        <v>34.442343470483</v>
      </c>
      <c r="F26" s="155">
        <f>IF(ISERROR(D26/C26)," ",(D26/C26))*100</f>
        <v>90.91165360279535</v>
      </c>
      <c r="G26" s="170">
        <f>D26-'[2]Marts'!D26</f>
        <v>-1755.9099999999999</v>
      </c>
      <c r="I26" s="168" t="s">
        <v>235</v>
      </c>
      <c r="J26" s="163">
        <v>56</v>
      </c>
      <c r="K26" s="163">
        <v>22</v>
      </c>
      <c r="L26" s="163">
        <v>22</v>
      </c>
      <c r="M26" s="164">
        <v>39.285714285714285</v>
      </c>
      <c r="N26" s="164">
        <v>100</v>
      </c>
      <c r="O26" s="163">
        <v>2</v>
      </c>
      <c r="Q26" s="159">
        <f t="shared" si="1"/>
        <v>22</v>
      </c>
      <c r="R26" s="145">
        <v>21</v>
      </c>
      <c r="S26" s="145">
        <f t="shared" si="2"/>
        <v>1</v>
      </c>
    </row>
    <row r="27" spans="1:19" ht="12.75" customHeight="1">
      <c r="A27" s="166" t="s">
        <v>241</v>
      </c>
      <c r="B27" s="172"/>
      <c r="C27" s="172"/>
      <c r="D27" s="172"/>
      <c r="E27" s="172"/>
      <c r="F27" s="172"/>
      <c r="G27" s="170"/>
      <c r="I27" s="166" t="s">
        <v>242</v>
      </c>
      <c r="J27" s="172"/>
      <c r="K27" s="172"/>
      <c r="L27" s="172"/>
      <c r="M27" s="164"/>
      <c r="N27" s="164"/>
      <c r="O27" s="172"/>
      <c r="Q27" s="159">
        <f t="shared" si="1"/>
        <v>0</v>
      </c>
      <c r="S27" s="145">
        <f t="shared" si="2"/>
        <v>0</v>
      </c>
    </row>
    <row r="28" spans="1:19" ht="12.75" customHeight="1">
      <c r="A28" s="160" t="s">
        <v>228</v>
      </c>
      <c r="B28" s="170">
        <f>SUM(B29:B30)</f>
        <v>7212591</v>
      </c>
      <c r="C28" s="170">
        <f>SUM(C29:C30)</f>
        <v>2238926</v>
      </c>
      <c r="D28" s="170">
        <f>SUM(D29:D30)</f>
        <v>2253315.2</v>
      </c>
      <c r="E28" s="155">
        <f aca="true" t="shared" si="4" ref="E28:E33">IF(ISERROR(D28/B28)," ",(D28/B28))*100</f>
        <v>31.241411026911138</v>
      </c>
      <c r="F28" s="155">
        <f aca="true" t="shared" si="5" ref="F28:F33">IF(ISERROR(D28/C28)," ",(D28/C28))*100</f>
        <v>100.64268314361439</v>
      </c>
      <c r="G28" s="170">
        <f>SUM(G29:G30)</f>
        <v>640718.73</v>
      </c>
      <c r="I28" s="160" t="s">
        <v>228</v>
      </c>
      <c r="J28" s="152">
        <v>7213</v>
      </c>
      <c r="K28" s="152">
        <v>2893</v>
      </c>
      <c r="L28" s="152">
        <v>2908</v>
      </c>
      <c r="M28" s="162">
        <v>40.316095937889926</v>
      </c>
      <c r="N28" s="162">
        <v>100.51849291393017</v>
      </c>
      <c r="O28" s="152">
        <v>654</v>
      </c>
      <c r="Q28" s="159">
        <f t="shared" si="1"/>
        <v>2908</v>
      </c>
      <c r="R28" s="145">
        <v>1612</v>
      </c>
      <c r="S28" s="145">
        <f t="shared" si="2"/>
        <v>1296</v>
      </c>
    </row>
    <row r="29" spans="1:19" ht="12.75" customHeight="1">
      <c r="A29" s="160" t="s">
        <v>229</v>
      </c>
      <c r="B29" s="170">
        <v>6972591</v>
      </c>
      <c r="C29" s="170">
        <v>2135594</v>
      </c>
      <c r="D29" s="170">
        <v>2135594</v>
      </c>
      <c r="E29" s="155">
        <f t="shared" si="4"/>
        <v>30.62841345491224</v>
      </c>
      <c r="F29" s="155">
        <f t="shared" si="5"/>
        <v>100</v>
      </c>
      <c r="G29" s="170">
        <f>D29-'[2]Marts'!D29</f>
        <v>616266</v>
      </c>
      <c r="I29" s="160" t="s">
        <v>229</v>
      </c>
      <c r="J29" s="163">
        <v>6973</v>
      </c>
      <c r="K29" s="163">
        <v>2767</v>
      </c>
      <c r="L29" s="163">
        <v>2767</v>
      </c>
      <c r="M29" s="164">
        <v>39.681629140972326</v>
      </c>
      <c r="N29" s="164">
        <v>100</v>
      </c>
      <c r="O29" s="163">
        <v>631</v>
      </c>
      <c r="Q29" s="159">
        <f t="shared" si="1"/>
        <v>2767</v>
      </c>
      <c r="R29" s="145">
        <v>1519</v>
      </c>
      <c r="S29" s="145">
        <f t="shared" si="2"/>
        <v>1248</v>
      </c>
    </row>
    <row r="30" spans="1:19" ht="12.75" customHeight="1">
      <c r="A30" s="160" t="s">
        <v>231</v>
      </c>
      <c r="B30" s="170">
        <v>240000</v>
      </c>
      <c r="C30" s="170">
        <v>103332</v>
      </c>
      <c r="D30" s="170">
        <v>117721.2</v>
      </c>
      <c r="E30" s="155">
        <f t="shared" si="4"/>
        <v>49.0505</v>
      </c>
      <c r="F30" s="155">
        <f t="shared" si="5"/>
        <v>113.92521193821857</v>
      </c>
      <c r="G30" s="170">
        <v>24452.73</v>
      </c>
      <c r="I30" s="160" t="s">
        <v>231</v>
      </c>
      <c r="J30" s="163">
        <v>240</v>
      </c>
      <c r="K30" s="163">
        <v>126</v>
      </c>
      <c r="L30" s="163">
        <v>141</v>
      </c>
      <c r="M30" s="164">
        <v>58.75</v>
      </c>
      <c r="N30" s="164">
        <v>111.90476190476191</v>
      </c>
      <c r="O30" s="163">
        <v>23</v>
      </c>
      <c r="Q30" s="159">
        <f t="shared" si="1"/>
        <v>141</v>
      </c>
      <c r="R30" s="145">
        <v>93</v>
      </c>
      <c r="S30" s="145">
        <f t="shared" si="2"/>
        <v>48</v>
      </c>
    </row>
    <row r="31" spans="1:19" ht="12.75" customHeight="1">
      <c r="A31" s="166" t="s">
        <v>233</v>
      </c>
      <c r="B31" s="172">
        <f>SUM(B32:B33)</f>
        <v>7212591</v>
      </c>
      <c r="C31" s="172">
        <f>SUM(C32:C33)</f>
        <v>2238926</v>
      </c>
      <c r="D31" s="172">
        <f>SUM(D32:D33)</f>
        <v>2004348.87</v>
      </c>
      <c r="E31" s="154">
        <f t="shared" si="4"/>
        <v>27.789581718968954</v>
      </c>
      <c r="F31" s="154">
        <f t="shared" si="5"/>
        <v>89.52278324518095</v>
      </c>
      <c r="G31" s="172">
        <f>SUM(G32:G33)</f>
        <v>510058.2300000001</v>
      </c>
      <c r="I31" s="166" t="s">
        <v>233</v>
      </c>
      <c r="J31" s="152">
        <v>7213</v>
      </c>
      <c r="K31" s="152">
        <v>2893</v>
      </c>
      <c r="L31" s="152">
        <v>2547</v>
      </c>
      <c r="M31" s="162">
        <v>35.311243587966175</v>
      </c>
      <c r="N31" s="162">
        <v>88.04009678534393</v>
      </c>
      <c r="O31" s="152">
        <v>543</v>
      </c>
      <c r="Q31" s="159">
        <f t="shared" si="1"/>
        <v>2547</v>
      </c>
      <c r="R31" s="145">
        <v>1494</v>
      </c>
      <c r="S31" s="145">
        <f t="shared" si="2"/>
        <v>1053</v>
      </c>
    </row>
    <row r="32" spans="1:19" ht="12.75" customHeight="1">
      <c r="A32" s="168" t="s">
        <v>234</v>
      </c>
      <c r="B32" s="170">
        <v>5998635</v>
      </c>
      <c r="C32" s="170">
        <v>1799167</v>
      </c>
      <c r="D32" s="170">
        <v>1690120.83</v>
      </c>
      <c r="E32" s="155">
        <f t="shared" si="4"/>
        <v>28.175090333050772</v>
      </c>
      <c r="F32" s="155">
        <f t="shared" si="5"/>
        <v>93.93907458284862</v>
      </c>
      <c r="G32" s="170">
        <f>D32-'[2]Marts'!D32</f>
        <v>436896.14000000013</v>
      </c>
      <c r="I32" s="168" t="s">
        <v>234</v>
      </c>
      <c r="J32" s="163">
        <v>5999</v>
      </c>
      <c r="K32" s="163">
        <v>2332</v>
      </c>
      <c r="L32" s="163">
        <v>2171</v>
      </c>
      <c r="M32" s="164">
        <v>36.18936489414902</v>
      </c>
      <c r="N32" s="164">
        <v>93.09605488850772</v>
      </c>
      <c r="O32" s="163">
        <v>481</v>
      </c>
      <c r="Q32" s="159">
        <f t="shared" si="1"/>
        <v>2171</v>
      </c>
      <c r="R32" s="145">
        <v>1253</v>
      </c>
      <c r="S32" s="145">
        <f t="shared" si="2"/>
        <v>918</v>
      </c>
    </row>
    <row r="33" spans="1:19" ht="12.75" customHeight="1">
      <c r="A33" s="168" t="s">
        <v>235</v>
      </c>
      <c r="B33" s="170">
        <v>1213956</v>
      </c>
      <c r="C33" s="170">
        <v>439759</v>
      </c>
      <c r="D33" s="170">
        <v>314228.04</v>
      </c>
      <c r="E33" s="155">
        <f t="shared" si="4"/>
        <v>25.88463173294584</v>
      </c>
      <c r="F33" s="155">
        <f t="shared" si="5"/>
        <v>71.4546012702412</v>
      </c>
      <c r="G33" s="170">
        <f>D33-'[2]Marts'!D33</f>
        <v>73162.08999999997</v>
      </c>
      <c r="I33" s="168" t="s">
        <v>235</v>
      </c>
      <c r="J33" s="163">
        <v>1214</v>
      </c>
      <c r="K33" s="163">
        <v>561</v>
      </c>
      <c r="L33" s="163">
        <v>376</v>
      </c>
      <c r="M33" s="164">
        <v>30.971993410214164</v>
      </c>
      <c r="N33" s="164">
        <v>67.02317290552585</v>
      </c>
      <c r="O33" s="163">
        <v>62</v>
      </c>
      <c r="Q33" s="159">
        <f t="shared" si="1"/>
        <v>376</v>
      </c>
      <c r="R33" s="145">
        <v>241</v>
      </c>
      <c r="S33" s="145">
        <f t="shared" si="2"/>
        <v>135</v>
      </c>
    </row>
    <row r="34" spans="1:19" ht="12.75" customHeight="1">
      <c r="A34" s="166" t="s">
        <v>243</v>
      </c>
      <c r="B34" s="170"/>
      <c r="C34" s="170"/>
      <c r="D34" s="170"/>
      <c r="E34" s="170"/>
      <c r="F34" s="170"/>
      <c r="G34" s="170"/>
      <c r="I34" s="166" t="s">
        <v>244</v>
      </c>
      <c r="J34" s="170"/>
      <c r="K34" s="170"/>
      <c r="L34" s="170"/>
      <c r="M34" s="164"/>
      <c r="N34" s="164"/>
      <c r="O34" s="170"/>
      <c r="Q34" s="159">
        <f t="shared" si="1"/>
        <v>0</v>
      </c>
      <c r="S34" s="145">
        <f t="shared" si="2"/>
        <v>0</v>
      </c>
    </row>
    <row r="35" spans="1:19" ht="12.75" customHeight="1">
      <c r="A35" s="160" t="s">
        <v>228</v>
      </c>
      <c r="B35" s="170">
        <f>SUM(B36:B38)</f>
        <v>3622702</v>
      </c>
      <c r="C35" s="170">
        <f>SUM(C36:C38)</f>
        <v>1280044</v>
      </c>
      <c r="D35" s="170">
        <f>SUM(D36:D38)</f>
        <v>999043.98</v>
      </c>
      <c r="E35" s="155">
        <f aca="true" t="shared" si="6" ref="E35:E41">IF(ISERROR(D35/B35)," ",(D35/B35))*100</f>
        <v>27.577316047524747</v>
      </c>
      <c r="F35" s="155">
        <f aca="true" t="shared" si="7" ref="F35:F41">IF(ISERROR(D35/C35)," ",(D35/C35))*100</f>
        <v>78.04762805028577</v>
      </c>
      <c r="G35" s="170">
        <f>SUM(G36:G38)</f>
        <v>261923.32</v>
      </c>
      <c r="I35" s="160" t="s">
        <v>228</v>
      </c>
      <c r="J35" s="152">
        <v>3623</v>
      </c>
      <c r="K35" s="152">
        <v>1582</v>
      </c>
      <c r="L35" s="152">
        <v>1288</v>
      </c>
      <c r="M35" s="162">
        <v>35.550648633728954</v>
      </c>
      <c r="N35" s="162">
        <v>81.41592920353983</v>
      </c>
      <c r="O35" s="152">
        <v>288</v>
      </c>
      <c r="Q35" s="159">
        <f t="shared" si="1"/>
        <v>1288</v>
      </c>
      <c r="R35" s="145">
        <v>737</v>
      </c>
      <c r="S35" s="145">
        <f t="shared" si="2"/>
        <v>551</v>
      </c>
    </row>
    <row r="36" spans="1:19" ht="12.75" customHeight="1">
      <c r="A36" s="160" t="s">
        <v>229</v>
      </c>
      <c r="B36" s="170">
        <v>3048776</v>
      </c>
      <c r="C36" s="170">
        <v>912803</v>
      </c>
      <c r="D36" s="170">
        <v>912803</v>
      </c>
      <c r="E36" s="155">
        <f t="shared" si="6"/>
        <v>29.939982471654197</v>
      </c>
      <c r="F36" s="155">
        <f t="shared" si="7"/>
        <v>100</v>
      </c>
      <c r="G36" s="170">
        <f>D36-'[2]Marts'!D36</f>
        <v>248475</v>
      </c>
      <c r="I36" s="160" t="s">
        <v>229</v>
      </c>
      <c r="J36" s="163">
        <v>3049</v>
      </c>
      <c r="K36" s="163">
        <v>1189</v>
      </c>
      <c r="L36" s="163">
        <v>1189</v>
      </c>
      <c r="M36" s="164">
        <v>38.99639225975729</v>
      </c>
      <c r="N36" s="164">
        <v>100</v>
      </c>
      <c r="O36" s="163">
        <v>276</v>
      </c>
      <c r="Q36" s="159">
        <f t="shared" si="1"/>
        <v>1189</v>
      </c>
      <c r="R36" s="145">
        <v>664</v>
      </c>
      <c r="S36" s="145">
        <f t="shared" si="2"/>
        <v>525</v>
      </c>
    </row>
    <row r="37" spans="1:19" ht="12.75" customHeight="1">
      <c r="A37" s="160" t="s">
        <v>231</v>
      </c>
      <c r="B37" s="170">
        <v>312000</v>
      </c>
      <c r="C37" s="170">
        <v>105315</v>
      </c>
      <c r="D37" s="170">
        <v>86240.98</v>
      </c>
      <c r="E37" s="155">
        <f t="shared" si="6"/>
        <v>27.641339743589743</v>
      </c>
      <c r="F37" s="155">
        <f t="shared" si="7"/>
        <v>81.88860086407443</v>
      </c>
      <c r="G37" s="170">
        <f>D37-'[2]Marts'!D37</f>
        <v>13448.319999999992</v>
      </c>
      <c r="I37" s="160" t="s">
        <v>231</v>
      </c>
      <c r="J37" s="163">
        <v>312</v>
      </c>
      <c r="K37" s="163">
        <v>131</v>
      </c>
      <c r="L37" s="163">
        <v>99</v>
      </c>
      <c r="M37" s="164">
        <v>31.73076923076923</v>
      </c>
      <c r="N37" s="164">
        <v>75.57251908396947</v>
      </c>
      <c r="O37" s="163">
        <v>12</v>
      </c>
      <c r="Q37" s="159">
        <f t="shared" si="1"/>
        <v>99</v>
      </c>
      <c r="R37" s="145">
        <v>73</v>
      </c>
      <c r="S37" s="145">
        <f t="shared" si="2"/>
        <v>26</v>
      </c>
    </row>
    <row r="38" spans="1:19" ht="12.75" customHeight="1">
      <c r="A38" s="160" t="s">
        <v>232</v>
      </c>
      <c r="B38" s="170">
        <v>261926</v>
      </c>
      <c r="C38" s="170">
        <v>261926</v>
      </c>
      <c r="D38" s="170">
        <v>0</v>
      </c>
      <c r="E38" s="155">
        <f t="shared" si="6"/>
        <v>0</v>
      </c>
      <c r="F38" s="155">
        <f t="shared" si="7"/>
        <v>0</v>
      </c>
      <c r="G38" s="170">
        <f>D38-'[2]Marts'!D38</f>
        <v>0</v>
      </c>
      <c r="I38" s="160" t="s">
        <v>232</v>
      </c>
      <c r="J38" s="163">
        <v>262</v>
      </c>
      <c r="K38" s="163">
        <v>262</v>
      </c>
      <c r="L38" s="163"/>
      <c r="M38" s="164"/>
      <c r="N38" s="164"/>
      <c r="O38" s="163"/>
      <c r="Q38" s="159">
        <f t="shared" si="1"/>
        <v>0</v>
      </c>
      <c r="R38" s="145">
        <v>0</v>
      </c>
      <c r="S38" s="145">
        <f t="shared" si="2"/>
        <v>0</v>
      </c>
    </row>
    <row r="39" spans="1:19" ht="12.75" customHeight="1">
      <c r="A39" s="166" t="s">
        <v>233</v>
      </c>
      <c r="B39" s="172">
        <f>SUM(B40:B41)</f>
        <v>3622702</v>
      </c>
      <c r="C39" s="172">
        <f>SUM(C40:C41)</f>
        <v>1280044</v>
      </c>
      <c r="D39" s="172">
        <f>SUM(D40:D41)</f>
        <v>984820.53</v>
      </c>
      <c r="E39" s="155">
        <f t="shared" si="6"/>
        <v>27.184696119084595</v>
      </c>
      <c r="F39" s="155">
        <f t="shared" si="7"/>
        <v>76.93645921546447</v>
      </c>
      <c r="G39" s="172">
        <f>SUM(G40:G41)</f>
        <v>273249.51</v>
      </c>
      <c r="I39" s="166" t="s">
        <v>233</v>
      </c>
      <c r="J39" s="152">
        <v>3622</v>
      </c>
      <c r="K39" s="152">
        <v>1582</v>
      </c>
      <c r="L39" s="152">
        <v>1259</v>
      </c>
      <c r="M39" s="162">
        <v>34.75980121479845</v>
      </c>
      <c r="N39" s="162">
        <v>79.58280657395701</v>
      </c>
      <c r="O39" s="152">
        <v>275</v>
      </c>
      <c r="Q39" s="159">
        <f t="shared" si="1"/>
        <v>1259</v>
      </c>
      <c r="R39" s="145">
        <v>711</v>
      </c>
      <c r="S39" s="145">
        <f t="shared" si="2"/>
        <v>548</v>
      </c>
    </row>
    <row r="40" spans="1:19" ht="12.75" customHeight="1">
      <c r="A40" s="168" t="s">
        <v>234</v>
      </c>
      <c r="B40" s="170">
        <v>3494402</v>
      </c>
      <c r="C40" s="170">
        <v>1240044</v>
      </c>
      <c r="D40" s="170">
        <v>946497.14</v>
      </c>
      <c r="E40" s="155">
        <f t="shared" si="6"/>
        <v>27.086097707132723</v>
      </c>
      <c r="F40" s="155">
        <f t="shared" si="7"/>
        <v>76.32770611365403</v>
      </c>
      <c r="G40" s="170">
        <f>D40-'[2]Marts'!D40</f>
        <v>264029.9</v>
      </c>
      <c r="I40" s="168" t="s">
        <v>234</v>
      </c>
      <c r="J40" s="163">
        <v>3494</v>
      </c>
      <c r="K40" s="163">
        <v>1532</v>
      </c>
      <c r="L40" s="163">
        <v>1211</v>
      </c>
      <c r="M40" s="164">
        <v>34.65941614195764</v>
      </c>
      <c r="N40" s="164">
        <v>79.04699738903395</v>
      </c>
      <c r="O40" s="163">
        <v>265</v>
      </c>
      <c r="Q40" s="159">
        <f t="shared" si="1"/>
        <v>1211</v>
      </c>
      <c r="R40" s="145">
        <v>682</v>
      </c>
      <c r="S40" s="145">
        <f t="shared" si="2"/>
        <v>529</v>
      </c>
    </row>
    <row r="41" spans="1:19" ht="12.75" customHeight="1">
      <c r="A41" s="168" t="s">
        <v>235</v>
      </c>
      <c r="B41" s="170">
        <v>128300</v>
      </c>
      <c r="C41" s="170">
        <v>40000</v>
      </c>
      <c r="D41" s="170">
        <v>38323.39</v>
      </c>
      <c r="E41" s="155">
        <f t="shared" si="6"/>
        <v>29.870140296180825</v>
      </c>
      <c r="F41" s="155">
        <f t="shared" si="7"/>
        <v>95.808475</v>
      </c>
      <c r="G41" s="170">
        <f>D41-'[2]Marts'!D41</f>
        <v>9219.61</v>
      </c>
      <c r="I41" s="168" t="s">
        <v>235</v>
      </c>
      <c r="J41" s="163">
        <v>128</v>
      </c>
      <c r="K41" s="163">
        <v>50</v>
      </c>
      <c r="L41" s="163">
        <v>48</v>
      </c>
      <c r="M41" s="164">
        <v>37.5</v>
      </c>
      <c r="N41" s="164">
        <v>96</v>
      </c>
      <c r="O41" s="163">
        <v>10</v>
      </c>
      <c r="Q41" s="159">
        <f t="shared" si="1"/>
        <v>48</v>
      </c>
      <c r="R41" s="145">
        <v>29</v>
      </c>
      <c r="S41" s="145">
        <f t="shared" si="2"/>
        <v>19</v>
      </c>
    </row>
    <row r="42" spans="1:19" ht="12.75" customHeight="1">
      <c r="A42" s="166" t="s">
        <v>245</v>
      </c>
      <c r="B42" s="170"/>
      <c r="C42" s="170"/>
      <c r="D42" s="170"/>
      <c r="E42" s="170"/>
      <c r="F42" s="170"/>
      <c r="G42" s="170"/>
      <c r="I42" s="166" t="s">
        <v>246</v>
      </c>
      <c r="J42" s="170"/>
      <c r="K42" s="170"/>
      <c r="L42" s="170"/>
      <c r="M42" s="164"/>
      <c r="N42" s="164"/>
      <c r="O42" s="170"/>
      <c r="Q42" s="159">
        <f t="shared" si="1"/>
        <v>0</v>
      </c>
      <c r="S42" s="145">
        <f t="shared" si="2"/>
        <v>0</v>
      </c>
    </row>
    <row r="43" spans="1:19" ht="12.75" customHeight="1">
      <c r="A43" s="160" t="s">
        <v>228</v>
      </c>
      <c r="B43" s="170">
        <f>SUM(B44:B45)</f>
        <v>48424727</v>
      </c>
      <c r="C43" s="170">
        <f>SUM(C44:C45)</f>
        <v>15979859</v>
      </c>
      <c r="D43" s="170">
        <f>SUM(D44:D45)</f>
        <v>15889129.74</v>
      </c>
      <c r="E43" s="155">
        <f aca="true" t="shared" si="8" ref="E43:E48">IF(ISERROR(D43/B43)," ",(D43/B43))*100</f>
        <v>32.81201717461412</v>
      </c>
      <c r="F43" s="155">
        <f aca="true" t="shared" si="9" ref="F43:F48">IF(ISERROR(D43/C43)," ",(D43/C43))*100</f>
        <v>99.43222740576122</v>
      </c>
      <c r="G43" s="170">
        <f>SUM(G44:G45)</f>
        <v>4131588.66</v>
      </c>
      <c r="I43" s="160" t="s">
        <v>228</v>
      </c>
      <c r="J43" s="152">
        <v>48425</v>
      </c>
      <c r="K43" s="152">
        <v>20410</v>
      </c>
      <c r="L43" s="152">
        <v>20313</v>
      </c>
      <c r="M43" s="162">
        <v>41.94734124935467</v>
      </c>
      <c r="N43" s="162">
        <v>99.52474277315042</v>
      </c>
      <c r="O43" s="152">
        <v>4424</v>
      </c>
      <c r="Q43" s="159">
        <f t="shared" si="1"/>
        <v>20313</v>
      </c>
      <c r="R43" s="145">
        <v>11758</v>
      </c>
      <c r="S43" s="145">
        <f t="shared" si="2"/>
        <v>8555</v>
      </c>
    </row>
    <row r="44" spans="1:19" ht="12.75" customHeight="1">
      <c r="A44" s="160" t="s">
        <v>229</v>
      </c>
      <c r="B44" s="170">
        <v>46214691</v>
      </c>
      <c r="C44" s="170">
        <v>15324792</v>
      </c>
      <c r="D44" s="170">
        <v>15324792</v>
      </c>
      <c r="E44" s="155">
        <f t="shared" si="8"/>
        <v>33.16000100487527</v>
      </c>
      <c r="F44" s="155">
        <f t="shared" si="9"/>
        <v>100</v>
      </c>
      <c r="G44" s="170">
        <f>D44-'[2]Marts'!D44</f>
        <v>3979085</v>
      </c>
      <c r="I44" s="160" t="s">
        <v>229</v>
      </c>
      <c r="J44" s="163">
        <v>46215</v>
      </c>
      <c r="K44" s="163">
        <v>19609</v>
      </c>
      <c r="L44" s="163">
        <v>19609</v>
      </c>
      <c r="M44" s="164">
        <v>42.42994698690901</v>
      </c>
      <c r="N44" s="164">
        <v>100</v>
      </c>
      <c r="O44" s="163">
        <v>4284</v>
      </c>
      <c r="Q44" s="159">
        <f t="shared" si="1"/>
        <v>19609</v>
      </c>
      <c r="R44" s="145">
        <v>11346</v>
      </c>
      <c r="S44" s="145">
        <f t="shared" si="2"/>
        <v>8263</v>
      </c>
    </row>
    <row r="45" spans="1:19" ht="12.75" customHeight="1">
      <c r="A45" s="160" t="s">
        <v>231</v>
      </c>
      <c r="B45" s="170">
        <v>2210036</v>
      </c>
      <c r="C45" s="170">
        <v>655067</v>
      </c>
      <c r="D45" s="170">
        <v>564337.74</v>
      </c>
      <c r="E45" s="155">
        <f t="shared" si="8"/>
        <v>25.535228385419966</v>
      </c>
      <c r="F45" s="155">
        <f t="shared" si="9"/>
        <v>86.14962133644345</v>
      </c>
      <c r="G45" s="170">
        <f>D45-'[2]Marts'!D45</f>
        <v>152503.65999999997</v>
      </c>
      <c r="I45" s="160" t="s">
        <v>231</v>
      </c>
      <c r="J45" s="163">
        <v>2210</v>
      </c>
      <c r="K45" s="163">
        <v>801</v>
      </c>
      <c r="L45" s="163">
        <v>704</v>
      </c>
      <c r="M45" s="164">
        <v>31.8552036199095</v>
      </c>
      <c r="N45" s="164">
        <v>87.89013732833958</v>
      </c>
      <c r="O45" s="163">
        <v>140</v>
      </c>
      <c r="Q45" s="159">
        <f t="shared" si="1"/>
        <v>704</v>
      </c>
      <c r="R45" s="145">
        <v>412</v>
      </c>
      <c r="S45" s="145">
        <f t="shared" si="2"/>
        <v>292</v>
      </c>
    </row>
    <row r="46" spans="1:19" ht="12.75" customHeight="1">
      <c r="A46" s="166" t="s">
        <v>233</v>
      </c>
      <c r="B46" s="172">
        <f>SUM(B47:B48)</f>
        <v>48424727</v>
      </c>
      <c r="C46" s="172">
        <f>SUM(C47:C48)</f>
        <v>15979859</v>
      </c>
      <c r="D46" s="172">
        <f>SUM(D47:D48)</f>
        <v>14758958.790000001</v>
      </c>
      <c r="E46" s="155">
        <f t="shared" si="8"/>
        <v>30.47814557632922</v>
      </c>
      <c r="F46" s="155">
        <f t="shared" si="9"/>
        <v>92.35975605291637</v>
      </c>
      <c r="G46" s="172">
        <f>SUM(G47:G48)</f>
        <v>3765515.8600000013</v>
      </c>
      <c r="I46" s="166" t="s">
        <v>233</v>
      </c>
      <c r="J46" s="152">
        <v>48425</v>
      </c>
      <c r="K46" s="152">
        <v>20410</v>
      </c>
      <c r="L46" s="152">
        <v>18930</v>
      </c>
      <c r="M46" s="162">
        <v>39.09137842023748</v>
      </c>
      <c r="N46" s="162">
        <v>92.74865262126409</v>
      </c>
      <c r="O46" s="152">
        <v>4171</v>
      </c>
      <c r="Q46" s="159">
        <f t="shared" si="1"/>
        <v>18930</v>
      </c>
      <c r="R46" s="145">
        <v>10993</v>
      </c>
      <c r="S46" s="145">
        <f t="shared" si="2"/>
        <v>7937</v>
      </c>
    </row>
    <row r="47" spans="1:19" ht="12.75" customHeight="1">
      <c r="A47" s="128" t="s">
        <v>234</v>
      </c>
      <c r="B47" s="170">
        <v>43901860</v>
      </c>
      <c r="C47" s="170">
        <v>14664869</v>
      </c>
      <c r="D47" s="170">
        <v>13696980.56</v>
      </c>
      <c r="E47" s="155">
        <f t="shared" si="8"/>
        <v>31.199089423546067</v>
      </c>
      <c r="F47" s="155">
        <f t="shared" si="9"/>
        <v>93.39995168044119</v>
      </c>
      <c r="G47" s="170">
        <f>D47-'[2]Marts'!D47</f>
        <v>3445120.530000001</v>
      </c>
      <c r="I47" s="128" t="s">
        <v>234</v>
      </c>
      <c r="J47" s="163">
        <v>43902</v>
      </c>
      <c r="K47" s="163">
        <v>18566</v>
      </c>
      <c r="L47" s="163">
        <v>17298</v>
      </c>
      <c r="M47" s="164">
        <v>39.40139401394014</v>
      </c>
      <c r="N47" s="164">
        <v>93.17031132177098</v>
      </c>
      <c r="O47" s="163">
        <v>3601</v>
      </c>
      <c r="Q47" s="159">
        <f t="shared" si="1"/>
        <v>17298</v>
      </c>
      <c r="R47" s="145">
        <v>10252</v>
      </c>
      <c r="S47" s="145">
        <f t="shared" si="2"/>
        <v>7046</v>
      </c>
    </row>
    <row r="48" spans="1:19" ht="12.75" customHeight="1">
      <c r="A48" s="128" t="s">
        <v>235</v>
      </c>
      <c r="B48" s="170">
        <v>4522867</v>
      </c>
      <c r="C48" s="170">
        <v>1314990</v>
      </c>
      <c r="D48" s="170">
        <v>1061978.23</v>
      </c>
      <c r="E48" s="155">
        <f t="shared" si="8"/>
        <v>23.480200280043608</v>
      </c>
      <c r="F48" s="155">
        <f t="shared" si="9"/>
        <v>80.75941490049354</v>
      </c>
      <c r="G48" s="170">
        <f>D48-'[2]Marts'!D48</f>
        <v>320395.32999999996</v>
      </c>
      <c r="I48" s="128" t="s">
        <v>235</v>
      </c>
      <c r="J48" s="163">
        <v>4523</v>
      </c>
      <c r="K48" s="163">
        <v>1844</v>
      </c>
      <c r="L48" s="163">
        <v>1632</v>
      </c>
      <c r="M48" s="164">
        <v>36.082246296705726</v>
      </c>
      <c r="N48" s="164">
        <v>88.50325379609545</v>
      </c>
      <c r="O48" s="163">
        <v>570</v>
      </c>
      <c r="Q48" s="159">
        <f t="shared" si="1"/>
        <v>1632</v>
      </c>
      <c r="R48" s="145">
        <v>741</v>
      </c>
      <c r="S48" s="145">
        <f t="shared" si="2"/>
        <v>891</v>
      </c>
    </row>
    <row r="49" spans="1:19" ht="12.75" customHeight="1">
      <c r="A49" s="166" t="s">
        <v>247</v>
      </c>
      <c r="B49" s="170"/>
      <c r="C49" s="170"/>
      <c r="D49" s="170"/>
      <c r="E49" s="155"/>
      <c r="F49" s="170"/>
      <c r="G49" s="170"/>
      <c r="I49" s="166" t="s">
        <v>248</v>
      </c>
      <c r="J49" s="170"/>
      <c r="K49" s="170"/>
      <c r="L49" s="170"/>
      <c r="M49" s="164"/>
      <c r="N49" s="164"/>
      <c r="O49" s="170"/>
      <c r="Q49" s="159">
        <f t="shared" si="1"/>
        <v>0</v>
      </c>
      <c r="S49" s="145">
        <f t="shared" si="2"/>
        <v>0</v>
      </c>
    </row>
    <row r="50" spans="1:19" ht="12.75" customHeight="1">
      <c r="A50" s="160" t="s">
        <v>228</v>
      </c>
      <c r="B50" s="170">
        <f>SUM(B51:B52)</f>
        <v>11043968</v>
      </c>
      <c r="C50" s="170">
        <f>SUM(C51:C52)</f>
        <v>3789958</v>
      </c>
      <c r="D50" s="170">
        <f>SUM(D51:D52)</f>
        <v>3799072.09</v>
      </c>
      <c r="E50" s="155">
        <f aca="true" t="shared" si="10" ref="E50:E55">IF(ISERROR(D50/B50)," ",(D50/B50))*100</f>
        <v>34.39952098738424</v>
      </c>
      <c r="F50" s="155">
        <f aca="true" t="shared" si="11" ref="F50:F55">IF(ISERROR(D50/C50)," ",(D50/C50))*100</f>
        <v>100.2404799736567</v>
      </c>
      <c r="G50" s="170">
        <f>SUM(G51:G52)</f>
        <v>921085.58</v>
      </c>
      <c r="I50" s="160" t="s">
        <v>228</v>
      </c>
      <c r="J50" s="152">
        <v>11044</v>
      </c>
      <c r="K50" s="152">
        <v>4780</v>
      </c>
      <c r="L50" s="152">
        <v>4780</v>
      </c>
      <c r="M50" s="162">
        <v>43.28141977544368</v>
      </c>
      <c r="N50" s="162">
        <v>100</v>
      </c>
      <c r="O50" s="152">
        <v>982</v>
      </c>
      <c r="Q50" s="159">
        <f t="shared" si="1"/>
        <v>4780</v>
      </c>
      <c r="R50" s="145">
        <v>2878</v>
      </c>
      <c r="S50" s="145">
        <f t="shared" si="2"/>
        <v>1902</v>
      </c>
    </row>
    <row r="51" spans="1:19" ht="12.75" customHeight="1">
      <c r="A51" s="160" t="s">
        <v>229</v>
      </c>
      <c r="B51" s="170">
        <v>10847968</v>
      </c>
      <c r="C51" s="170">
        <v>3726208</v>
      </c>
      <c r="D51" s="170">
        <v>3726208</v>
      </c>
      <c r="E51" s="155">
        <f t="shared" si="10"/>
        <v>34.34936386243027</v>
      </c>
      <c r="F51" s="155">
        <f t="shared" si="11"/>
        <v>100</v>
      </c>
      <c r="G51" s="170">
        <f>D51-'[2]Marts'!D51</f>
        <v>884109</v>
      </c>
      <c r="I51" s="160" t="s">
        <v>229</v>
      </c>
      <c r="J51" s="163">
        <v>10848</v>
      </c>
      <c r="K51" s="163">
        <v>4708</v>
      </c>
      <c r="L51" s="163">
        <v>4708</v>
      </c>
      <c r="M51" s="164">
        <v>43.399705014749266</v>
      </c>
      <c r="N51" s="164">
        <v>100</v>
      </c>
      <c r="O51" s="163">
        <v>982</v>
      </c>
      <c r="Q51" s="159">
        <f t="shared" si="1"/>
        <v>4708</v>
      </c>
      <c r="R51" s="145">
        <v>2842</v>
      </c>
      <c r="S51" s="145">
        <f t="shared" si="2"/>
        <v>1866</v>
      </c>
    </row>
    <row r="52" spans="1:19" ht="12.75" customHeight="1">
      <c r="A52" s="160" t="s">
        <v>231</v>
      </c>
      <c r="B52" s="170">
        <v>196000</v>
      </c>
      <c r="C52" s="170">
        <v>63750</v>
      </c>
      <c r="D52" s="170">
        <v>72864.09</v>
      </c>
      <c r="E52" s="155">
        <f t="shared" si="10"/>
        <v>37.175556122448974</v>
      </c>
      <c r="F52" s="155">
        <f t="shared" si="11"/>
        <v>114.29661176470587</v>
      </c>
      <c r="G52" s="170">
        <f>D52-'[2]Marts'!D52</f>
        <v>36976.579999999994</v>
      </c>
      <c r="I52" s="160" t="s">
        <v>231</v>
      </c>
      <c r="J52" s="163">
        <v>196</v>
      </c>
      <c r="K52" s="163">
        <v>72</v>
      </c>
      <c r="L52" s="163">
        <v>72</v>
      </c>
      <c r="M52" s="164">
        <v>36.734693877551024</v>
      </c>
      <c r="N52" s="164">
        <v>100</v>
      </c>
      <c r="O52" s="163">
        <v>0</v>
      </c>
      <c r="Q52" s="159">
        <f t="shared" si="1"/>
        <v>72</v>
      </c>
      <c r="R52" s="145">
        <v>36</v>
      </c>
      <c r="S52" s="145">
        <f t="shared" si="2"/>
        <v>36</v>
      </c>
    </row>
    <row r="53" spans="1:19" ht="12.75" customHeight="1">
      <c r="A53" s="166" t="s">
        <v>233</v>
      </c>
      <c r="B53" s="172">
        <f>SUM(B54:B55)</f>
        <v>11043968</v>
      </c>
      <c r="C53" s="172">
        <f>SUM(C54:C55)</f>
        <v>3789958</v>
      </c>
      <c r="D53" s="172">
        <f>SUM(D54:D55)</f>
        <v>3678963.2399999998</v>
      </c>
      <c r="E53" s="155">
        <f t="shared" si="10"/>
        <v>33.31196939360925</v>
      </c>
      <c r="F53" s="155">
        <f t="shared" si="11"/>
        <v>97.07134590937419</v>
      </c>
      <c r="G53" s="172">
        <f>SUM(G54:G55)</f>
        <v>923824.5399999996</v>
      </c>
      <c r="I53" s="166" t="s">
        <v>233</v>
      </c>
      <c r="J53" s="152">
        <v>11044</v>
      </c>
      <c r="K53" s="152">
        <v>4779</v>
      </c>
      <c r="L53" s="152">
        <v>4643</v>
      </c>
      <c r="M53" s="162">
        <v>42.04092720028975</v>
      </c>
      <c r="N53" s="162">
        <v>97.15421636325591</v>
      </c>
      <c r="O53" s="152">
        <v>964</v>
      </c>
      <c r="Q53" s="159">
        <f t="shared" si="1"/>
        <v>4643</v>
      </c>
      <c r="R53" s="145">
        <v>2755</v>
      </c>
      <c r="S53" s="145">
        <f t="shared" si="2"/>
        <v>1888</v>
      </c>
    </row>
    <row r="54" spans="1:19" ht="12.75" customHeight="1">
      <c r="A54" s="128" t="s">
        <v>234</v>
      </c>
      <c r="B54" s="170">
        <v>10475758</v>
      </c>
      <c r="C54" s="170">
        <v>3591146</v>
      </c>
      <c r="D54" s="170">
        <v>3559669.53</v>
      </c>
      <c r="E54" s="155">
        <f t="shared" si="10"/>
        <v>33.980066454379724</v>
      </c>
      <c r="F54" s="155">
        <f t="shared" si="11"/>
        <v>99.12349790289784</v>
      </c>
      <c r="G54" s="170">
        <f>D54-'[2]Marts'!D54</f>
        <v>891383.8299999996</v>
      </c>
      <c r="I54" s="128" t="s">
        <v>234</v>
      </c>
      <c r="J54" s="163">
        <v>10476</v>
      </c>
      <c r="K54" s="163">
        <v>4520</v>
      </c>
      <c r="L54" s="163">
        <v>4503</v>
      </c>
      <c r="M54" s="164">
        <v>42.98396334478809</v>
      </c>
      <c r="N54" s="164">
        <v>99.62389380530973</v>
      </c>
      <c r="O54" s="163">
        <v>943</v>
      </c>
      <c r="Q54" s="159">
        <f t="shared" si="1"/>
        <v>4503</v>
      </c>
      <c r="R54" s="145">
        <v>2668</v>
      </c>
      <c r="S54" s="145">
        <f t="shared" si="2"/>
        <v>1835</v>
      </c>
    </row>
    <row r="55" spans="1:19" ht="12.75" customHeight="1">
      <c r="A55" s="128" t="s">
        <v>235</v>
      </c>
      <c r="B55" s="170">
        <v>568210</v>
      </c>
      <c r="C55" s="170">
        <v>198812</v>
      </c>
      <c r="D55" s="170">
        <v>119293.71</v>
      </c>
      <c r="E55" s="155">
        <f t="shared" si="10"/>
        <v>20.99465162527939</v>
      </c>
      <c r="F55" s="155">
        <f t="shared" si="11"/>
        <v>60.0032744502344</v>
      </c>
      <c r="G55" s="170">
        <f>D55-'[2]Marts'!D55</f>
        <v>32440.710000000006</v>
      </c>
      <c r="I55" s="128" t="s">
        <v>235</v>
      </c>
      <c r="J55" s="163">
        <v>568</v>
      </c>
      <c r="K55" s="163">
        <v>259</v>
      </c>
      <c r="L55" s="163">
        <v>140</v>
      </c>
      <c r="M55" s="164">
        <v>24.647887323943664</v>
      </c>
      <c r="N55" s="164">
        <v>54.054054054054056</v>
      </c>
      <c r="O55" s="163">
        <v>21</v>
      </c>
      <c r="Q55" s="159">
        <f t="shared" si="1"/>
        <v>140</v>
      </c>
      <c r="R55" s="145">
        <v>87</v>
      </c>
      <c r="S55" s="145">
        <f t="shared" si="2"/>
        <v>53</v>
      </c>
    </row>
    <row r="56" spans="1:19" ht="12.75" customHeight="1">
      <c r="A56" s="166" t="s">
        <v>249</v>
      </c>
      <c r="B56" s="170"/>
      <c r="C56" s="170"/>
      <c r="D56" s="170"/>
      <c r="E56" s="170"/>
      <c r="F56" s="170"/>
      <c r="G56" s="170"/>
      <c r="I56" s="166" t="s">
        <v>250</v>
      </c>
      <c r="J56" s="170"/>
      <c r="K56" s="170"/>
      <c r="L56" s="170"/>
      <c r="M56" s="164"/>
      <c r="N56" s="164"/>
      <c r="O56" s="170"/>
      <c r="Q56" s="159">
        <f t="shared" si="1"/>
        <v>0</v>
      </c>
      <c r="S56" s="145">
        <f t="shared" si="2"/>
        <v>0</v>
      </c>
    </row>
    <row r="57" spans="1:19" ht="12.75" customHeight="1">
      <c r="A57" s="160" t="s">
        <v>228</v>
      </c>
      <c r="B57" s="170">
        <f>SUM(B58:B61)</f>
        <v>11189389</v>
      </c>
      <c r="C57" s="170">
        <f>SUM(C58:C61)</f>
        <v>3828042</v>
      </c>
      <c r="D57" s="170">
        <f>SUM(D58:D61)</f>
        <v>1909883.12</v>
      </c>
      <c r="E57" s="155">
        <f aca="true" t="shared" si="12" ref="E57:E64">IF(ISERROR(D57/B57)," ",(D57/B57))*100</f>
        <v>17.068698925383682</v>
      </c>
      <c r="F57" s="155">
        <f aca="true" t="shared" si="13" ref="F57:F63">IF(ISERROR(D57/C57)," ",(D57/C57))*100</f>
        <v>49.89190609716403</v>
      </c>
      <c r="G57" s="170">
        <f>SUM(G58:G61)</f>
        <v>509069.11</v>
      </c>
      <c r="I57" s="160" t="s">
        <v>228</v>
      </c>
      <c r="J57" s="152">
        <v>11189</v>
      </c>
      <c r="K57" s="152">
        <v>4336</v>
      </c>
      <c r="L57" s="152">
        <v>2397</v>
      </c>
      <c r="M57" s="162">
        <v>21.42282598981142</v>
      </c>
      <c r="N57" s="162">
        <v>55.28136531365314</v>
      </c>
      <c r="O57" s="152">
        <v>488</v>
      </c>
      <c r="Q57" s="159">
        <f t="shared" si="1"/>
        <v>2397</v>
      </c>
      <c r="R57" s="145">
        <v>1399</v>
      </c>
      <c r="S57" s="145">
        <f t="shared" si="2"/>
        <v>998</v>
      </c>
    </row>
    <row r="58" spans="1:19" ht="12.75" customHeight="1">
      <c r="A58" s="160" t="s">
        <v>229</v>
      </c>
      <c r="B58" s="170">
        <v>4712447</v>
      </c>
      <c r="C58" s="170">
        <v>1485501</v>
      </c>
      <c r="D58" s="170">
        <v>1485501</v>
      </c>
      <c r="E58" s="155">
        <f t="shared" si="12"/>
        <v>31.522922167612705</v>
      </c>
      <c r="F58" s="155">
        <f t="shared" si="13"/>
        <v>100</v>
      </c>
      <c r="G58" s="170">
        <f>D58-'[2]Marts'!D58</f>
        <v>398011</v>
      </c>
      <c r="I58" s="160" t="s">
        <v>229</v>
      </c>
      <c r="J58" s="163">
        <v>4712</v>
      </c>
      <c r="K58" s="163">
        <v>1890</v>
      </c>
      <c r="L58" s="163">
        <v>1890</v>
      </c>
      <c r="M58" s="164">
        <v>40.11035653650254</v>
      </c>
      <c r="N58" s="164">
        <v>100</v>
      </c>
      <c r="O58" s="163">
        <v>405</v>
      </c>
      <c r="Q58" s="159">
        <f t="shared" si="1"/>
        <v>1890</v>
      </c>
      <c r="R58" s="145">
        <v>1087</v>
      </c>
      <c r="S58" s="145">
        <f t="shared" si="2"/>
        <v>803</v>
      </c>
    </row>
    <row r="59" spans="1:19" ht="12.75" customHeight="1">
      <c r="A59" s="160" t="s">
        <v>230</v>
      </c>
      <c r="B59" s="170">
        <v>12122</v>
      </c>
      <c r="C59" s="170">
        <v>12122</v>
      </c>
      <c r="D59" s="170">
        <v>12429.26</v>
      </c>
      <c r="E59" s="155">
        <f t="shared" si="12"/>
        <v>102.53473024253424</v>
      </c>
      <c r="F59" s="155">
        <f t="shared" si="13"/>
        <v>102.53473024253424</v>
      </c>
      <c r="G59" s="170">
        <f>D59-'[2]Marts'!D59</f>
        <v>1789.2299999999996</v>
      </c>
      <c r="I59" s="160" t="s">
        <v>230</v>
      </c>
      <c r="J59" s="163">
        <v>12</v>
      </c>
      <c r="K59" s="163">
        <v>12</v>
      </c>
      <c r="L59" s="163">
        <v>12</v>
      </c>
      <c r="M59" s="164">
        <v>100</v>
      </c>
      <c r="N59" s="164">
        <v>100</v>
      </c>
      <c r="O59" s="163">
        <v>0</v>
      </c>
      <c r="Q59" s="159">
        <f t="shared" si="1"/>
        <v>12</v>
      </c>
      <c r="R59" s="145">
        <v>10</v>
      </c>
      <c r="S59" s="145">
        <f t="shared" si="2"/>
        <v>2</v>
      </c>
    </row>
    <row r="60" spans="1:19" ht="12.75" customHeight="1">
      <c r="A60" s="160" t="s">
        <v>231</v>
      </c>
      <c r="B60" s="170">
        <v>437781</v>
      </c>
      <c r="C60" s="170">
        <v>186280</v>
      </c>
      <c r="D60" s="170">
        <v>202008.86</v>
      </c>
      <c r="E60" s="155">
        <f t="shared" si="12"/>
        <v>46.143816200337604</v>
      </c>
      <c r="F60" s="155">
        <f t="shared" si="13"/>
        <v>108.44366544986042</v>
      </c>
      <c r="G60" s="170">
        <f>D60-'[2]Marts'!D60</f>
        <v>47599.879999999976</v>
      </c>
      <c r="I60" s="160" t="s">
        <v>231</v>
      </c>
      <c r="J60" s="163">
        <v>438</v>
      </c>
      <c r="K60" s="163">
        <v>232</v>
      </c>
      <c r="L60" s="163">
        <v>242</v>
      </c>
      <c r="M60" s="164">
        <v>55.25114155251142</v>
      </c>
      <c r="N60" s="164">
        <v>104.3103448275862</v>
      </c>
      <c r="O60" s="163">
        <v>40</v>
      </c>
      <c r="Q60" s="159">
        <f t="shared" si="1"/>
        <v>242</v>
      </c>
      <c r="R60" s="145">
        <v>154</v>
      </c>
      <c r="S60" s="145">
        <f t="shared" si="2"/>
        <v>88</v>
      </c>
    </row>
    <row r="61" spans="1:19" ht="12.75" customHeight="1">
      <c r="A61" s="160" t="s">
        <v>232</v>
      </c>
      <c r="B61" s="170">
        <v>6027039</v>
      </c>
      <c r="C61" s="170">
        <v>2144139</v>
      </c>
      <c r="D61" s="170">
        <v>209944</v>
      </c>
      <c r="E61" s="155">
        <f t="shared" si="12"/>
        <v>3.4833688648770984</v>
      </c>
      <c r="F61" s="155">
        <f t="shared" si="13"/>
        <v>9.791529373795264</v>
      </c>
      <c r="G61" s="170">
        <v>61669</v>
      </c>
      <c r="I61" s="160" t="s">
        <v>232</v>
      </c>
      <c r="J61" s="163">
        <v>6027</v>
      </c>
      <c r="K61" s="163">
        <v>2202</v>
      </c>
      <c r="L61" s="163">
        <v>253</v>
      </c>
      <c r="M61" s="164">
        <v>4.1977766716442675</v>
      </c>
      <c r="N61" s="164">
        <v>11.489554950045413</v>
      </c>
      <c r="O61" s="163">
        <v>43</v>
      </c>
      <c r="Q61" s="159">
        <f t="shared" si="1"/>
        <v>253</v>
      </c>
      <c r="R61" s="145">
        <v>148</v>
      </c>
      <c r="S61" s="145">
        <f t="shared" si="2"/>
        <v>105</v>
      </c>
    </row>
    <row r="62" spans="1:19" ht="12.75" customHeight="1">
      <c r="A62" s="166" t="s">
        <v>233</v>
      </c>
      <c r="B62" s="172">
        <f>SUM(B63:B64)</f>
        <v>11189389</v>
      </c>
      <c r="C62" s="172">
        <f>SUM(C63:C64)</f>
        <v>3828042</v>
      </c>
      <c r="D62" s="172">
        <f>SUM(D63:D64)</f>
        <v>1834150.15</v>
      </c>
      <c r="E62" s="155">
        <f t="shared" si="12"/>
        <v>16.391870458699756</v>
      </c>
      <c r="F62" s="155">
        <f t="shared" si="13"/>
        <v>47.91353255789774</v>
      </c>
      <c r="G62" s="172">
        <f>SUM(G63:G64)</f>
        <v>468435.29999999993</v>
      </c>
      <c r="I62" s="166" t="s">
        <v>233</v>
      </c>
      <c r="J62" s="152">
        <v>11189</v>
      </c>
      <c r="K62" s="152">
        <v>4337</v>
      </c>
      <c r="L62" s="152">
        <v>2301</v>
      </c>
      <c r="M62" s="162">
        <v>20.564840468317097</v>
      </c>
      <c r="N62" s="162">
        <v>53.055107216970256</v>
      </c>
      <c r="O62" s="152">
        <v>468</v>
      </c>
      <c r="Q62" s="159">
        <f t="shared" si="1"/>
        <v>2301</v>
      </c>
      <c r="R62" s="145">
        <v>1365</v>
      </c>
      <c r="S62" s="145">
        <f t="shared" si="2"/>
        <v>936</v>
      </c>
    </row>
    <row r="63" spans="1:19" ht="12.75" customHeight="1">
      <c r="A63" s="168" t="s">
        <v>234</v>
      </c>
      <c r="B63" s="170">
        <v>10781923</v>
      </c>
      <c r="C63" s="170">
        <v>3690968</v>
      </c>
      <c r="D63" s="170">
        <v>1777141.65</v>
      </c>
      <c r="E63" s="155">
        <f t="shared" si="12"/>
        <v>16.482603798969812</v>
      </c>
      <c r="F63" s="155">
        <f t="shared" si="13"/>
        <v>48.14838952816714</v>
      </c>
      <c r="G63" s="170">
        <f>D63-'[2]Marts'!D63</f>
        <v>419395.20999999996</v>
      </c>
      <c r="I63" s="168" t="s">
        <v>234</v>
      </c>
      <c r="J63" s="163">
        <v>10782</v>
      </c>
      <c r="K63" s="163">
        <v>4132</v>
      </c>
      <c r="L63" s="163">
        <v>2215</v>
      </c>
      <c r="M63" s="164">
        <v>20.54349842329809</v>
      </c>
      <c r="N63" s="164">
        <v>53.60600193610843</v>
      </c>
      <c r="O63" s="163">
        <v>438</v>
      </c>
      <c r="Q63" s="159">
        <f t="shared" si="1"/>
        <v>2215</v>
      </c>
      <c r="R63" s="145">
        <v>1357</v>
      </c>
      <c r="S63" s="145">
        <f t="shared" si="2"/>
        <v>858</v>
      </c>
    </row>
    <row r="64" spans="1:19" ht="12.75" customHeight="1">
      <c r="A64" s="168" t="s">
        <v>235</v>
      </c>
      <c r="B64" s="170">
        <v>407466</v>
      </c>
      <c r="C64" s="170">
        <v>137074</v>
      </c>
      <c r="D64" s="170">
        <v>57008.5</v>
      </c>
      <c r="E64" s="155">
        <f t="shared" si="12"/>
        <v>13.990983296765865</v>
      </c>
      <c r="F64" s="155"/>
      <c r="G64" s="170">
        <f>D64-'[2]Marts'!D64</f>
        <v>49040.09</v>
      </c>
      <c r="I64" s="168" t="s">
        <v>235</v>
      </c>
      <c r="J64" s="163">
        <v>407</v>
      </c>
      <c r="K64" s="163">
        <v>205</v>
      </c>
      <c r="L64" s="163">
        <v>86</v>
      </c>
      <c r="M64" s="164">
        <v>21.13022113022113</v>
      </c>
      <c r="N64" s="164">
        <v>41.951219512195124</v>
      </c>
      <c r="O64" s="163">
        <v>30</v>
      </c>
      <c r="Q64" s="159">
        <f t="shared" si="1"/>
        <v>86</v>
      </c>
      <c r="R64" s="145">
        <v>8</v>
      </c>
      <c r="S64" s="145">
        <f t="shared" si="2"/>
        <v>78</v>
      </c>
    </row>
    <row r="65" spans="1:19" ht="12.75" customHeight="1">
      <c r="A65" s="166" t="s">
        <v>251</v>
      </c>
      <c r="B65" s="170"/>
      <c r="C65" s="170"/>
      <c r="D65" s="170"/>
      <c r="E65" s="170"/>
      <c r="F65" s="170"/>
      <c r="G65" s="170"/>
      <c r="I65" s="166" t="s">
        <v>252</v>
      </c>
      <c r="J65" s="170"/>
      <c r="K65" s="170"/>
      <c r="L65" s="170"/>
      <c r="M65" s="164"/>
      <c r="N65" s="164"/>
      <c r="O65" s="170"/>
      <c r="Q65" s="159">
        <f t="shared" si="1"/>
        <v>0</v>
      </c>
      <c r="S65" s="145">
        <f t="shared" si="2"/>
        <v>0</v>
      </c>
    </row>
    <row r="66" spans="1:19" ht="12.75" customHeight="1">
      <c r="A66" s="160" t="s">
        <v>228</v>
      </c>
      <c r="B66" s="170">
        <f>SUM(B67:B70)</f>
        <v>95465330</v>
      </c>
      <c r="C66" s="170">
        <f>SUM(C67:C70)</f>
        <v>29417209</v>
      </c>
      <c r="D66" s="170">
        <f>SUM(D67:D70)</f>
        <v>28484342.06</v>
      </c>
      <c r="E66" s="155">
        <f aca="true" t="shared" si="14" ref="E66:E73">IF(ISERROR(D66/B66)," ",(D66/B66))*100</f>
        <v>29.837368246671332</v>
      </c>
      <c r="F66" s="155">
        <f aca="true" t="shared" si="15" ref="F66:F73">IF(ISERROR(D66/C66)," ",(D66/C66))*100</f>
        <v>96.82883940485311</v>
      </c>
      <c r="G66" s="170">
        <f>SUM(G67:G70)</f>
        <v>7752237.79</v>
      </c>
      <c r="I66" s="160" t="s">
        <v>228</v>
      </c>
      <c r="J66" s="152">
        <v>95465</v>
      </c>
      <c r="K66" s="152">
        <v>43392</v>
      </c>
      <c r="L66" s="152">
        <v>42571</v>
      </c>
      <c r="M66" s="162">
        <v>44.5933064473891</v>
      </c>
      <c r="N66" s="162">
        <v>98.10794616519173</v>
      </c>
      <c r="O66" s="152">
        <v>14087</v>
      </c>
      <c r="Q66" s="159">
        <f t="shared" si="1"/>
        <v>42571</v>
      </c>
      <c r="R66" s="145">
        <v>20732</v>
      </c>
      <c r="S66" s="145">
        <f t="shared" si="2"/>
        <v>21839</v>
      </c>
    </row>
    <row r="67" spans="1:19" ht="12.75" customHeight="1">
      <c r="A67" s="160" t="s">
        <v>229</v>
      </c>
      <c r="B67" s="170">
        <v>87453160</v>
      </c>
      <c r="C67" s="170">
        <v>26186101</v>
      </c>
      <c r="D67" s="170">
        <v>26186101</v>
      </c>
      <c r="E67" s="155">
        <f t="shared" si="14"/>
        <v>29.9430014878822</v>
      </c>
      <c r="F67" s="155">
        <f t="shared" si="15"/>
        <v>100</v>
      </c>
      <c r="G67" s="170">
        <f>D67-'[2]Marts'!D67</f>
        <v>7160618</v>
      </c>
      <c r="I67" s="160" t="s">
        <v>229</v>
      </c>
      <c r="J67" s="163">
        <v>87453</v>
      </c>
      <c r="K67" s="163">
        <v>39654</v>
      </c>
      <c r="L67" s="163">
        <v>39654</v>
      </c>
      <c r="M67" s="164">
        <v>45.34321292580014</v>
      </c>
      <c r="N67" s="164">
        <v>100</v>
      </c>
      <c r="O67" s="163">
        <v>13468</v>
      </c>
      <c r="Q67" s="159">
        <f t="shared" si="1"/>
        <v>39654</v>
      </c>
      <c r="R67" s="145">
        <v>19025</v>
      </c>
      <c r="S67" s="145">
        <f t="shared" si="2"/>
        <v>20629</v>
      </c>
    </row>
    <row r="68" spans="1:19" ht="12.75" customHeight="1">
      <c r="A68" s="160" t="s">
        <v>230</v>
      </c>
      <c r="B68" s="170">
        <v>1033000</v>
      </c>
      <c r="C68" s="170">
        <v>363735</v>
      </c>
      <c r="D68" s="170">
        <v>213242.56</v>
      </c>
      <c r="E68" s="155">
        <f t="shared" si="14"/>
        <v>20.64303581800581</v>
      </c>
      <c r="F68" s="155">
        <f t="shared" si="15"/>
        <v>58.62580175127496</v>
      </c>
      <c r="G68" s="170">
        <f>D68-'[2]Marts'!D68</f>
        <v>97370.04</v>
      </c>
      <c r="I68" s="160" t="s">
        <v>230</v>
      </c>
      <c r="J68" s="163">
        <v>1033</v>
      </c>
      <c r="K68" s="163">
        <v>438</v>
      </c>
      <c r="L68" s="163">
        <v>275</v>
      </c>
      <c r="M68" s="164">
        <v>26.621490803484992</v>
      </c>
      <c r="N68" s="164">
        <v>62.78538812785388</v>
      </c>
      <c r="O68" s="163">
        <v>62</v>
      </c>
      <c r="Q68" s="159">
        <f t="shared" si="1"/>
        <v>275</v>
      </c>
      <c r="R68" s="145">
        <v>116</v>
      </c>
      <c r="S68" s="145">
        <f t="shared" si="2"/>
        <v>159</v>
      </c>
    </row>
    <row r="69" spans="1:19" ht="12.75" customHeight="1">
      <c r="A69" s="160" t="s">
        <v>231</v>
      </c>
      <c r="B69" s="170">
        <v>4138590</v>
      </c>
      <c r="C69" s="170">
        <v>1512375</v>
      </c>
      <c r="D69" s="170">
        <v>1521176.5</v>
      </c>
      <c r="E69" s="155">
        <f t="shared" si="14"/>
        <v>36.75591203767466</v>
      </c>
      <c r="F69" s="155">
        <f t="shared" si="15"/>
        <v>100.58196545169022</v>
      </c>
      <c r="G69" s="170">
        <f>D69-'[2]Marts'!D69</f>
        <v>471206.75</v>
      </c>
      <c r="I69" s="160" t="s">
        <v>231</v>
      </c>
      <c r="J69" s="163">
        <v>4138</v>
      </c>
      <c r="K69" s="163">
        <v>1833</v>
      </c>
      <c r="L69" s="163">
        <v>1792</v>
      </c>
      <c r="M69" s="164">
        <v>43.30594490091832</v>
      </c>
      <c r="N69" s="164">
        <v>97.7632296781233</v>
      </c>
      <c r="O69" s="163">
        <v>271</v>
      </c>
      <c r="Q69" s="159">
        <f t="shared" si="1"/>
        <v>1792</v>
      </c>
      <c r="R69" s="145">
        <v>1050</v>
      </c>
      <c r="S69" s="145">
        <f t="shared" si="2"/>
        <v>742</v>
      </c>
    </row>
    <row r="70" spans="1:19" ht="12.75" customHeight="1">
      <c r="A70" s="160" t="s">
        <v>232</v>
      </c>
      <c r="B70" s="170">
        <v>2840580</v>
      </c>
      <c r="C70" s="170">
        <v>1354998</v>
      </c>
      <c r="D70" s="170">
        <v>563822</v>
      </c>
      <c r="E70" s="155">
        <f t="shared" si="14"/>
        <v>19.848833688894523</v>
      </c>
      <c r="F70" s="155">
        <f t="shared" si="15"/>
        <v>41.61054112256992</v>
      </c>
      <c r="G70" s="170">
        <v>23043</v>
      </c>
      <c r="I70" s="160" t="s">
        <v>232</v>
      </c>
      <c r="J70" s="163">
        <v>2841</v>
      </c>
      <c r="K70" s="163">
        <v>1467</v>
      </c>
      <c r="L70" s="163">
        <v>850</v>
      </c>
      <c r="M70" s="164">
        <v>29.9190425906371</v>
      </c>
      <c r="N70" s="164">
        <v>57.94137695978186</v>
      </c>
      <c r="O70" s="163">
        <v>286</v>
      </c>
      <c r="Q70" s="159">
        <f t="shared" si="1"/>
        <v>850</v>
      </c>
      <c r="R70" s="145">
        <v>541</v>
      </c>
      <c r="S70" s="145">
        <f t="shared" si="2"/>
        <v>309</v>
      </c>
    </row>
    <row r="71" spans="1:19" ht="12.75" customHeight="1">
      <c r="A71" s="166" t="s">
        <v>233</v>
      </c>
      <c r="B71" s="172">
        <f>SUM(B72:B73)</f>
        <v>95562330</v>
      </c>
      <c r="C71" s="172">
        <f>SUM(C72:C73)</f>
        <v>29438899</v>
      </c>
      <c r="D71" s="172">
        <f>SUM(D72:D73)</f>
        <v>26919556.32</v>
      </c>
      <c r="E71" s="155">
        <f t="shared" si="14"/>
        <v>28.169631611117058</v>
      </c>
      <c r="F71" s="155">
        <f t="shared" si="15"/>
        <v>91.44213008781341</v>
      </c>
      <c r="G71" s="172">
        <f>SUM(G72:G73)</f>
        <v>7651853.869999999</v>
      </c>
      <c r="I71" s="166" t="s">
        <v>233</v>
      </c>
      <c r="J71" s="152">
        <v>95563</v>
      </c>
      <c r="K71" s="152">
        <v>43451</v>
      </c>
      <c r="L71" s="152">
        <v>40688</v>
      </c>
      <c r="M71" s="162">
        <v>42.57714805939537</v>
      </c>
      <c r="N71" s="162">
        <v>93.64111297783711</v>
      </c>
      <c r="O71" s="152">
        <v>13769</v>
      </c>
      <c r="P71" s="173"/>
      <c r="Q71" s="159">
        <f t="shared" si="1"/>
        <v>40688</v>
      </c>
      <c r="R71" s="145">
        <v>19268</v>
      </c>
      <c r="S71" s="145">
        <f t="shared" si="2"/>
        <v>21420</v>
      </c>
    </row>
    <row r="72" spans="1:19" ht="12.75" customHeight="1">
      <c r="A72" s="168" t="s">
        <v>234</v>
      </c>
      <c r="B72" s="170">
        <v>88541740</v>
      </c>
      <c r="C72" s="170">
        <v>26692310</v>
      </c>
      <c r="D72" s="170">
        <v>24719488.24</v>
      </c>
      <c r="E72" s="155">
        <f t="shared" si="14"/>
        <v>27.91845771271267</v>
      </c>
      <c r="F72" s="155">
        <f t="shared" si="15"/>
        <v>92.60902574561737</v>
      </c>
      <c r="G72" s="170">
        <f>D72-'[2]Marts'!D72</f>
        <v>7269405.199999999</v>
      </c>
      <c r="I72" s="168" t="s">
        <v>234</v>
      </c>
      <c r="J72" s="163">
        <v>88542</v>
      </c>
      <c r="K72" s="163">
        <v>39894</v>
      </c>
      <c r="L72" s="163">
        <v>37896</v>
      </c>
      <c r="M72" s="164">
        <v>42.80002710578031</v>
      </c>
      <c r="N72" s="164">
        <v>94.99172807941044</v>
      </c>
      <c r="O72" s="163">
        <v>13177</v>
      </c>
      <c r="Q72" s="159">
        <f t="shared" si="1"/>
        <v>37896</v>
      </c>
      <c r="R72" s="145">
        <v>17450</v>
      </c>
      <c r="S72" s="145">
        <f t="shared" si="2"/>
        <v>20446</v>
      </c>
    </row>
    <row r="73" spans="1:19" ht="12.75" customHeight="1">
      <c r="A73" s="168" t="s">
        <v>235</v>
      </c>
      <c r="B73" s="170">
        <v>7020590</v>
      </c>
      <c r="C73" s="170">
        <v>2746589</v>
      </c>
      <c r="D73" s="170">
        <v>2200068.08</v>
      </c>
      <c r="E73" s="155">
        <f t="shared" si="14"/>
        <v>31.33736737225789</v>
      </c>
      <c r="F73" s="155">
        <f t="shared" si="15"/>
        <v>80.10183103478533</v>
      </c>
      <c r="G73" s="170">
        <f>D73-'[2]Marts'!D73</f>
        <v>382448.67000000016</v>
      </c>
      <c r="I73" s="168" t="s">
        <v>235</v>
      </c>
      <c r="J73" s="163">
        <v>7021</v>
      </c>
      <c r="K73" s="163">
        <v>3557</v>
      </c>
      <c r="L73" s="163">
        <v>2792</v>
      </c>
      <c r="M73" s="164">
        <v>39.766415040592506</v>
      </c>
      <c r="N73" s="164">
        <v>78.49311217317964</v>
      </c>
      <c r="O73" s="163">
        <v>592</v>
      </c>
      <c r="Q73" s="159">
        <f t="shared" si="1"/>
        <v>2792</v>
      </c>
      <c r="R73" s="145">
        <v>1818</v>
      </c>
      <c r="S73" s="145">
        <f t="shared" si="2"/>
        <v>974</v>
      </c>
    </row>
    <row r="74" spans="1:19" ht="12.75" customHeight="1">
      <c r="A74" s="121" t="s">
        <v>236</v>
      </c>
      <c r="B74" s="170">
        <v>48898920</v>
      </c>
      <c r="C74" s="170"/>
      <c r="D74" s="170">
        <v>19940654</v>
      </c>
      <c r="E74" s="155"/>
      <c r="F74" s="155"/>
      <c r="G74" s="170">
        <f>D74-'[2]Marts'!D74</f>
        <v>7308235</v>
      </c>
      <c r="I74" s="121" t="s">
        <v>236</v>
      </c>
      <c r="J74" s="163">
        <v>48899</v>
      </c>
      <c r="K74" s="163">
        <v>0</v>
      </c>
      <c r="L74" s="163">
        <v>17214</v>
      </c>
      <c r="M74" s="164">
        <v>35.203173889036584</v>
      </c>
      <c r="N74" s="164"/>
      <c r="O74" s="163">
        <v>-2727</v>
      </c>
      <c r="Q74" s="159">
        <f aca="true" t="shared" si="16" ref="Q74:Q137">L74</f>
        <v>17214</v>
      </c>
      <c r="R74" s="145">
        <v>12632</v>
      </c>
      <c r="S74" s="145">
        <f aca="true" t="shared" si="17" ref="S74:S137">Q74-R74</f>
        <v>4582</v>
      </c>
    </row>
    <row r="75" spans="1:19" ht="12.75" customHeight="1">
      <c r="A75" s="121" t="s">
        <v>237</v>
      </c>
      <c r="B75" s="170">
        <f aca="true" t="shared" si="18" ref="B75:G75">B66-B71-B74</f>
        <v>-48995920</v>
      </c>
      <c r="C75" s="170">
        <f t="shared" si="18"/>
        <v>-21690</v>
      </c>
      <c r="D75" s="170">
        <f t="shared" si="18"/>
        <v>-18375868.26</v>
      </c>
      <c r="E75" s="170">
        <f t="shared" si="18"/>
        <v>1.6677366355542738</v>
      </c>
      <c r="F75" s="170">
        <f t="shared" si="18"/>
        <v>5.386709317039703</v>
      </c>
      <c r="G75" s="170">
        <f t="shared" si="18"/>
        <v>-7207851.079999999</v>
      </c>
      <c r="I75" s="121" t="s">
        <v>237</v>
      </c>
      <c r="J75" s="163">
        <v>-48997</v>
      </c>
      <c r="K75" s="163">
        <v>-58</v>
      </c>
      <c r="L75" s="163">
        <v>-15331</v>
      </c>
      <c r="M75" s="164">
        <v>31.289670796171194</v>
      </c>
      <c r="N75" s="164"/>
      <c r="O75" s="163">
        <v>3045</v>
      </c>
      <c r="Q75" s="159">
        <f t="shared" si="16"/>
        <v>-15331</v>
      </c>
      <c r="R75" s="145">
        <v>-11168</v>
      </c>
      <c r="S75" s="145">
        <f t="shared" si="17"/>
        <v>-4163</v>
      </c>
    </row>
    <row r="76" spans="1:19" ht="12.75" customHeight="1">
      <c r="A76" s="166" t="s">
        <v>253</v>
      </c>
      <c r="B76" s="170"/>
      <c r="C76" s="170"/>
      <c r="D76" s="170"/>
      <c r="E76" s="170"/>
      <c r="F76" s="170"/>
      <c r="G76" s="170"/>
      <c r="I76" s="166" t="s">
        <v>254</v>
      </c>
      <c r="J76" s="170"/>
      <c r="K76" s="170"/>
      <c r="L76" s="170"/>
      <c r="M76" s="164"/>
      <c r="N76" s="164"/>
      <c r="O76" s="170"/>
      <c r="Q76" s="159">
        <f t="shared" si="16"/>
        <v>0</v>
      </c>
      <c r="S76" s="145">
        <f t="shared" si="17"/>
        <v>0</v>
      </c>
    </row>
    <row r="77" spans="1:19" ht="12.75" customHeight="1">
      <c r="A77" s="160" t="s">
        <v>228</v>
      </c>
      <c r="B77" s="170">
        <f>SUM(B78:B80)</f>
        <v>88411691</v>
      </c>
      <c r="C77" s="170">
        <f>SUM(C78:C80)</f>
        <v>27619371</v>
      </c>
      <c r="D77" s="170">
        <f>SUM(D78:D80)</f>
        <v>26390153.52</v>
      </c>
      <c r="E77" s="155">
        <f aca="true" t="shared" si="19" ref="E77:E83">IF(ISERROR(D77/B77)," ",(D77/B77))*100</f>
        <v>29.84916725549339</v>
      </c>
      <c r="F77" s="155">
        <f aca="true" t="shared" si="20" ref="F77:F83">IF(ISERROR(D77/C77)," ",(D77/C77))*100</f>
        <v>95.54943709615979</v>
      </c>
      <c r="G77" s="170">
        <f>SUM(G78:G80)</f>
        <v>6975186.390000001</v>
      </c>
      <c r="I77" s="160" t="s">
        <v>228</v>
      </c>
      <c r="J77" s="152">
        <v>88412</v>
      </c>
      <c r="K77" s="152">
        <v>35776</v>
      </c>
      <c r="L77" s="152">
        <v>34012</v>
      </c>
      <c r="M77" s="162">
        <v>38.46989096502737</v>
      </c>
      <c r="N77" s="162">
        <v>95.06932021466905</v>
      </c>
      <c r="O77" s="152">
        <v>7622</v>
      </c>
      <c r="Q77" s="159">
        <f t="shared" si="16"/>
        <v>34012</v>
      </c>
      <c r="R77" s="145">
        <v>19415</v>
      </c>
      <c r="S77" s="145">
        <f t="shared" si="17"/>
        <v>14597</v>
      </c>
    </row>
    <row r="78" spans="1:19" ht="12.75" customHeight="1">
      <c r="A78" s="160" t="s">
        <v>229</v>
      </c>
      <c r="B78" s="170">
        <v>77270929</v>
      </c>
      <c r="C78" s="170">
        <v>23971264</v>
      </c>
      <c r="D78" s="170">
        <v>23971264</v>
      </c>
      <c r="E78" s="155">
        <f t="shared" si="19"/>
        <v>31.022357709715127</v>
      </c>
      <c r="F78" s="155">
        <f t="shared" si="20"/>
        <v>100</v>
      </c>
      <c r="G78" s="170">
        <f>D78-'[2]Marts'!D78</f>
        <v>6297581</v>
      </c>
      <c r="I78" s="160" t="s">
        <v>229</v>
      </c>
      <c r="J78" s="163">
        <v>77271</v>
      </c>
      <c r="K78" s="163">
        <v>30964</v>
      </c>
      <c r="L78" s="163">
        <v>30964</v>
      </c>
      <c r="M78" s="164">
        <v>40.07195454957228</v>
      </c>
      <c r="N78" s="164">
        <v>100</v>
      </c>
      <c r="O78" s="163">
        <v>6993</v>
      </c>
      <c r="Q78" s="159">
        <f t="shared" si="16"/>
        <v>30964</v>
      </c>
      <c r="R78" s="145">
        <v>17674</v>
      </c>
      <c r="S78" s="145">
        <f t="shared" si="17"/>
        <v>13290</v>
      </c>
    </row>
    <row r="79" spans="1:19" ht="12.75" customHeight="1">
      <c r="A79" s="160" t="s">
        <v>231</v>
      </c>
      <c r="B79" s="170">
        <v>7779610</v>
      </c>
      <c r="C79" s="170">
        <v>2788266</v>
      </c>
      <c r="D79" s="170">
        <v>2187182.52</v>
      </c>
      <c r="E79" s="155">
        <f t="shared" si="19"/>
        <v>28.114295189604622</v>
      </c>
      <c r="F79" s="155">
        <f t="shared" si="20"/>
        <v>78.44239107746535</v>
      </c>
      <c r="G79" s="170">
        <f>D79-'[2]Marts'!D79</f>
        <v>493494.39000000013</v>
      </c>
      <c r="I79" s="160" t="s">
        <v>231</v>
      </c>
      <c r="J79" s="163">
        <v>7780</v>
      </c>
      <c r="K79" s="163">
        <v>3417</v>
      </c>
      <c r="L79" s="163">
        <v>2816</v>
      </c>
      <c r="M79" s="164">
        <v>36.195372750642676</v>
      </c>
      <c r="N79" s="164">
        <v>82.41147205150718</v>
      </c>
      <c r="O79" s="163">
        <v>629</v>
      </c>
      <c r="Q79" s="159">
        <f t="shared" si="16"/>
        <v>2816</v>
      </c>
      <c r="R79" s="145">
        <v>1694</v>
      </c>
      <c r="S79" s="145">
        <f t="shared" si="17"/>
        <v>1122</v>
      </c>
    </row>
    <row r="80" spans="1:19" ht="12.75" customHeight="1">
      <c r="A80" s="160" t="s">
        <v>232</v>
      </c>
      <c r="B80" s="170">
        <v>3361152</v>
      </c>
      <c r="C80" s="170">
        <v>859841</v>
      </c>
      <c r="D80" s="170">
        <v>231707</v>
      </c>
      <c r="E80" s="155">
        <f t="shared" si="19"/>
        <v>6.893678119882707</v>
      </c>
      <c r="F80" s="155">
        <f t="shared" si="20"/>
        <v>26.94765660162751</v>
      </c>
      <c r="G80" s="170">
        <v>184111</v>
      </c>
      <c r="I80" s="160" t="s">
        <v>232</v>
      </c>
      <c r="J80" s="163">
        <v>3361</v>
      </c>
      <c r="K80" s="163">
        <v>1395</v>
      </c>
      <c r="L80" s="163">
        <v>232</v>
      </c>
      <c r="M80" s="164">
        <v>6.902707527521571</v>
      </c>
      <c r="N80" s="164">
        <v>16.630824372759857</v>
      </c>
      <c r="O80" s="163"/>
      <c r="Q80" s="159">
        <f t="shared" si="16"/>
        <v>232</v>
      </c>
      <c r="R80" s="145">
        <v>47</v>
      </c>
      <c r="S80" s="145">
        <f t="shared" si="17"/>
        <v>185</v>
      </c>
    </row>
    <row r="81" spans="1:19" ht="12.75" customHeight="1">
      <c r="A81" s="166" t="s">
        <v>233</v>
      </c>
      <c r="B81" s="172">
        <f>SUM(B82:B83)</f>
        <v>88411691</v>
      </c>
      <c r="C81" s="172">
        <f>SUM(C82:C83)</f>
        <v>27619371</v>
      </c>
      <c r="D81" s="172">
        <f>SUM(D82:D83)</f>
        <v>26228158.619999997</v>
      </c>
      <c r="E81" s="155">
        <f t="shared" si="19"/>
        <v>29.665939338271446</v>
      </c>
      <c r="F81" s="155">
        <f t="shared" si="20"/>
        <v>94.96291070495413</v>
      </c>
      <c r="G81" s="172">
        <f>SUM(G82:G83)</f>
        <v>6939207.699999999</v>
      </c>
      <c r="I81" s="166" t="s">
        <v>233</v>
      </c>
      <c r="J81" s="152">
        <v>88411</v>
      </c>
      <c r="K81" s="152">
        <v>35776</v>
      </c>
      <c r="L81" s="152">
        <v>32985</v>
      </c>
      <c r="M81" s="162">
        <v>37.308705930257545</v>
      </c>
      <c r="N81" s="162">
        <v>92.19868067978533</v>
      </c>
      <c r="O81" s="152">
        <v>6758</v>
      </c>
      <c r="Q81" s="159">
        <f t="shared" si="16"/>
        <v>32985</v>
      </c>
      <c r="R81" s="145">
        <v>19288</v>
      </c>
      <c r="S81" s="145">
        <f t="shared" si="17"/>
        <v>13697</v>
      </c>
    </row>
    <row r="82" spans="1:19" ht="12.75" customHeight="1">
      <c r="A82" s="168" t="s">
        <v>234</v>
      </c>
      <c r="B82" s="170">
        <v>74053323</v>
      </c>
      <c r="C82" s="170">
        <v>24797252</v>
      </c>
      <c r="D82" s="170">
        <v>24160055.88</v>
      </c>
      <c r="E82" s="155">
        <f t="shared" si="19"/>
        <v>32.62521504943134</v>
      </c>
      <c r="F82" s="155">
        <f t="shared" si="20"/>
        <v>97.43037607554255</v>
      </c>
      <c r="G82" s="170">
        <f>D82-'[2]Marts'!D82</f>
        <v>5996700.469999999</v>
      </c>
      <c r="I82" s="168" t="s">
        <v>234</v>
      </c>
      <c r="J82" s="163">
        <v>74053</v>
      </c>
      <c r="K82" s="163">
        <v>30998</v>
      </c>
      <c r="L82" s="163">
        <v>30258</v>
      </c>
      <c r="M82" s="164">
        <v>40.85992464856252</v>
      </c>
      <c r="N82" s="164">
        <v>97.61274920962643</v>
      </c>
      <c r="O82" s="163">
        <v>6099</v>
      </c>
      <c r="Q82" s="159">
        <f t="shared" si="16"/>
        <v>30258</v>
      </c>
      <c r="R82" s="145">
        <v>18163</v>
      </c>
      <c r="S82" s="145">
        <f t="shared" si="17"/>
        <v>12095</v>
      </c>
    </row>
    <row r="83" spans="1:19" ht="12.75" customHeight="1">
      <c r="A83" s="168" t="s">
        <v>235</v>
      </c>
      <c r="B83" s="170">
        <v>14358368</v>
      </c>
      <c r="C83" s="170">
        <v>2822119</v>
      </c>
      <c r="D83" s="170">
        <v>2068102.74</v>
      </c>
      <c r="E83" s="155">
        <f t="shared" si="19"/>
        <v>14.403466605675519</v>
      </c>
      <c r="F83" s="155">
        <f t="shared" si="20"/>
        <v>73.28191121635905</v>
      </c>
      <c r="G83" s="170">
        <f>D83-'[2]Marts'!D83</f>
        <v>942507.23</v>
      </c>
      <c r="I83" s="168" t="s">
        <v>235</v>
      </c>
      <c r="J83" s="163">
        <v>14358</v>
      </c>
      <c r="K83" s="163">
        <v>4778</v>
      </c>
      <c r="L83" s="163">
        <v>2727</v>
      </c>
      <c r="M83" s="164">
        <v>18.992895946510657</v>
      </c>
      <c r="N83" s="164">
        <v>57.07408957722897</v>
      </c>
      <c r="O83" s="163">
        <v>659</v>
      </c>
      <c r="Q83" s="159">
        <f t="shared" si="16"/>
        <v>2727</v>
      </c>
      <c r="R83" s="145">
        <v>1125</v>
      </c>
      <c r="S83" s="145">
        <f t="shared" si="17"/>
        <v>1602</v>
      </c>
    </row>
    <row r="84" spans="1:19" ht="12.75" customHeight="1">
      <c r="A84" s="171" t="s">
        <v>255</v>
      </c>
      <c r="B84" s="170"/>
      <c r="C84" s="170"/>
      <c r="D84" s="170"/>
      <c r="E84" s="155"/>
      <c r="F84" s="170"/>
      <c r="G84" s="170"/>
      <c r="I84" s="171" t="s">
        <v>256</v>
      </c>
      <c r="J84" s="170"/>
      <c r="K84" s="170"/>
      <c r="L84" s="170"/>
      <c r="M84" s="164"/>
      <c r="N84" s="164"/>
      <c r="O84" s="170"/>
      <c r="Q84" s="159">
        <f t="shared" si="16"/>
        <v>0</v>
      </c>
      <c r="S84" s="145">
        <f t="shared" si="17"/>
        <v>0</v>
      </c>
    </row>
    <row r="85" spans="1:19" ht="12.75" customHeight="1">
      <c r="A85" s="160" t="s">
        <v>228</v>
      </c>
      <c r="B85" s="170">
        <f>SUM(B86:B89)</f>
        <v>79799585</v>
      </c>
      <c r="C85" s="170">
        <f>SUM(C86:C89)</f>
        <v>27830775</v>
      </c>
      <c r="D85" s="170">
        <f>SUM(D86:D89)</f>
        <v>27542387.04</v>
      </c>
      <c r="E85" s="155">
        <f aca="true" t="shared" si="21" ref="E85:E92">IF(ISERROR(D85/B85)," ",(D85/B85))*100</f>
        <v>34.51444896611931</v>
      </c>
      <c r="F85" s="155">
        <f aca="true" t="shared" si="22" ref="F85:F92">IF(ISERROR(D85/C85)," ",(D85/C85))*100</f>
        <v>98.96378034747505</v>
      </c>
      <c r="G85" s="170">
        <f>SUM(G86:G89)</f>
        <v>6111379.579999999</v>
      </c>
      <c r="I85" s="160" t="s">
        <v>228</v>
      </c>
      <c r="J85" s="152">
        <v>79799</v>
      </c>
      <c r="K85" s="152">
        <v>33950</v>
      </c>
      <c r="L85" s="152">
        <v>33239</v>
      </c>
      <c r="M85" s="162">
        <v>41.65340417799722</v>
      </c>
      <c r="N85" s="162">
        <v>97.90574374079529</v>
      </c>
      <c r="O85" s="152">
        <v>5696</v>
      </c>
      <c r="Q85" s="159">
        <f t="shared" si="16"/>
        <v>33239</v>
      </c>
      <c r="R85" s="145">
        <v>21431</v>
      </c>
      <c r="S85" s="145">
        <f t="shared" si="17"/>
        <v>11808</v>
      </c>
    </row>
    <row r="86" spans="1:19" ht="12.75" customHeight="1">
      <c r="A86" s="160" t="s">
        <v>229</v>
      </c>
      <c r="B86" s="170">
        <v>56294148</v>
      </c>
      <c r="C86" s="170">
        <v>18996337</v>
      </c>
      <c r="D86" s="170">
        <v>18996337</v>
      </c>
      <c r="E86" s="155">
        <f t="shared" si="21"/>
        <v>33.74478107386935</v>
      </c>
      <c r="F86" s="155">
        <f t="shared" si="22"/>
        <v>100</v>
      </c>
      <c r="G86" s="170">
        <f>D86-'[2]Marts'!D86</f>
        <v>4600834</v>
      </c>
      <c r="I86" s="160" t="s">
        <v>229</v>
      </c>
      <c r="J86" s="163">
        <v>56294</v>
      </c>
      <c r="K86" s="163">
        <v>23400</v>
      </c>
      <c r="L86" s="163">
        <v>23400</v>
      </c>
      <c r="M86" s="164">
        <v>41.56748498951931</v>
      </c>
      <c r="N86" s="164">
        <v>100</v>
      </c>
      <c r="O86" s="163">
        <v>4403</v>
      </c>
      <c r="Q86" s="159">
        <f t="shared" si="16"/>
        <v>23400</v>
      </c>
      <c r="R86" s="145">
        <v>14396</v>
      </c>
      <c r="S86" s="145">
        <f t="shared" si="17"/>
        <v>9004</v>
      </c>
    </row>
    <row r="87" spans="1:19" ht="12.75" customHeight="1">
      <c r="A87" s="160" t="s">
        <v>230</v>
      </c>
      <c r="B87" s="170">
        <v>2311000</v>
      </c>
      <c r="C87" s="170">
        <v>273000</v>
      </c>
      <c r="D87" s="170">
        <v>216466.69</v>
      </c>
      <c r="E87" s="155">
        <f t="shared" si="21"/>
        <v>9.366797490263954</v>
      </c>
      <c r="F87" s="155">
        <f t="shared" si="22"/>
        <v>79.29182783882784</v>
      </c>
      <c r="G87" s="170">
        <f>D87-'[2]Marts'!D87</f>
        <v>52095.22</v>
      </c>
      <c r="I87" s="160" t="s">
        <v>230</v>
      </c>
      <c r="J87" s="163">
        <v>2311</v>
      </c>
      <c r="K87" s="163">
        <v>478</v>
      </c>
      <c r="L87" s="163">
        <v>245</v>
      </c>
      <c r="M87" s="164">
        <v>10.601471224578104</v>
      </c>
      <c r="N87" s="164">
        <v>51.25523012552301</v>
      </c>
      <c r="O87" s="163">
        <v>28</v>
      </c>
      <c r="Q87" s="159">
        <f t="shared" si="16"/>
        <v>245</v>
      </c>
      <c r="R87" s="145">
        <v>164</v>
      </c>
      <c r="S87" s="145">
        <f t="shared" si="17"/>
        <v>81</v>
      </c>
    </row>
    <row r="88" spans="1:19" ht="12.75" customHeight="1">
      <c r="A88" s="160" t="s">
        <v>231</v>
      </c>
      <c r="B88" s="170">
        <v>18428228</v>
      </c>
      <c r="C88" s="170">
        <v>6022229</v>
      </c>
      <c r="D88" s="170">
        <v>7071424.35</v>
      </c>
      <c r="E88" s="155">
        <f t="shared" si="21"/>
        <v>38.372785218416006</v>
      </c>
      <c r="F88" s="155">
        <f t="shared" si="22"/>
        <v>117.42204339954525</v>
      </c>
      <c r="G88" s="170">
        <f>D88-'[2]Marts'!D88</f>
        <v>1458450.3599999994</v>
      </c>
      <c r="I88" s="160" t="s">
        <v>231</v>
      </c>
      <c r="J88" s="163">
        <v>18428</v>
      </c>
      <c r="K88" s="163">
        <v>7533</v>
      </c>
      <c r="L88" s="163">
        <v>8298</v>
      </c>
      <c r="M88" s="164">
        <v>45.02930323420881</v>
      </c>
      <c r="N88" s="164">
        <v>110.15531660692952</v>
      </c>
      <c r="O88" s="163">
        <v>1227</v>
      </c>
      <c r="Q88" s="159">
        <f t="shared" si="16"/>
        <v>8298</v>
      </c>
      <c r="R88" s="145">
        <v>5613</v>
      </c>
      <c r="S88" s="145">
        <f t="shared" si="17"/>
        <v>2685</v>
      </c>
    </row>
    <row r="89" spans="1:19" ht="12.75" customHeight="1">
      <c r="A89" s="160" t="s">
        <v>232</v>
      </c>
      <c r="B89" s="170">
        <v>2766209</v>
      </c>
      <c r="C89" s="170">
        <v>2539209</v>
      </c>
      <c r="D89" s="170">
        <v>1258159</v>
      </c>
      <c r="E89" s="155">
        <f t="shared" si="21"/>
        <v>45.48315040548274</v>
      </c>
      <c r="F89" s="155">
        <f t="shared" si="22"/>
        <v>49.54924939223199</v>
      </c>
      <c r="G89" s="170">
        <v>0</v>
      </c>
      <c r="I89" s="160" t="s">
        <v>232</v>
      </c>
      <c r="J89" s="163">
        <v>2766</v>
      </c>
      <c r="K89" s="163">
        <v>2539</v>
      </c>
      <c r="L89" s="163">
        <v>1296</v>
      </c>
      <c r="M89" s="164">
        <v>46.85466377440347</v>
      </c>
      <c r="N89" s="164">
        <v>51.04371799921229</v>
      </c>
      <c r="O89" s="163">
        <v>38</v>
      </c>
      <c r="Q89" s="159">
        <f t="shared" si="16"/>
        <v>1296</v>
      </c>
      <c r="R89" s="145">
        <v>1258</v>
      </c>
      <c r="S89" s="145">
        <f t="shared" si="17"/>
        <v>38</v>
      </c>
    </row>
    <row r="90" spans="1:19" ht="12.75" customHeight="1">
      <c r="A90" s="166" t="s">
        <v>233</v>
      </c>
      <c r="B90" s="172">
        <f>SUM(B91:B92)</f>
        <v>79799585</v>
      </c>
      <c r="C90" s="172">
        <f>SUM(C91:C92)</f>
        <v>27830775</v>
      </c>
      <c r="D90" s="172">
        <f>SUM(D91:D92)</f>
        <v>23429539.450000003</v>
      </c>
      <c r="E90" s="155">
        <f t="shared" si="21"/>
        <v>29.36047781451495</v>
      </c>
      <c r="F90" s="155">
        <f t="shared" si="22"/>
        <v>84.18572407703344</v>
      </c>
      <c r="G90" s="172">
        <f>SUM(G91:G92)</f>
        <v>6175908.960000002</v>
      </c>
      <c r="I90" s="166" t="s">
        <v>233</v>
      </c>
      <c r="J90" s="152">
        <v>79800</v>
      </c>
      <c r="K90" s="152">
        <v>33950</v>
      </c>
      <c r="L90" s="152">
        <v>28993</v>
      </c>
      <c r="M90" s="162">
        <v>36.33208020050125</v>
      </c>
      <c r="N90" s="162">
        <v>85.39911634756996</v>
      </c>
      <c r="O90" s="152">
        <v>5563</v>
      </c>
      <c r="Q90" s="159">
        <f t="shared" si="16"/>
        <v>28993</v>
      </c>
      <c r="R90" s="145">
        <v>17253</v>
      </c>
      <c r="S90" s="145">
        <f t="shared" si="17"/>
        <v>11740</v>
      </c>
    </row>
    <row r="91" spans="1:19" ht="12.75" customHeight="1">
      <c r="A91" s="168" t="s">
        <v>234</v>
      </c>
      <c r="B91" s="170">
        <v>73110630</v>
      </c>
      <c r="C91" s="170">
        <v>26455942</v>
      </c>
      <c r="D91" s="170">
        <v>22603919.35</v>
      </c>
      <c r="E91" s="155">
        <f t="shared" si="21"/>
        <v>30.917418369941558</v>
      </c>
      <c r="F91" s="155">
        <f t="shared" si="22"/>
        <v>85.43985827456079</v>
      </c>
      <c r="G91" s="170">
        <f>D91-'[2]Marts'!D91</f>
        <v>5935394.930000002</v>
      </c>
      <c r="I91" s="168" t="s">
        <v>234</v>
      </c>
      <c r="J91" s="163">
        <v>73111</v>
      </c>
      <c r="K91" s="163">
        <v>31949</v>
      </c>
      <c r="L91" s="163">
        <v>27724</v>
      </c>
      <c r="M91" s="164">
        <v>37.92042237146257</v>
      </c>
      <c r="N91" s="164">
        <v>86.77579892954395</v>
      </c>
      <c r="O91" s="163">
        <v>5120</v>
      </c>
      <c r="Q91" s="159">
        <f t="shared" si="16"/>
        <v>27724</v>
      </c>
      <c r="R91" s="145">
        <v>16668</v>
      </c>
      <c r="S91" s="145">
        <f t="shared" si="17"/>
        <v>11056</v>
      </c>
    </row>
    <row r="92" spans="1:19" ht="12.75" customHeight="1">
      <c r="A92" s="168" t="s">
        <v>235</v>
      </c>
      <c r="B92" s="170">
        <v>6688955</v>
      </c>
      <c r="C92" s="170">
        <v>1374833</v>
      </c>
      <c r="D92" s="170">
        <v>825620.1</v>
      </c>
      <c r="E92" s="155">
        <f t="shared" si="21"/>
        <v>12.343035646076256</v>
      </c>
      <c r="F92" s="155">
        <f t="shared" si="22"/>
        <v>60.052391817769866</v>
      </c>
      <c r="G92" s="170">
        <f>D92-'[2]Marts'!D92</f>
        <v>240514.03000000003</v>
      </c>
      <c r="I92" s="168" t="s">
        <v>235</v>
      </c>
      <c r="J92" s="163">
        <v>6689</v>
      </c>
      <c r="K92" s="163">
        <v>2001</v>
      </c>
      <c r="L92" s="163">
        <v>1269</v>
      </c>
      <c r="M92" s="164">
        <v>18.971445657048886</v>
      </c>
      <c r="N92" s="164">
        <v>63.41829085457271</v>
      </c>
      <c r="O92" s="163">
        <v>443</v>
      </c>
      <c r="Q92" s="159">
        <f t="shared" si="16"/>
        <v>1269</v>
      </c>
      <c r="R92" s="145">
        <v>585</v>
      </c>
      <c r="S92" s="145">
        <f t="shared" si="17"/>
        <v>684</v>
      </c>
    </row>
    <row r="93" spans="1:19" ht="12.75" customHeight="1">
      <c r="A93" s="166" t="s">
        <v>257</v>
      </c>
      <c r="B93" s="170"/>
      <c r="C93" s="170"/>
      <c r="D93" s="170"/>
      <c r="E93" s="170"/>
      <c r="F93" s="170"/>
      <c r="G93" s="170"/>
      <c r="I93" s="166" t="s">
        <v>258</v>
      </c>
      <c r="J93" s="170"/>
      <c r="K93" s="170"/>
      <c r="L93" s="170"/>
      <c r="M93" s="164"/>
      <c r="N93" s="164"/>
      <c r="O93" s="170"/>
      <c r="Q93" s="159">
        <f t="shared" si="16"/>
        <v>0</v>
      </c>
      <c r="S93" s="145">
        <f t="shared" si="17"/>
        <v>0</v>
      </c>
    </row>
    <row r="94" spans="1:19" ht="12.75" customHeight="1">
      <c r="A94" s="160" t="s">
        <v>228</v>
      </c>
      <c r="B94" s="170">
        <f>SUM(B95:B97)</f>
        <v>76198416</v>
      </c>
      <c r="C94" s="170">
        <f>SUM(C95:C97)</f>
        <v>19929453</v>
      </c>
      <c r="D94" s="170">
        <f>SUM(D95:D97)</f>
        <v>19450709.04</v>
      </c>
      <c r="E94" s="155">
        <f aca="true" t="shared" si="23" ref="E94:E100">IF(ISERROR(D94/B94)," ",(D94/B94))*100</f>
        <v>25.526395509323972</v>
      </c>
      <c r="F94" s="155">
        <f aca="true" t="shared" si="24" ref="F94:F100">IF(ISERROR(D94/C94)," ",(D94/C94))*100</f>
        <v>97.59780682390029</v>
      </c>
      <c r="G94" s="170">
        <f>SUM(G95:G97)</f>
        <v>4995654.27</v>
      </c>
      <c r="I94" s="160" t="s">
        <v>228</v>
      </c>
      <c r="J94" s="152">
        <v>76198</v>
      </c>
      <c r="K94" s="152">
        <v>24876</v>
      </c>
      <c r="L94" s="152">
        <v>24806</v>
      </c>
      <c r="M94" s="162">
        <v>32.554660227302556</v>
      </c>
      <c r="N94" s="162">
        <v>99.71860427721498</v>
      </c>
      <c r="O94" s="152">
        <v>5355</v>
      </c>
      <c r="Q94" s="159">
        <f t="shared" si="16"/>
        <v>24806</v>
      </c>
      <c r="R94" s="145">
        <v>14455</v>
      </c>
      <c r="S94" s="145">
        <f t="shared" si="17"/>
        <v>10351</v>
      </c>
    </row>
    <row r="95" spans="1:19" ht="12.75" customHeight="1">
      <c r="A95" s="160" t="s">
        <v>229</v>
      </c>
      <c r="B95" s="170">
        <v>53338265</v>
      </c>
      <c r="C95" s="170">
        <v>16859145</v>
      </c>
      <c r="D95" s="170">
        <v>16859145</v>
      </c>
      <c r="E95" s="155">
        <f t="shared" si="23"/>
        <v>31.60797412514262</v>
      </c>
      <c r="F95" s="155">
        <f t="shared" si="24"/>
        <v>100</v>
      </c>
      <c r="G95" s="170">
        <f>D95-'[2]Marts'!D95</f>
        <v>4338043</v>
      </c>
      <c r="I95" s="160" t="s">
        <v>229</v>
      </c>
      <c r="J95" s="163">
        <v>53338</v>
      </c>
      <c r="K95" s="163">
        <v>21106</v>
      </c>
      <c r="L95" s="163">
        <v>21106</v>
      </c>
      <c r="M95" s="164">
        <v>39.57028759983501</v>
      </c>
      <c r="N95" s="164">
        <v>100</v>
      </c>
      <c r="O95" s="163">
        <v>4247</v>
      </c>
      <c r="Q95" s="159">
        <f t="shared" si="16"/>
        <v>21106</v>
      </c>
      <c r="R95" s="145">
        <v>12521</v>
      </c>
      <c r="S95" s="145">
        <f t="shared" si="17"/>
        <v>8585</v>
      </c>
    </row>
    <row r="96" spans="1:19" ht="12.75" customHeight="1">
      <c r="A96" s="160" t="s">
        <v>231</v>
      </c>
      <c r="B96" s="170">
        <v>6626721</v>
      </c>
      <c r="C96" s="170">
        <v>2214638</v>
      </c>
      <c r="D96" s="170">
        <v>2547497.04</v>
      </c>
      <c r="E96" s="155">
        <f t="shared" si="23"/>
        <v>38.442799085701665</v>
      </c>
      <c r="F96" s="155">
        <f t="shared" si="24"/>
        <v>115.02995252497247</v>
      </c>
      <c r="G96" s="170">
        <f>D96-'[2]Marts'!D96</f>
        <v>657611.27</v>
      </c>
      <c r="I96" s="160" t="s">
        <v>231</v>
      </c>
      <c r="J96" s="163">
        <v>6627</v>
      </c>
      <c r="K96" s="163">
        <v>2857</v>
      </c>
      <c r="L96" s="163">
        <v>3235</v>
      </c>
      <c r="M96" s="164">
        <v>48.815451939037274</v>
      </c>
      <c r="N96" s="164">
        <v>113.23066153307666</v>
      </c>
      <c r="O96" s="163">
        <v>687</v>
      </c>
      <c r="Q96" s="159">
        <f t="shared" si="16"/>
        <v>3235</v>
      </c>
      <c r="R96" s="145">
        <v>1890</v>
      </c>
      <c r="S96" s="145">
        <f t="shared" si="17"/>
        <v>1345</v>
      </c>
    </row>
    <row r="97" spans="1:19" ht="12.75" customHeight="1">
      <c r="A97" s="160" t="s">
        <v>232</v>
      </c>
      <c r="B97" s="170">
        <v>16233430</v>
      </c>
      <c r="C97" s="170">
        <v>855670</v>
      </c>
      <c r="D97" s="170">
        <v>44067</v>
      </c>
      <c r="E97" s="155">
        <f t="shared" si="23"/>
        <v>0.27145834244518874</v>
      </c>
      <c r="F97" s="155">
        <f t="shared" si="24"/>
        <v>5.14999941566258</v>
      </c>
      <c r="G97" s="170">
        <v>0</v>
      </c>
      <c r="I97" s="160" t="s">
        <v>232</v>
      </c>
      <c r="J97" s="163">
        <v>16233</v>
      </c>
      <c r="K97" s="163">
        <v>913</v>
      </c>
      <c r="L97" s="163">
        <v>465</v>
      </c>
      <c r="M97" s="164">
        <v>2.864535206061726</v>
      </c>
      <c r="N97" s="164">
        <v>50.930996714129236</v>
      </c>
      <c r="O97" s="163">
        <v>421</v>
      </c>
      <c r="Q97" s="159">
        <f t="shared" si="16"/>
        <v>465</v>
      </c>
      <c r="R97" s="145">
        <v>44</v>
      </c>
      <c r="S97" s="145">
        <f t="shared" si="17"/>
        <v>421</v>
      </c>
    </row>
    <row r="98" spans="1:19" ht="12.75" customHeight="1">
      <c r="A98" s="166" t="s">
        <v>233</v>
      </c>
      <c r="B98" s="172">
        <f>SUM(B99:B100)</f>
        <v>76198416</v>
      </c>
      <c r="C98" s="172">
        <f>SUM(C99:C100)</f>
        <v>20055289</v>
      </c>
      <c r="D98" s="172">
        <f>SUM(D99:D100)</f>
        <v>18188497.759999998</v>
      </c>
      <c r="E98" s="155">
        <f t="shared" si="23"/>
        <v>23.869915826071765</v>
      </c>
      <c r="F98" s="155">
        <f t="shared" si="24"/>
        <v>90.69177592005778</v>
      </c>
      <c r="G98" s="172">
        <f>SUM(G99:G100)</f>
        <v>4494240.089999998</v>
      </c>
      <c r="I98" s="166" t="s">
        <v>233</v>
      </c>
      <c r="J98" s="152">
        <v>76198</v>
      </c>
      <c r="K98" s="163">
        <v>25001</v>
      </c>
      <c r="L98" s="163">
        <v>22760</v>
      </c>
      <c r="M98" s="162">
        <v>29.86955038189979</v>
      </c>
      <c r="N98" s="162">
        <v>91.03635854565817</v>
      </c>
      <c r="O98" s="152">
        <v>4572</v>
      </c>
      <c r="Q98" s="159">
        <f t="shared" si="16"/>
        <v>22760</v>
      </c>
      <c r="R98" s="145">
        <v>13695</v>
      </c>
      <c r="S98" s="145">
        <f t="shared" si="17"/>
        <v>9065</v>
      </c>
    </row>
    <row r="99" spans="1:19" ht="12.75" customHeight="1">
      <c r="A99" s="168" t="s">
        <v>234</v>
      </c>
      <c r="B99" s="170">
        <v>71241725</v>
      </c>
      <c r="C99" s="170">
        <v>18365648</v>
      </c>
      <c r="D99" s="170">
        <v>17169636.31</v>
      </c>
      <c r="E99" s="155">
        <f t="shared" si="23"/>
        <v>24.10053421643005</v>
      </c>
      <c r="F99" s="155">
        <f t="shared" si="24"/>
        <v>93.48777843286553</v>
      </c>
      <c r="G99" s="170">
        <f>D99-'[2]Marts'!D99</f>
        <v>4292026.339999998</v>
      </c>
      <c r="I99" s="168" t="s">
        <v>234</v>
      </c>
      <c r="J99" s="163">
        <v>71241</v>
      </c>
      <c r="K99" s="163">
        <v>22889</v>
      </c>
      <c r="L99" s="163">
        <v>20993</v>
      </c>
      <c r="M99" s="164">
        <v>29.467581869990596</v>
      </c>
      <c r="N99" s="164">
        <v>91.71654506531522</v>
      </c>
      <c r="O99" s="163">
        <v>3824</v>
      </c>
      <c r="Q99" s="159">
        <f t="shared" si="16"/>
        <v>20993</v>
      </c>
      <c r="R99" s="145">
        <v>12878</v>
      </c>
      <c r="S99" s="145">
        <f t="shared" si="17"/>
        <v>8115</v>
      </c>
    </row>
    <row r="100" spans="1:19" ht="12.75" customHeight="1">
      <c r="A100" s="168" t="s">
        <v>235</v>
      </c>
      <c r="B100" s="170">
        <v>4956691</v>
      </c>
      <c r="C100" s="170">
        <v>1689641</v>
      </c>
      <c r="D100" s="170">
        <v>1018861.45</v>
      </c>
      <c r="E100" s="155">
        <f t="shared" si="23"/>
        <v>20.5552746782077</v>
      </c>
      <c r="F100" s="155">
        <f t="shared" si="24"/>
        <v>60.30046915291473</v>
      </c>
      <c r="G100" s="170">
        <f>D100-'[2]Marts'!D100</f>
        <v>202213.75</v>
      </c>
      <c r="I100" s="168" t="s">
        <v>235</v>
      </c>
      <c r="J100" s="163">
        <v>4957</v>
      </c>
      <c r="K100" s="163">
        <v>2112</v>
      </c>
      <c r="L100" s="163">
        <v>1767</v>
      </c>
      <c r="M100" s="164">
        <v>35.64656041960863</v>
      </c>
      <c r="N100" s="164">
        <v>83.66477272727273</v>
      </c>
      <c r="O100" s="163">
        <v>748</v>
      </c>
      <c r="Q100" s="159">
        <f t="shared" si="16"/>
        <v>1767</v>
      </c>
      <c r="R100" s="145">
        <v>817</v>
      </c>
      <c r="S100" s="145">
        <f t="shared" si="17"/>
        <v>950</v>
      </c>
    </row>
    <row r="101" spans="1:19" ht="12.75" customHeight="1">
      <c r="A101" s="166" t="s">
        <v>259</v>
      </c>
      <c r="B101" s="170"/>
      <c r="C101" s="170"/>
      <c r="D101" s="170"/>
      <c r="E101" s="170"/>
      <c r="F101" s="170"/>
      <c r="G101" s="170"/>
      <c r="I101" s="166" t="s">
        <v>260</v>
      </c>
      <c r="J101" s="170"/>
      <c r="K101" s="170"/>
      <c r="L101" s="170"/>
      <c r="M101" s="164"/>
      <c r="N101" s="164"/>
      <c r="O101" s="170"/>
      <c r="Q101" s="159">
        <f t="shared" si="16"/>
        <v>0</v>
      </c>
      <c r="S101" s="145">
        <f t="shared" si="17"/>
        <v>0</v>
      </c>
    </row>
    <row r="102" spans="1:19" ht="12.75" customHeight="1">
      <c r="A102" s="160" t="s">
        <v>228</v>
      </c>
      <c r="B102" s="170">
        <f>SUM(B103:B105)</f>
        <v>17518289</v>
      </c>
      <c r="C102" s="170">
        <f>C103+C104+C105</f>
        <v>4487947</v>
      </c>
      <c r="D102" s="170">
        <f>SUM(D103:D105)</f>
        <v>2756901.63</v>
      </c>
      <c r="E102" s="155">
        <f aca="true" t="shared" si="25" ref="E102:E108">IF(ISERROR(D102/B102)," ",(D102/B102))*100</f>
        <v>15.737276796837865</v>
      </c>
      <c r="F102" s="155">
        <f aca="true" t="shared" si="26" ref="F102:F108">IF(ISERROR(D102/C102)," ",(D102/C102))*100</f>
        <v>61.42901487027365</v>
      </c>
      <c r="G102" s="170">
        <f>SUM(G103:G105)</f>
        <v>740421.75</v>
      </c>
      <c r="I102" s="160" t="s">
        <v>228</v>
      </c>
      <c r="J102" s="152">
        <v>17519</v>
      </c>
      <c r="K102" s="152">
        <v>5243</v>
      </c>
      <c r="L102" s="152">
        <v>4500</v>
      </c>
      <c r="M102" s="162">
        <v>25.68639762543524</v>
      </c>
      <c r="N102" s="162">
        <v>85.82872401296967</v>
      </c>
      <c r="O102" s="152">
        <v>1743</v>
      </c>
      <c r="Q102" s="159">
        <f t="shared" si="16"/>
        <v>4500</v>
      </c>
      <c r="R102" s="145">
        <v>2017</v>
      </c>
      <c r="S102" s="145">
        <f t="shared" si="17"/>
        <v>2483</v>
      </c>
    </row>
    <row r="103" spans="1:19" ht="12.75" customHeight="1">
      <c r="A103" s="160" t="s">
        <v>229</v>
      </c>
      <c r="B103" s="170">
        <v>9585836</v>
      </c>
      <c r="C103" s="170">
        <v>2662926</v>
      </c>
      <c r="D103" s="170">
        <v>2662926</v>
      </c>
      <c r="E103" s="155">
        <f t="shared" si="25"/>
        <v>27.779799278852675</v>
      </c>
      <c r="F103" s="155">
        <f t="shared" si="26"/>
        <v>100</v>
      </c>
      <c r="G103" s="170">
        <f>D103-'[2]Marts'!D103</f>
        <v>738143</v>
      </c>
      <c r="I103" s="160" t="s">
        <v>229</v>
      </c>
      <c r="J103" s="163">
        <v>9586</v>
      </c>
      <c r="K103" s="163">
        <v>3414</v>
      </c>
      <c r="L103" s="163">
        <v>3414</v>
      </c>
      <c r="M103" s="164">
        <v>35.61443772167745</v>
      </c>
      <c r="N103" s="164">
        <v>100</v>
      </c>
      <c r="O103" s="163">
        <v>751</v>
      </c>
      <c r="Q103" s="159">
        <f t="shared" si="16"/>
        <v>3414</v>
      </c>
      <c r="R103" s="145">
        <v>1925</v>
      </c>
      <c r="S103" s="145">
        <f t="shared" si="17"/>
        <v>1489</v>
      </c>
    </row>
    <row r="104" spans="1:19" ht="12.75" customHeight="1">
      <c r="A104" s="160" t="s">
        <v>231</v>
      </c>
      <c r="B104" s="170">
        <v>58722</v>
      </c>
      <c r="C104" s="170">
        <v>19570</v>
      </c>
      <c r="D104" s="170">
        <v>3492.63</v>
      </c>
      <c r="E104" s="155">
        <f t="shared" si="25"/>
        <v>5.947736793705936</v>
      </c>
      <c r="F104" s="155">
        <f t="shared" si="26"/>
        <v>17.84685743484926</v>
      </c>
      <c r="G104" s="170">
        <f>D104-'[2]Marts'!D104</f>
        <v>2278.75</v>
      </c>
      <c r="I104" s="160" t="s">
        <v>231</v>
      </c>
      <c r="J104" s="163">
        <v>59</v>
      </c>
      <c r="K104" s="163">
        <v>24</v>
      </c>
      <c r="L104" s="163">
        <v>5</v>
      </c>
      <c r="M104" s="164">
        <v>8.47457627118644</v>
      </c>
      <c r="N104" s="164">
        <v>20.833333333333336</v>
      </c>
      <c r="O104" s="163">
        <v>1</v>
      </c>
      <c r="Q104" s="159">
        <f t="shared" si="16"/>
        <v>5</v>
      </c>
      <c r="R104" s="145">
        <v>1</v>
      </c>
      <c r="S104" s="145">
        <f t="shared" si="17"/>
        <v>4</v>
      </c>
    </row>
    <row r="105" spans="1:19" ht="12.75" customHeight="1">
      <c r="A105" s="160" t="s">
        <v>232</v>
      </c>
      <c r="B105" s="170">
        <v>7873731</v>
      </c>
      <c r="C105" s="170">
        <v>1805451</v>
      </c>
      <c r="D105" s="170">
        <v>90483</v>
      </c>
      <c r="E105" s="155">
        <f t="shared" si="25"/>
        <v>1.1491756576393073</v>
      </c>
      <c r="F105" s="155">
        <f t="shared" si="26"/>
        <v>5.011656367301024</v>
      </c>
      <c r="G105" s="170">
        <v>0</v>
      </c>
      <c r="I105" s="160" t="s">
        <v>232</v>
      </c>
      <c r="J105" s="163">
        <v>7874</v>
      </c>
      <c r="K105" s="163">
        <v>1805</v>
      </c>
      <c r="L105" s="163">
        <v>1081</v>
      </c>
      <c r="M105" s="164">
        <v>13.728727457454914</v>
      </c>
      <c r="N105" s="164">
        <v>59.88919667590028</v>
      </c>
      <c r="O105" s="163">
        <v>991</v>
      </c>
      <c r="Q105" s="159">
        <f t="shared" si="16"/>
        <v>1081</v>
      </c>
      <c r="R105" s="145">
        <v>91</v>
      </c>
      <c r="S105" s="145">
        <f t="shared" si="17"/>
        <v>990</v>
      </c>
    </row>
    <row r="106" spans="1:19" ht="12.75" customHeight="1">
      <c r="A106" s="166" t="s">
        <v>233</v>
      </c>
      <c r="B106" s="172">
        <f>SUM(B107:B108)</f>
        <v>17518289</v>
      </c>
      <c r="C106" s="172">
        <f>SUM(C107:C108)</f>
        <v>4487947</v>
      </c>
      <c r="D106" s="172">
        <f>SUM(D107:D108)</f>
        <v>2348145.98</v>
      </c>
      <c r="E106" s="155">
        <f t="shared" si="25"/>
        <v>13.403968732334533</v>
      </c>
      <c r="F106" s="155">
        <f t="shared" si="26"/>
        <v>52.32116110105578</v>
      </c>
      <c r="G106" s="172">
        <f>SUM(G107:G108)</f>
        <v>617716.86</v>
      </c>
      <c r="I106" s="166" t="s">
        <v>233</v>
      </c>
      <c r="J106" s="152">
        <v>17518</v>
      </c>
      <c r="K106" s="152">
        <v>5243</v>
      </c>
      <c r="L106" s="152">
        <v>4074</v>
      </c>
      <c r="M106" s="162">
        <v>23.2560794611257</v>
      </c>
      <c r="N106" s="162">
        <v>77.70360480640855</v>
      </c>
      <c r="O106" s="152">
        <v>1727</v>
      </c>
      <c r="Q106" s="159">
        <f t="shared" si="16"/>
        <v>4074</v>
      </c>
      <c r="R106" s="145">
        <v>1730</v>
      </c>
      <c r="S106" s="145">
        <f t="shared" si="17"/>
        <v>2344</v>
      </c>
    </row>
    <row r="107" spans="1:19" ht="12.75" customHeight="1">
      <c r="A107" s="168" t="s">
        <v>234</v>
      </c>
      <c r="B107" s="170">
        <v>7125586</v>
      </c>
      <c r="C107" s="170">
        <v>2588517</v>
      </c>
      <c r="D107" s="170">
        <v>2212968.04</v>
      </c>
      <c r="E107" s="155">
        <f t="shared" si="25"/>
        <v>31.056646288459643</v>
      </c>
      <c r="F107" s="155">
        <f t="shared" si="26"/>
        <v>85.4917329111611</v>
      </c>
      <c r="G107" s="170">
        <f>D107-'[2]Marts'!D107</f>
        <v>579649.28</v>
      </c>
      <c r="I107" s="168" t="s">
        <v>234</v>
      </c>
      <c r="J107" s="163">
        <v>7126</v>
      </c>
      <c r="K107" s="163">
        <v>3204</v>
      </c>
      <c r="L107" s="163">
        <v>3026</v>
      </c>
      <c r="M107" s="164">
        <v>42.46421554869492</v>
      </c>
      <c r="N107" s="164">
        <v>94.44444444444444</v>
      </c>
      <c r="O107" s="163">
        <v>814</v>
      </c>
      <c r="Q107" s="159">
        <f t="shared" si="16"/>
        <v>3026</v>
      </c>
      <c r="R107" s="145">
        <v>1633</v>
      </c>
      <c r="S107" s="145">
        <f t="shared" si="17"/>
        <v>1393</v>
      </c>
    </row>
    <row r="108" spans="1:19" ht="12.75" customHeight="1">
      <c r="A108" s="168" t="s">
        <v>235</v>
      </c>
      <c r="B108" s="170">
        <v>10392703</v>
      </c>
      <c r="C108" s="170">
        <v>1899430</v>
      </c>
      <c r="D108" s="170">
        <v>135177.94</v>
      </c>
      <c r="E108" s="155">
        <f t="shared" si="25"/>
        <v>1.3007005011112123</v>
      </c>
      <c r="F108" s="155">
        <f t="shared" si="26"/>
        <v>7.116763450087658</v>
      </c>
      <c r="G108" s="170">
        <f>D108-'[2]Marts'!D108</f>
        <v>38067.58</v>
      </c>
      <c r="I108" s="168" t="s">
        <v>235</v>
      </c>
      <c r="J108" s="163">
        <v>10392</v>
      </c>
      <c r="K108" s="163">
        <v>2039</v>
      </c>
      <c r="L108" s="163">
        <v>1048</v>
      </c>
      <c r="M108" s="164">
        <v>10.0846805234796</v>
      </c>
      <c r="N108" s="164">
        <v>51.39774399215301</v>
      </c>
      <c r="O108" s="163">
        <v>913</v>
      </c>
      <c r="Q108" s="159">
        <f t="shared" si="16"/>
        <v>1048</v>
      </c>
      <c r="R108" s="145">
        <v>97</v>
      </c>
      <c r="S108" s="145">
        <f t="shared" si="17"/>
        <v>951</v>
      </c>
    </row>
    <row r="109" spans="1:19" ht="12.75" customHeight="1">
      <c r="A109" s="166" t="s">
        <v>261</v>
      </c>
      <c r="B109" s="172"/>
      <c r="C109" s="172"/>
      <c r="D109" s="172"/>
      <c r="E109" s="172"/>
      <c r="F109" s="172"/>
      <c r="G109" s="172"/>
      <c r="I109" s="166" t="s">
        <v>262</v>
      </c>
      <c r="J109" s="172"/>
      <c r="K109" s="172"/>
      <c r="L109" s="172"/>
      <c r="M109" s="164"/>
      <c r="N109" s="164"/>
      <c r="O109" s="172"/>
      <c r="Q109" s="159">
        <f t="shared" si="16"/>
        <v>0</v>
      </c>
      <c r="S109" s="145">
        <f t="shared" si="17"/>
        <v>0</v>
      </c>
    </row>
    <row r="110" spans="1:19" ht="12.75" customHeight="1">
      <c r="A110" s="160" t="s">
        <v>228</v>
      </c>
      <c r="B110" s="170">
        <f>SUM(B111:B114)</f>
        <v>162542594</v>
      </c>
      <c r="C110" s="170">
        <f>SUM(C111:C114)</f>
        <v>54082351</v>
      </c>
      <c r="D110" s="170">
        <f>SUM(D111:D114)</f>
        <v>52866652.7</v>
      </c>
      <c r="E110" s="155">
        <f>IF(ISERROR(D110/B110)," ",(D110/B110))*100</f>
        <v>32.52479943810913</v>
      </c>
      <c r="F110" s="155">
        <f>IF(ISERROR(D110/C110)," ",(D110/C110))*100</f>
        <v>97.75213488777513</v>
      </c>
      <c r="G110" s="170">
        <f>SUM(G111:G114)</f>
        <v>15165153.89</v>
      </c>
      <c r="I110" s="160" t="s">
        <v>228</v>
      </c>
      <c r="J110" s="152">
        <v>162542</v>
      </c>
      <c r="K110" s="152">
        <v>68755</v>
      </c>
      <c r="L110" s="152">
        <v>67212</v>
      </c>
      <c r="M110" s="162">
        <v>41.35054324420765</v>
      </c>
      <c r="N110" s="162">
        <v>97.7557995782125</v>
      </c>
      <c r="O110" s="152">
        <v>14345</v>
      </c>
      <c r="Q110" s="159">
        <f t="shared" si="16"/>
        <v>67212</v>
      </c>
      <c r="R110" s="145">
        <v>37702</v>
      </c>
      <c r="S110" s="145">
        <f t="shared" si="17"/>
        <v>29510</v>
      </c>
    </row>
    <row r="111" spans="1:19" ht="12.75" customHeight="1">
      <c r="A111" s="160" t="s">
        <v>229</v>
      </c>
      <c r="B111" s="170">
        <v>154077482</v>
      </c>
      <c r="C111" s="170">
        <v>51416846</v>
      </c>
      <c r="D111" s="170">
        <v>51416846</v>
      </c>
      <c r="E111" s="155">
        <f>IF(ISERROR(D111/B111)," ",(D111/B111))*100</f>
        <v>33.37077250522565</v>
      </c>
      <c r="F111" s="155">
        <f>IF(ISERROR(D111/C111)," ",(D111/C111))*100</f>
        <v>100</v>
      </c>
      <c r="G111" s="170">
        <f>D111-'[2]Marts'!D111</f>
        <v>14853590</v>
      </c>
      <c r="I111" s="160" t="s">
        <v>229</v>
      </c>
      <c r="J111" s="163">
        <v>154077</v>
      </c>
      <c r="K111" s="163">
        <v>65433</v>
      </c>
      <c r="L111" s="163">
        <v>65433</v>
      </c>
      <c r="M111" s="164">
        <v>42.467727175373355</v>
      </c>
      <c r="N111" s="164">
        <v>100</v>
      </c>
      <c r="O111" s="163">
        <v>14016</v>
      </c>
      <c r="Q111" s="159">
        <f t="shared" si="16"/>
        <v>65433</v>
      </c>
      <c r="R111" s="145">
        <v>36563</v>
      </c>
      <c r="S111" s="145">
        <f t="shared" si="17"/>
        <v>28870</v>
      </c>
    </row>
    <row r="112" spans="1:19" ht="12.75" customHeight="1">
      <c r="A112" s="160" t="s">
        <v>230</v>
      </c>
      <c r="B112" s="170">
        <v>123902</v>
      </c>
      <c r="C112" s="170"/>
      <c r="D112" s="170"/>
      <c r="E112" s="155"/>
      <c r="F112" s="155"/>
      <c r="G112" s="170"/>
      <c r="I112" s="160" t="s">
        <v>230</v>
      </c>
      <c r="J112" s="163">
        <v>124</v>
      </c>
      <c r="K112" s="163"/>
      <c r="L112" s="163"/>
      <c r="M112" s="164"/>
      <c r="N112" s="164"/>
      <c r="O112" s="163"/>
      <c r="Q112" s="159">
        <f t="shared" si="16"/>
        <v>0</v>
      </c>
      <c r="S112" s="145">
        <f t="shared" si="17"/>
        <v>0</v>
      </c>
    </row>
    <row r="113" spans="1:19" ht="12.75" customHeight="1">
      <c r="A113" s="160" t="s">
        <v>231</v>
      </c>
      <c r="B113" s="170">
        <v>5299958</v>
      </c>
      <c r="C113" s="170">
        <v>1763635</v>
      </c>
      <c r="D113" s="170">
        <v>1441267.7</v>
      </c>
      <c r="E113" s="155">
        <f>IF(ISERROR(D113/B113)," ",(D113/B113))*100</f>
        <v>27.19394568787149</v>
      </c>
      <c r="F113" s="155">
        <f>IF(ISERROR(D113/C113)," ",(D113/C113))*100</f>
        <v>81.72142761966053</v>
      </c>
      <c r="G113" s="170">
        <f>D113-'[2]Marts'!D113</f>
        <v>311563.8899999999</v>
      </c>
      <c r="I113" s="160" t="s">
        <v>231</v>
      </c>
      <c r="J113" s="163">
        <v>5300</v>
      </c>
      <c r="K113" s="163">
        <v>2216</v>
      </c>
      <c r="L113" s="163">
        <v>1770</v>
      </c>
      <c r="M113" s="164">
        <v>33.39622641509434</v>
      </c>
      <c r="N113" s="164">
        <v>79.87364620938628</v>
      </c>
      <c r="O113" s="163">
        <v>329</v>
      </c>
      <c r="Q113" s="159">
        <f t="shared" si="16"/>
        <v>1770</v>
      </c>
      <c r="R113" s="145">
        <v>1130</v>
      </c>
      <c r="S113" s="145">
        <f t="shared" si="17"/>
        <v>640</v>
      </c>
    </row>
    <row r="114" spans="1:19" ht="12.75" customHeight="1">
      <c r="A114" s="160" t="s">
        <v>232</v>
      </c>
      <c r="B114" s="170">
        <v>3041252</v>
      </c>
      <c r="C114" s="170">
        <v>901870</v>
      </c>
      <c r="D114" s="170">
        <v>8539</v>
      </c>
      <c r="E114" s="155">
        <f>IF(ISERROR(D114/B114)," ",(D114/B114))*100</f>
        <v>0.2807725239473743</v>
      </c>
      <c r="F114" s="155">
        <f>IF(ISERROR(D114/C114)," ",(D114/C114))*100</f>
        <v>0.9468105159280162</v>
      </c>
      <c r="G114" s="170">
        <v>0</v>
      </c>
      <c r="I114" s="160" t="s">
        <v>232</v>
      </c>
      <c r="J114" s="163">
        <v>3041</v>
      </c>
      <c r="K114" s="163">
        <v>1106</v>
      </c>
      <c r="L114" s="163">
        <v>9</v>
      </c>
      <c r="M114" s="164">
        <v>0.295955277869122</v>
      </c>
      <c r="N114" s="164">
        <v>0.81374321880651</v>
      </c>
      <c r="O114" s="163"/>
      <c r="Q114" s="159">
        <f t="shared" si="16"/>
        <v>9</v>
      </c>
      <c r="R114" s="145">
        <v>9</v>
      </c>
      <c r="S114" s="145">
        <f t="shared" si="17"/>
        <v>0</v>
      </c>
    </row>
    <row r="115" spans="1:19" ht="12.75" customHeight="1">
      <c r="A115" s="166" t="s">
        <v>233</v>
      </c>
      <c r="B115" s="172">
        <f>SUM(B116:B117)</f>
        <v>162542594</v>
      </c>
      <c r="C115" s="172">
        <f>SUM(C116:C117)</f>
        <v>54082351</v>
      </c>
      <c r="D115" s="172">
        <f>SUM(D116:D117)</f>
        <v>52277854.03</v>
      </c>
      <c r="E115" s="154">
        <f>IF(ISERROR(D115/B115)," ",(D115/B115))*100</f>
        <v>32.162556744972335</v>
      </c>
      <c r="F115" s="154">
        <f>IF(ISERROR(D115/C115)," ",(D115/C115))*100</f>
        <v>96.66342727963139</v>
      </c>
      <c r="G115" s="172">
        <f>SUM(G116:G117)</f>
        <v>15159767.6</v>
      </c>
      <c r="I115" s="166" t="s">
        <v>233</v>
      </c>
      <c r="J115" s="152">
        <v>162543</v>
      </c>
      <c r="K115" s="152">
        <v>68754</v>
      </c>
      <c r="L115" s="152">
        <v>66706</v>
      </c>
      <c r="M115" s="162">
        <v>41.03898660662102</v>
      </c>
      <c r="N115" s="162">
        <v>97.02126421735463</v>
      </c>
      <c r="O115" s="152">
        <v>14429</v>
      </c>
      <c r="Q115" s="159">
        <f t="shared" si="16"/>
        <v>66706</v>
      </c>
      <c r="R115" s="145">
        <v>37119</v>
      </c>
      <c r="S115" s="145">
        <f t="shared" si="17"/>
        <v>29587</v>
      </c>
    </row>
    <row r="116" spans="1:19" ht="12.75" customHeight="1">
      <c r="A116" s="168" t="s">
        <v>234</v>
      </c>
      <c r="B116" s="170">
        <v>158965890</v>
      </c>
      <c r="C116" s="170">
        <v>52901971</v>
      </c>
      <c r="D116" s="170">
        <v>51454570.81</v>
      </c>
      <c r="E116" s="155">
        <f>IF(ISERROR(D116/B116)," ",(D116/B116))*100</f>
        <v>32.36830920771745</v>
      </c>
      <c r="F116" s="155">
        <f>IF(ISERROR(D116/C116)," ",(D116/C116))*100</f>
        <v>97.26399572144486</v>
      </c>
      <c r="G116" s="170">
        <f>D116-'[2]Marts'!D116</f>
        <v>14800004.969999999</v>
      </c>
      <c r="I116" s="168" t="s">
        <v>234</v>
      </c>
      <c r="J116" s="163">
        <v>158966</v>
      </c>
      <c r="K116" s="163">
        <v>67265</v>
      </c>
      <c r="L116" s="163">
        <v>65621</v>
      </c>
      <c r="M116" s="164">
        <v>41.27989633003284</v>
      </c>
      <c r="N116" s="164">
        <v>97.5559354790753</v>
      </c>
      <c r="O116" s="163">
        <v>14167</v>
      </c>
      <c r="Q116" s="159">
        <f t="shared" si="16"/>
        <v>65621</v>
      </c>
      <c r="R116" s="145">
        <v>36655</v>
      </c>
      <c r="S116" s="145">
        <f t="shared" si="17"/>
        <v>28966</v>
      </c>
    </row>
    <row r="117" spans="1:19" ht="12.75" customHeight="1">
      <c r="A117" s="168" t="s">
        <v>235</v>
      </c>
      <c r="B117" s="170">
        <v>3576704</v>
      </c>
      <c r="C117" s="170">
        <v>1180380</v>
      </c>
      <c r="D117" s="170">
        <v>823283.22</v>
      </c>
      <c r="E117" s="155">
        <f>IF(ISERROR(D117/B117)," ",(D117/B117))*100</f>
        <v>23.017929915363418</v>
      </c>
      <c r="F117" s="155">
        <f>IF(ISERROR(D117/C117)," ",(D117/C117))*100</f>
        <v>69.74730341076602</v>
      </c>
      <c r="G117" s="170">
        <f>D117-'[2]Marts'!D117</f>
        <v>359762.62999999995</v>
      </c>
      <c r="I117" s="168" t="s">
        <v>235</v>
      </c>
      <c r="J117" s="163">
        <v>3577</v>
      </c>
      <c r="K117" s="163">
        <v>1489</v>
      </c>
      <c r="L117" s="163">
        <v>1085</v>
      </c>
      <c r="M117" s="164">
        <v>30.332681017612522</v>
      </c>
      <c r="N117" s="164">
        <v>72.86769644056413</v>
      </c>
      <c r="O117" s="163">
        <v>262</v>
      </c>
      <c r="Q117" s="159">
        <f t="shared" si="16"/>
        <v>1085</v>
      </c>
      <c r="R117" s="145">
        <v>464</v>
      </c>
      <c r="S117" s="145">
        <f t="shared" si="17"/>
        <v>621</v>
      </c>
    </row>
    <row r="118" spans="1:19" ht="12.75" customHeight="1">
      <c r="A118" s="166" t="s">
        <v>263</v>
      </c>
      <c r="B118" s="172"/>
      <c r="C118" s="172"/>
      <c r="D118" s="172"/>
      <c r="E118" s="172"/>
      <c r="F118" s="172"/>
      <c r="G118" s="172"/>
      <c r="I118" s="166" t="s">
        <v>264</v>
      </c>
      <c r="J118" s="172"/>
      <c r="K118" s="172"/>
      <c r="L118" s="172"/>
      <c r="M118" s="164"/>
      <c r="N118" s="164"/>
      <c r="O118" s="172"/>
      <c r="Q118" s="159">
        <f t="shared" si="16"/>
        <v>0</v>
      </c>
      <c r="S118" s="145">
        <f t="shared" si="17"/>
        <v>0</v>
      </c>
    </row>
    <row r="119" spans="1:19" ht="12.75" customHeight="1">
      <c r="A119" s="160" t="s">
        <v>228</v>
      </c>
      <c r="B119" s="170">
        <f>SUM(B120:B122)</f>
        <v>28473512</v>
      </c>
      <c r="C119" s="170">
        <f>SUM(C120:C122)</f>
        <v>9364744</v>
      </c>
      <c r="D119" s="170">
        <f>SUM(D120:D122)</f>
        <v>8672281.44</v>
      </c>
      <c r="E119" s="155">
        <f aca="true" t="shared" si="27" ref="E119:E125">IF(ISERROR(D119/B119)," ",(D119/B119))*100</f>
        <v>30.457364865984914</v>
      </c>
      <c r="F119" s="155">
        <f aca="true" t="shared" si="28" ref="F119:F125">IF(ISERROR(D119/C119)," ",(D119/C119))*100</f>
        <v>92.6056434644663</v>
      </c>
      <c r="G119" s="170">
        <f>SUM(G120:G122)</f>
        <v>2338241.66</v>
      </c>
      <c r="I119" s="160" t="s">
        <v>228</v>
      </c>
      <c r="J119" s="152">
        <v>28473</v>
      </c>
      <c r="K119" s="152">
        <v>11742</v>
      </c>
      <c r="L119" s="152">
        <v>11164</v>
      </c>
      <c r="M119" s="162">
        <v>39.20907526428547</v>
      </c>
      <c r="N119" s="162">
        <v>95.07749957417816</v>
      </c>
      <c r="O119" s="152">
        <v>2492</v>
      </c>
      <c r="Q119" s="159">
        <f t="shared" si="16"/>
        <v>11164</v>
      </c>
      <c r="R119" s="145">
        <v>6335</v>
      </c>
      <c r="S119" s="145">
        <f t="shared" si="17"/>
        <v>4829</v>
      </c>
    </row>
    <row r="120" spans="1:19" ht="12.75" customHeight="1">
      <c r="A120" s="160" t="s">
        <v>229</v>
      </c>
      <c r="B120" s="170">
        <v>24720936</v>
      </c>
      <c r="C120" s="170">
        <v>8144151</v>
      </c>
      <c r="D120" s="170">
        <v>8144151</v>
      </c>
      <c r="E120" s="155">
        <f t="shared" si="27"/>
        <v>32.94434725287101</v>
      </c>
      <c r="F120" s="155">
        <f t="shared" si="28"/>
        <v>100</v>
      </c>
      <c r="G120" s="170">
        <f>D120-'[2]Marts'!D120</f>
        <v>2242529</v>
      </c>
      <c r="I120" s="160" t="s">
        <v>229</v>
      </c>
      <c r="J120" s="163">
        <v>24721</v>
      </c>
      <c r="K120" s="163">
        <v>10377</v>
      </c>
      <c r="L120" s="163">
        <v>10377</v>
      </c>
      <c r="M120" s="164">
        <v>41.9764572630557</v>
      </c>
      <c r="N120" s="164">
        <v>100</v>
      </c>
      <c r="O120" s="163">
        <v>2233</v>
      </c>
      <c r="Q120" s="159">
        <f t="shared" si="16"/>
        <v>10377</v>
      </c>
      <c r="R120" s="145">
        <v>5902</v>
      </c>
      <c r="S120" s="145">
        <f t="shared" si="17"/>
        <v>4475</v>
      </c>
    </row>
    <row r="121" spans="1:19" ht="12.75" customHeight="1">
      <c r="A121" s="160" t="s">
        <v>231</v>
      </c>
      <c r="B121" s="170">
        <v>1329472</v>
      </c>
      <c r="C121" s="170">
        <v>439192</v>
      </c>
      <c r="D121" s="170">
        <v>271944.44</v>
      </c>
      <c r="E121" s="155">
        <f t="shared" si="27"/>
        <v>20.45507088528378</v>
      </c>
      <c r="F121" s="155">
        <f t="shared" si="28"/>
        <v>61.91926082442303</v>
      </c>
      <c r="G121" s="170">
        <f>D121-'[2]Marts'!D121</f>
        <v>91187.66</v>
      </c>
      <c r="I121" s="160" t="s">
        <v>231</v>
      </c>
      <c r="J121" s="163">
        <v>1329</v>
      </c>
      <c r="K121" s="163">
        <v>550</v>
      </c>
      <c r="L121" s="163">
        <v>345</v>
      </c>
      <c r="M121" s="164">
        <v>25.95936794582393</v>
      </c>
      <c r="N121" s="164">
        <v>62.727272727272734</v>
      </c>
      <c r="O121" s="163">
        <v>73</v>
      </c>
      <c r="Q121" s="159">
        <f t="shared" si="16"/>
        <v>345</v>
      </c>
      <c r="R121" s="145">
        <v>181</v>
      </c>
      <c r="S121" s="145">
        <f t="shared" si="17"/>
        <v>164</v>
      </c>
    </row>
    <row r="122" spans="1:19" ht="12.75" customHeight="1">
      <c r="A122" s="160" t="s">
        <v>232</v>
      </c>
      <c r="B122" s="170">
        <v>2423104</v>
      </c>
      <c r="C122" s="170">
        <v>781401</v>
      </c>
      <c r="D122" s="170">
        <v>256186</v>
      </c>
      <c r="E122" s="155">
        <f t="shared" si="27"/>
        <v>10.572637410527983</v>
      </c>
      <c r="F122" s="155">
        <f t="shared" si="28"/>
        <v>32.78547122412181</v>
      </c>
      <c r="G122" s="170">
        <v>4525</v>
      </c>
      <c r="I122" s="160" t="s">
        <v>232</v>
      </c>
      <c r="J122" s="163">
        <v>2423</v>
      </c>
      <c r="K122" s="163">
        <v>815</v>
      </c>
      <c r="L122" s="163">
        <v>442</v>
      </c>
      <c r="M122" s="164">
        <v>18.241848947585638</v>
      </c>
      <c r="N122" s="164">
        <v>54.233128834355824</v>
      </c>
      <c r="O122" s="163">
        <v>186</v>
      </c>
      <c r="Q122" s="159">
        <f t="shared" si="16"/>
        <v>442</v>
      </c>
      <c r="R122" s="145">
        <v>252</v>
      </c>
      <c r="S122" s="145">
        <f t="shared" si="17"/>
        <v>190</v>
      </c>
    </row>
    <row r="123" spans="1:19" ht="12.75" customHeight="1">
      <c r="A123" s="166" t="s">
        <v>233</v>
      </c>
      <c r="B123" s="172">
        <f>SUM(B124:B125)</f>
        <v>28473512</v>
      </c>
      <c r="C123" s="172">
        <f>SUM(C124:C125)</f>
        <v>9364744</v>
      </c>
      <c r="D123" s="172">
        <f>SUM(D124:D125)</f>
        <v>8549169.48</v>
      </c>
      <c r="E123" s="155">
        <f t="shared" si="27"/>
        <v>30.024991226934</v>
      </c>
      <c r="F123" s="155">
        <f t="shared" si="28"/>
        <v>91.29101105166356</v>
      </c>
      <c r="G123" s="172">
        <f>SUM(G124:G125)</f>
        <v>2267742.1300000004</v>
      </c>
      <c r="I123" s="166" t="s">
        <v>233</v>
      </c>
      <c r="J123" s="152">
        <v>28473</v>
      </c>
      <c r="K123" s="152">
        <v>11742</v>
      </c>
      <c r="L123" s="152">
        <v>10979</v>
      </c>
      <c r="M123" s="162">
        <v>38.5593369156745</v>
      </c>
      <c r="N123" s="162">
        <v>93.50195878044626</v>
      </c>
      <c r="O123" s="152">
        <v>2430</v>
      </c>
      <c r="Q123" s="159">
        <f t="shared" si="16"/>
        <v>10979</v>
      </c>
      <c r="R123" s="145">
        <v>6282</v>
      </c>
      <c r="S123" s="145">
        <f t="shared" si="17"/>
        <v>4697</v>
      </c>
    </row>
    <row r="124" spans="1:19" ht="12.75" customHeight="1">
      <c r="A124" s="168" t="s">
        <v>234</v>
      </c>
      <c r="B124" s="170">
        <v>25018324</v>
      </c>
      <c r="C124" s="170">
        <v>7996934</v>
      </c>
      <c r="D124" s="170">
        <v>7447157.78</v>
      </c>
      <c r="E124" s="155">
        <f t="shared" si="27"/>
        <v>29.766813236570123</v>
      </c>
      <c r="F124" s="155">
        <f t="shared" si="28"/>
        <v>93.12516246851607</v>
      </c>
      <c r="G124" s="170">
        <f>D124-'[2]Marts'!D124</f>
        <v>2059286.9000000004</v>
      </c>
      <c r="I124" s="168" t="s">
        <v>234</v>
      </c>
      <c r="J124" s="163">
        <v>25018</v>
      </c>
      <c r="K124" s="163">
        <v>10037</v>
      </c>
      <c r="L124" s="163">
        <v>9442</v>
      </c>
      <c r="M124" s="164">
        <v>37.740826604844514</v>
      </c>
      <c r="N124" s="164">
        <v>94.07193384477434</v>
      </c>
      <c r="O124" s="163">
        <v>1995</v>
      </c>
      <c r="Q124" s="159">
        <f t="shared" si="16"/>
        <v>9442</v>
      </c>
      <c r="R124" s="145">
        <v>5388</v>
      </c>
      <c r="S124" s="145">
        <f t="shared" si="17"/>
        <v>4054</v>
      </c>
    </row>
    <row r="125" spans="1:19" ht="12.75" customHeight="1">
      <c r="A125" s="168" t="s">
        <v>235</v>
      </c>
      <c r="B125" s="170">
        <v>3455188</v>
      </c>
      <c r="C125" s="170">
        <v>1367810</v>
      </c>
      <c r="D125" s="170">
        <v>1102011.7</v>
      </c>
      <c r="E125" s="155">
        <f t="shared" si="27"/>
        <v>31.894406324634144</v>
      </c>
      <c r="F125" s="155">
        <f t="shared" si="28"/>
        <v>80.5676007632639</v>
      </c>
      <c r="G125" s="170">
        <f>D125-'[2]Marts'!D125</f>
        <v>208455.22999999998</v>
      </c>
      <c r="I125" s="168" t="s">
        <v>235</v>
      </c>
      <c r="J125" s="163">
        <v>3455</v>
      </c>
      <c r="K125" s="163">
        <v>1705</v>
      </c>
      <c r="L125" s="163">
        <v>1537</v>
      </c>
      <c r="M125" s="164">
        <v>44.486251808972504</v>
      </c>
      <c r="N125" s="164">
        <v>90.14662756598241</v>
      </c>
      <c r="O125" s="163">
        <v>435</v>
      </c>
      <c r="Q125" s="159">
        <f t="shared" si="16"/>
        <v>1537</v>
      </c>
      <c r="R125" s="145">
        <v>894</v>
      </c>
      <c r="S125" s="145">
        <f t="shared" si="17"/>
        <v>643</v>
      </c>
    </row>
    <row r="126" spans="1:19" ht="25.5" customHeight="1">
      <c r="A126" s="171" t="s">
        <v>265</v>
      </c>
      <c r="B126" s="170"/>
      <c r="C126" s="170"/>
      <c r="D126" s="170"/>
      <c r="E126" s="170"/>
      <c r="F126" s="170"/>
      <c r="G126" s="170"/>
      <c r="I126" s="171" t="s">
        <v>266</v>
      </c>
      <c r="J126" s="170"/>
      <c r="K126" s="170"/>
      <c r="L126" s="170"/>
      <c r="M126" s="164"/>
      <c r="N126" s="164"/>
      <c r="O126" s="170"/>
      <c r="Q126" s="159">
        <f t="shared" si="16"/>
        <v>0</v>
      </c>
      <c r="S126" s="145">
        <f t="shared" si="17"/>
        <v>0</v>
      </c>
    </row>
    <row r="127" spans="1:19" ht="12.75" customHeight="1">
      <c r="A127" s="160" t="s">
        <v>228</v>
      </c>
      <c r="B127" s="170">
        <f>SUM(B128:B130)</f>
        <v>15210100</v>
      </c>
      <c r="C127" s="170">
        <f>SUM(C128:C130)</f>
        <v>5055407</v>
      </c>
      <c r="D127" s="170">
        <f>SUM(D128:D130)</f>
        <v>3646119.77</v>
      </c>
      <c r="E127" s="155">
        <f aca="true" t="shared" si="29" ref="E127:E133">IF(ISERROR(D127/B127)," ",(D127/B127))*100</f>
        <v>23.971701500976327</v>
      </c>
      <c r="F127" s="155">
        <f aca="true" t="shared" si="30" ref="F127:F133">IF(ISERROR(D127/C127)," ",(D127/C127))*100</f>
        <v>72.12316970720656</v>
      </c>
      <c r="G127" s="170">
        <f>SUM(G128:G130)</f>
        <v>1031489.15</v>
      </c>
      <c r="I127" s="160" t="s">
        <v>228</v>
      </c>
      <c r="J127" s="152">
        <v>15209</v>
      </c>
      <c r="K127" s="152">
        <v>6029</v>
      </c>
      <c r="L127" s="152">
        <v>4868</v>
      </c>
      <c r="M127" s="162">
        <v>32.0073640607535</v>
      </c>
      <c r="N127" s="162">
        <v>80.74307513683861</v>
      </c>
      <c r="O127" s="152">
        <v>1222</v>
      </c>
      <c r="Q127" s="159">
        <f t="shared" si="16"/>
        <v>4868</v>
      </c>
      <c r="R127" s="145">
        <v>2615</v>
      </c>
      <c r="S127" s="145">
        <f t="shared" si="17"/>
        <v>2253</v>
      </c>
    </row>
    <row r="128" spans="1:19" ht="12.75" customHeight="1">
      <c r="A128" s="160" t="s">
        <v>229</v>
      </c>
      <c r="B128" s="170">
        <v>7619458</v>
      </c>
      <c r="C128" s="170">
        <v>2244934</v>
      </c>
      <c r="D128" s="170">
        <v>2244934</v>
      </c>
      <c r="E128" s="155">
        <f t="shared" si="29"/>
        <v>29.463171789909463</v>
      </c>
      <c r="F128" s="155">
        <f t="shared" si="30"/>
        <v>100</v>
      </c>
      <c r="G128" s="170">
        <f>D128-'[2]Marts'!D128</f>
        <v>634604</v>
      </c>
      <c r="I128" s="160" t="s">
        <v>229</v>
      </c>
      <c r="J128" s="163">
        <v>7619</v>
      </c>
      <c r="K128" s="163">
        <v>2876</v>
      </c>
      <c r="L128" s="163">
        <v>2876</v>
      </c>
      <c r="M128" s="164">
        <v>37.74773592334952</v>
      </c>
      <c r="N128" s="164">
        <v>100</v>
      </c>
      <c r="O128" s="163">
        <v>631</v>
      </c>
      <c r="Q128" s="159">
        <f t="shared" si="16"/>
        <v>2876</v>
      </c>
      <c r="R128" s="145">
        <v>1610</v>
      </c>
      <c r="S128" s="145">
        <f t="shared" si="17"/>
        <v>1266</v>
      </c>
    </row>
    <row r="129" spans="1:19" ht="12.75" customHeight="1">
      <c r="A129" s="160" t="s">
        <v>231</v>
      </c>
      <c r="B129" s="170">
        <v>1267424</v>
      </c>
      <c r="C129" s="170">
        <v>454073</v>
      </c>
      <c r="D129" s="170">
        <v>431137.77</v>
      </c>
      <c r="E129" s="155">
        <f t="shared" si="29"/>
        <v>34.01685387052794</v>
      </c>
      <c r="F129" s="155">
        <f t="shared" si="30"/>
        <v>94.94899938996593</v>
      </c>
      <c r="G129" s="170">
        <f>D129-'[2]Marts'!D129</f>
        <v>133538.15000000002</v>
      </c>
      <c r="I129" s="160" t="s">
        <v>231</v>
      </c>
      <c r="J129" s="163">
        <v>1267</v>
      </c>
      <c r="K129" s="163">
        <v>543</v>
      </c>
      <c r="L129" s="163">
        <v>531</v>
      </c>
      <c r="M129" s="164">
        <v>41.91002367797948</v>
      </c>
      <c r="N129" s="164">
        <v>97.79005524861878</v>
      </c>
      <c r="O129" s="163">
        <v>100</v>
      </c>
      <c r="Q129" s="159">
        <f t="shared" si="16"/>
        <v>531</v>
      </c>
      <c r="R129" s="145">
        <v>298</v>
      </c>
      <c r="S129" s="145">
        <f t="shared" si="17"/>
        <v>233</v>
      </c>
    </row>
    <row r="130" spans="1:19" ht="12.75" customHeight="1">
      <c r="A130" s="160" t="s">
        <v>232</v>
      </c>
      <c r="B130" s="170">
        <v>6323218</v>
      </c>
      <c r="C130" s="170">
        <v>2356400</v>
      </c>
      <c r="D130" s="170">
        <v>970048</v>
      </c>
      <c r="E130" s="155">
        <f t="shared" si="29"/>
        <v>15.341049446658332</v>
      </c>
      <c r="F130" s="155">
        <f t="shared" si="30"/>
        <v>41.16652520794432</v>
      </c>
      <c r="G130" s="170">
        <v>263347</v>
      </c>
      <c r="I130" s="160" t="s">
        <v>232</v>
      </c>
      <c r="J130" s="163">
        <v>6323</v>
      </c>
      <c r="K130" s="163">
        <v>2610</v>
      </c>
      <c r="L130" s="163">
        <v>1461</v>
      </c>
      <c r="M130" s="164">
        <v>23.106120512414993</v>
      </c>
      <c r="N130" s="164">
        <v>55.97701149425287</v>
      </c>
      <c r="O130" s="163">
        <v>491</v>
      </c>
      <c r="Q130" s="159">
        <f t="shared" si="16"/>
        <v>1461</v>
      </c>
      <c r="R130" s="145">
        <v>707</v>
      </c>
      <c r="S130" s="145">
        <f t="shared" si="17"/>
        <v>754</v>
      </c>
    </row>
    <row r="131" spans="1:19" ht="12.75" customHeight="1">
      <c r="A131" s="166" t="s">
        <v>233</v>
      </c>
      <c r="B131" s="172">
        <f>SUM(B132:B133)</f>
        <v>15209100</v>
      </c>
      <c r="C131" s="172">
        <f>SUM(C132:C133)</f>
        <v>5055407</v>
      </c>
      <c r="D131" s="172">
        <f>SUM(D132:D133)</f>
        <v>3271821.12</v>
      </c>
      <c r="E131" s="155">
        <f t="shared" si="29"/>
        <v>21.512259897035328</v>
      </c>
      <c r="F131" s="155">
        <f t="shared" si="30"/>
        <v>64.71924258521618</v>
      </c>
      <c r="G131" s="172">
        <f>SUM(G132:G133)</f>
        <v>905298.22</v>
      </c>
      <c r="I131" s="166" t="s">
        <v>233</v>
      </c>
      <c r="J131" s="152">
        <v>15209</v>
      </c>
      <c r="K131" s="152">
        <v>6029</v>
      </c>
      <c r="L131" s="152">
        <v>4461</v>
      </c>
      <c r="M131" s="162">
        <v>29.331316983365113</v>
      </c>
      <c r="N131" s="162">
        <v>73.99237021064853</v>
      </c>
      <c r="O131" s="152">
        <v>1189</v>
      </c>
      <c r="Q131" s="159">
        <f t="shared" si="16"/>
        <v>4461</v>
      </c>
      <c r="R131" s="145">
        <v>2367</v>
      </c>
      <c r="S131" s="145">
        <f t="shared" si="17"/>
        <v>2094</v>
      </c>
    </row>
    <row r="132" spans="1:19" ht="12.75" customHeight="1">
      <c r="A132" s="168" t="s">
        <v>234</v>
      </c>
      <c r="B132" s="170">
        <v>7285456</v>
      </c>
      <c r="C132" s="170">
        <v>2323057</v>
      </c>
      <c r="D132" s="170">
        <v>2103129.9</v>
      </c>
      <c r="E132" s="155">
        <f t="shared" si="29"/>
        <v>28.867512205138567</v>
      </c>
      <c r="F132" s="155">
        <f t="shared" si="30"/>
        <v>90.53285821226082</v>
      </c>
      <c r="G132" s="170">
        <f>D132-'[2]Marts'!D132</f>
        <v>578315.26</v>
      </c>
      <c r="I132" s="168" t="s">
        <v>234</v>
      </c>
      <c r="J132" s="163">
        <v>7285</v>
      </c>
      <c r="K132" s="163">
        <v>2944</v>
      </c>
      <c r="L132" s="163">
        <v>2692</v>
      </c>
      <c r="M132" s="164">
        <v>36.95264241592313</v>
      </c>
      <c r="N132" s="164">
        <v>91.44021739130434</v>
      </c>
      <c r="O132" s="163">
        <v>589</v>
      </c>
      <c r="Q132" s="159">
        <f t="shared" si="16"/>
        <v>2692</v>
      </c>
      <c r="R132" s="145">
        <v>1525</v>
      </c>
      <c r="S132" s="145">
        <f t="shared" si="17"/>
        <v>1167</v>
      </c>
    </row>
    <row r="133" spans="1:19" ht="12.75" customHeight="1">
      <c r="A133" s="168" t="s">
        <v>235</v>
      </c>
      <c r="B133" s="170">
        <v>7923644</v>
      </c>
      <c r="C133" s="170">
        <v>2732350</v>
      </c>
      <c r="D133" s="170">
        <v>1168691.22</v>
      </c>
      <c r="E133" s="155">
        <f t="shared" si="29"/>
        <v>14.749416051503575</v>
      </c>
      <c r="F133" s="155">
        <f t="shared" si="30"/>
        <v>42.77238347942248</v>
      </c>
      <c r="G133" s="170">
        <f>D133-'[2]Marts'!D133</f>
        <v>326982.95999999996</v>
      </c>
      <c r="I133" s="168" t="s">
        <v>235</v>
      </c>
      <c r="J133" s="163">
        <v>7924</v>
      </c>
      <c r="K133" s="163">
        <v>3085</v>
      </c>
      <c r="L133" s="163">
        <v>1769</v>
      </c>
      <c r="M133" s="164">
        <v>22.324583543664815</v>
      </c>
      <c r="N133" s="164">
        <v>57.341977309562395</v>
      </c>
      <c r="O133" s="163">
        <v>600</v>
      </c>
      <c r="Q133" s="159">
        <f t="shared" si="16"/>
        <v>1769</v>
      </c>
      <c r="R133" s="145">
        <v>842</v>
      </c>
      <c r="S133" s="145">
        <f t="shared" si="17"/>
        <v>927</v>
      </c>
    </row>
    <row r="134" spans="1:19" ht="12.75" customHeight="1">
      <c r="A134" s="166" t="s">
        <v>267</v>
      </c>
      <c r="B134" s="172"/>
      <c r="C134" s="172"/>
      <c r="D134" s="172"/>
      <c r="E134" s="172"/>
      <c r="F134" s="172"/>
      <c r="G134" s="172"/>
      <c r="I134" s="166" t="s">
        <v>268</v>
      </c>
      <c r="J134" s="172"/>
      <c r="K134" s="172"/>
      <c r="L134" s="172"/>
      <c r="M134" s="164"/>
      <c r="N134" s="164"/>
      <c r="O134" s="172"/>
      <c r="Q134" s="159">
        <f t="shared" si="16"/>
        <v>0</v>
      </c>
      <c r="S134" s="145">
        <f t="shared" si="17"/>
        <v>0</v>
      </c>
    </row>
    <row r="135" spans="1:19" ht="12.75" customHeight="1">
      <c r="A135" s="160" t="s">
        <v>228</v>
      </c>
      <c r="B135" s="170">
        <f>SUM(B136:B138)</f>
        <v>19673771</v>
      </c>
      <c r="C135" s="170">
        <f>SUM(C136:C138)</f>
        <v>6857374</v>
      </c>
      <c r="D135" s="170">
        <f>SUM(D136:D138)</f>
        <v>6660020.49</v>
      </c>
      <c r="E135" s="155">
        <f aca="true" t="shared" si="31" ref="E135:E141">IF(ISERROR(D135/B135)," ",(D135/B135))*100</f>
        <v>33.852282259461084</v>
      </c>
      <c r="F135" s="155">
        <f aca="true" t="shared" si="32" ref="F135:F141">IF(ISERROR(D135/C135)," ",(D135/C135))*100</f>
        <v>97.12202499090759</v>
      </c>
      <c r="G135" s="170">
        <f>SUM(G136:G138)</f>
        <v>1706571</v>
      </c>
      <c r="I135" s="160" t="s">
        <v>228</v>
      </c>
      <c r="J135" s="152">
        <v>19674</v>
      </c>
      <c r="K135" s="152">
        <v>8636</v>
      </c>
      <c r="L135" s="152">
        <v>8446</v>
      </c>
      <c r="M135" s="162">
        <v>42.92975500660771</v>
      </c>
      <c r="N135" s="162">
        <v>97.7999073645206</v>
      </c>
      <c r="O135" s="152">
        <v>1786</v>
      </c>
      <c r="Q135" s="159">
        <f t="shared" si="16"/>
        <v>8446</v>
      </c>
      <c r="R135" s="145">
        <v>4953</v>
      </c>
      <c r="S135" s="145">
        <f t="shared" si="17"/>
        <v>3493</v>
      </c>
    </row>
    <row r="136" spans="1:19" ht="12.75" customHeight="1">
      <c r="A136" s="160" t="s">
        <v>229</v>
      </c>
      <c r="B136" s="170">
        <v>16916754</v>
      </c>
      <c r="C136" s="170">
        <v>5781127</v>
      </c>
      <c r="D136" s="170">
        <v>5781127</v>
      </c>
      <c r="E136" s="155">
        <f t="shared" si="31"/>
        <v>34.173973328452966</v>
      </c>
      <c r="F136" s="155">
        <f t="shared" si="32"/>
        <v>100</v>
      </c>
      <c r="G136" s="170">
        <f>D136-'[2]Marts'!D136</f>
        <v>1558765</v>
      </c>
      <c r="I136" s="160" t="s">
        <v>229</v>
      </c>
      <c r="J136" s="163">
        <v>16917</v>
      </c>
      <c r="K136" s="163">
        <v>7358</v>
      </c>
      <c r="L136" s="163">
        <v>7358</v>
      </c>
      <c r="M136" s="164">
        <v>43.49470946385293</v>
      </c>
      <c r="N136" s="164">
        <v>100</v>
      </c>
      <c r="O136" s="163">
        <v>1577</v>
      </c>
      <c r="Q136" s="159">
        <f t="shared" si="16"/>
        <v>7358</v>
      </c>
      <c r="R136" s="145">
        <v>4222</v>
      </c>
      <c r="S136" s="145">
        <f t="shared" si="17"/>
        <v>3136</v>
      </c>
    </row>
    <row r="137" spans="1:19" ht="12.75" customHeight="1">
      <c r="A137" s="160" t="s">
        <v>231</v>
      </c>
      <c r="B137" s="170">
        <v>2495624</v>
      </c>
      <c r="C137" s="170">
        <v>869724</v>
      </c>
      <c r="D137" s="170">
        <v>878893.49</v>
      </c>
      <c r="E137" s="155">
        <f t="shared" si="31"/>
        <v>35.217384109144646</v>
      </c>
      <c r="F137" s="155">
        <f t="shared" si="32"/>
        <v>101.05429883503272</v>
      </c>
      <c r="G137" s="170">
        <f>D137-'[2]Marts'!D137</f>
        <v>147806</v>
      </c>
      <c r="I137" s="160" t="s">
        <v>231</v>
      </c>
      <c r="J137" s="163">
        <v>2496</v>
      </c>
      <c r="K137" s="163">
        <v>1071</v>
      </c>
      <c r="L137" s="163">
        <v>1088</v>
      </c>
      <c r="M137" s="164">
        <v>43.58974358974359</v>
      </c>
      <c r="N137" s="164">
        <v>101.58730158730158</v>
      </c>
      <c r="O137" s="163">
        <v>209</v>
      </c>
      <c r="Q137" s="159">
        <f t="shared" si="16"/>
        <v>1088</v>
      </c>
      <c r="R137" s="145">
        <v>731</v>
      </c>
      <c r="S137" s="145">
        <f t="shared" si="17"/>
        <v>357</v>
      </c>
    </row>
    <row r="138" spans="1:19" ht="12.75" customHeight="1">
      <c r="A138" s="160" t="s">
        <v>232</v>
      </c>
      <c r="B138" s="170">
        <v>261393</v>
      </c>
      <c r="C138" s="170">
        <v>206523</v>
      </c>
      <c r="D138" s="170">
        <v>0</v>
      </c>
      <c r="E138" s="155">
        <f t="shared" si="31"/>
        <v>0</v>
      </c>
      <c r="F138" s="155">
        <f t="shared" si="32"/>
        <v>0</v>
      </c>
      <c r="G138" s="170">
        <v>0</v>
      </c>
      <c r="I138" s="160" t="s">
        <v>232</v>
      </c>
      <c r="J138" s="163">
        <v>261</v>
      </c>
      <c r="K138" s="163">
        <v>207</v>
      </c>
      <c r="L138" s="163"/>
      <c r="M138" s="164"/>
      <c r="N138" s="164"/>
      <c r="O138" s="163"/>
      <c r="Q138" s="159">
        <f aca="true" t="shared" si="33" ref="Q138:Q201">L138</f>
        <v>0</v>
      </c>
      <c r="R138" s="145">
        <v>0</v>
      </c>
      <c r="S138" s="145">
        <f aca="true" t="shared" si="34" ref="S138:S201">Q138-R138</f>
        <v>0</v>
      </c>
    </row>
    <row r="139" spans="1:19" ht="12.75" customHeight="1">
      <c r="A139" s="166" t="s">
        <v>233</v>
      </c>
      <c r="B139" s="172">
        <f>SUM(B140:B141)</f>
        <v>19673771</v>
      </c>
      <c r="C139" s="172">
        <f>SUM(C140:C141)</f>
        <v>6857374</v>
      </c>
      <c r="D139" s="172">
        <f>SUM(D140:D141)</f>
        <v>6302100.22</v>
      </c>
      <c r="E139" s="155">
        <f t="shared" si="31"/>
        <v>32.03300587365788</v>
      </c>
      <c r="F139" s="155">
        <f t="shared" si="32"/>
        <v>91.90253032720689</v>
      </c>
      <c r="G139" s="172">
        <f>SUM(G140:G141)</f>
        <v>1613648.7799999993</v>
      </c>
      <c r="I139" s="166" t="s">
        <v>233</v>
      </c>
      <c r="J139" s="152">
        <v>19674</v>
      </c>
      <c r="K139" s="152">
        <v>8635</v>
      </c>
      <c r="L139" s="152">
        <v>8000</v>
      </c>
      <c r="M139" s="162">
        <v>40.66280370031514</v>
      </c>
      <c r="N139" s="162">
        <v>92.64620729588883</v>
      </c>
      <c r="O139" s="152">
        <v>1698</v>
      </c>
      <c r="Q139" s="159">
        <f t="shared" si="33"/>
        <v>8000</v>
      </c>
      <c r="R139" s="145">
        <v>4689</v>
      </c>
      <c r="S139" s="145">
        <f t="shared" si="34"/>
        <v>3311</v>
      </c>
    </row>
    <row r="140" spans="1:19" ht="12.75" customHeight="1">
      <c r="A140" s="168" t="s">
        <v>234</v>
      </c>
      <c r="B140" s="170">
        <v>19098171</v>
      </c>
      <c r="C140" s="170">
        <v>6626056</v>
      </c>
      <c r="D140" s="170">
        <v>6167183.1</v>
      </c>
      <c r="E140" s="155">
        <f t="shared" si="31"/>
        <v>32.29200900965857</v>
      </c>
      <c r="F140" s="155">
        <f t="shared" si="32"/>
        <v>93.07472046719798</v>
      </c>
      <c r="G140" s="170">
        <f>D140-'[2]Marts'!D140</f>
        <v>1531478.3199999994</v>
      </c>
      <c r="I140" s="168" t="s">
        <v>234</v>
      </c>
      <c r="J140" s="163">
        <v>19098</v>
      </c>
      <c r="K140" s="163">
        <v>8333</v>
      </c>
      <c r="L140" s="163">
        <v>7770</v>
      </c>
      <c r="M140" s="164">
        <v>40.684888469996864</v>
      </c>
      <c r="N140" s="164">
        <v>93.24372974918997</v>
      </c>
      <c r="O140" s="163">
        <v>1603</v>
      </c>
      <c r="Q140" s="159">
        <f t="shared" si="33"/>
        <v>7770</v>
      </c>
      <c r="R140" s="145">
        <v>4636</v>
      </c>
      <c r="S140" s="145">
        <f t="shared" si="34"/>
        <v>3134</v>
      </c>
    </row>
    <row r="141" spans="1:19" ht="12.75" customHeight="1">
      <c r="A141" s="168" t="s">
        <v>235</v>
      </c>
      <c r="B141" s="170">
        <v>575600</v>
      </c>
      <c r="C141" s="170">
        <v>231318</v>
      </c>
      <c r="D141" s="170">
        <v>134917.12</v>
      </c>
      <c r="E141" s="155">
        <f t="shared" si="31"/>
        <v>23.43938846421126</v>
      </c>
      <c r="F141" s="155">
        <f t="shared" si="32"/>
        <v>58.32538756171159</v>
      </c>
      <c r="G141" s="170">
        <f>D141-'[2]Marts'!D141</f>
        <v>82170.45999999999</v>
      </c>
      <c r="I141" s="168" t="s">
        <v>235</v>
      </c>
      <c r="J141" s="163">
        <v>576</v>
      </c>
      <c r="K141" s="163">
        <v>302</v>
      </c>
      <c r="L141" s="163">
        <v>230</v>
      </c>
      <c r="M141" s="164">
        <v>39.93055555555556</v>
      </c>
      <c r="N141" s="164">
        <v>76.15894039735099</v>
      </c>
      <c r="O141" s="163">
        <v>95</v>
      </c>
      <c r="Q141" s="159">
        <f t="shared" si="33"/>
        <v>230</v>
      </c>
      <c r="R141" s="145">
        <v>53</v>
      </c>
      <c r="S141" s="145">
        <f t="shared" si="34"/>
        <v>177</v>
      </c>
    </row>
    <row r="142" spans="1:19" ht="12.75" customHeight="1">
      <c r="A142" s="166" t="s">
        <v>269</v>
      </c>
      <c r="B142" s="170"/>
      <c r="C142" s="170"/>
      <c r="D142" s="170"/>
      <c r="E142" s="170"/>
      <c r="F142" s="170"/>
      <c r="G142" s="170"/>
      <c r="I142" s="166" t="s">
        <v>270</v>
      </c>
      <c r="J142" s="170"/>
      <c r="K142" s="170"/>
      <c r="L142" s="170"/>
      <c r="M142" s="164"/>
      <c r="N142" s="164"/>
      <c r="O142" s="170"/>
      <c r="Q142" s="159">
        <f t="shared" si="33"/>
        <v>0</v>
      </c>
      <c r="S142" s="145">
        <f t="shared" si="34"/>
        <v>0</v>
      </c>
    </row>
    <row r="143" spans="1:19" ht="12.75" customHeight="1">
      <c r="A143" s="160" t="s">
        <v>228</v>
      </c>
      <c r="B143" s="170">
        <f>SUM(B144:B145)</f>
        <v>13996875</v>
      </c>
      <c r="C143" s="170">
        <f>SUM(C144:C145)</f>
        <v>4514159</v>
      </c>
      <c r="D143" s="170">
        <f>SUM(D144:D145)</f>
        <v>4302861.02</v>
      </c>
      <c r="E143" s="155">
        <f aca="true" t="shared" si="35" ref="E143:E148">IF(ISERROR(D143/B143)," ",(D143/B143))*100</f>
        <v>30.741583532038398</v>
      </c>
      <c r="F143" s="155">
        <f aca="true" t="shared" si="36" ref="F143:F148">IF(ISERROR(D143/C143)," ",(D143/C143))*100</f>
        <v>95.31921715650688</v>
      </c>
      <c r="G143" s="170">
        <f>SUM(G144:G145)</f>
        <v>1118095.45</v>
      </c>
      <c r="I143" s="160" t="s">
        <v>228</v>
      </c>
      <c r="J143" s="152">
        <v>13996</v>
      </c>
      <c r="K143" s="152">
        <v>5753</v>
      </c>
      <c r="L143" s="152">
        <v>5553</v>
      </c>
      <c r="M143" s="162">
        <v>39.675621606173195</v>
      </c>
      <c r="N143" s="162">
        <v>96.52355292890665</v>
      </c>
      <c r="O143" s="152">
        <v>1250</v>
      </c>
      <c r="Q143" s="159">
        <f t="shared" si="33"/>
        <v>5553</v>
      </c>
      <c r="R143" s="145">
        <v>3185</v>
      </c>
      <c r="S143" s="145">
        <f t="shared" si="34"/>
        <v>2368</v>
      </c>
    </row>
    <row r="144" spans="1:19" ht="12.75" customHeight="1">
      <c r="A144" s="160" t="s">
        <v>229</v>
      </c>
      <c r="B144" s="170">
        <v>5506527</v>
      </c>
      <c r="C144" s="170">
        <v>1704530</v>
      </c>
      <c r="D144" s="170">
        <v>1704530</v>
      </c>
      <c r="E144" s="155">
        <f t="shared" si="35"/>
        <v>30.954719735325003</v>
      </c>
      <c r="F144" s="155">
        <f t="shared" si="36"/>
        <v>100</v>
      </c>
      <c r="G144" s="170">
        <f>D144-'[2]Marts'!D144</f>
        <v>456720</v>
      </c>
      <c r="I144" s="160" t="s">
        <v>229</v>
      </c>
      <c r="J144" s="163">
        <v>5506</v>
      </c>
      <c r="K144" s="163">
        <v>2195</v>
      </c>
      <c r="L144" s="163">
        <v>2195</v>
      </c>
      <c r="M144" s="164">
        <v>39.86560116236832</v>
      </c>
      <c r="N144" s="164">
        <v>100</v>
      </c>
      <c r="O144" s="163">
        <v>490</v>
      </c>
      <c r="Q144" s="159">
        <f t="shared" si="33"/>
        <v>2195</v>
      </c>
      <c r="R144" s="145">
        <v>1248</v>
      </c>
      <c r="S144" s="145">
        <f t="shared" si="34"/>
        <v>947</v>
      </c>
    </row>
    <row r="145" spans="1:19" ht="12.75" customHeight="1">
      <c r="A145" s="160" t="s">
        <v>231</v>
      </c>
      <c r="B145" s="170">
        <v>8490348</v>
      </c>
      <c r="C145" s="170">
        <v>2809629</v>
      </c>
      <c r="D145" s="170">
        <v>2598331.02</v>
      </c>
      <c r="E145" s="155">
        <f t="shared" si="35"/>
        <v>30.60335124072653</v>
      </c>
      <c r="F145" s="155">
        <f t="shared" si="36"/>
        <v>92.47950601307147</v>
      </c>
      <c r="G145" s="170">
        <f>D145-'[2]Marts'!D145</f>
        <v>661375.45</v>
      </c>
      <c r="I145" s="160" t="s">
        <v>231</v>
      </c>
      <c r="J145" s="163">
        <v>8490</v>
      </c>
      <c r="K145" s="163">
        <v>3558</v>
      </c>
      <c r="L145" s="163">
        <v>3358</v>
      </c>
      <c r="M145" s="164">
        <v>39.55241460541814</v>
      </c>
      <c r="N145" s="164">
        <v>94.37886453063518</v>
      </c>
      <c r="O145" s="163">
        <v>760</v>
      </c>
      <c r="Q145" s="159">
        <f t="shared" si="33"/>
        <v>3358</v>
      </c>
      <c r="R145" s="145">
        <v>1937</v>
      </c>
      <c r="S145" s="145">
        <f t="shared" si="34"/>
        <v>1421</v>
      </c>
    </row>
    <row r="146" spans="1:19" ht="12.75" customHeight="1">
      <c r="A146" s="166" t="s">
        <v>233</v>
      </c>
      <c r="B146" s="172">
        <f>SUM(B147:B148)</f>
        <v>13996875</v>
      </c>
      <c r="C146" s="172">
        <f>SUM(C147:C148)</f>
        <v>4514159</v>
      </c>
      <c r="D146" s="172">
        <f>SUM(D147:D148)</f>
        <v>3993966.9</v>
      </c>
      <c r="E146" s="155">
        <f t="shared" si="35"/>
        <v>28.53470435365037</v>
      </c>
      <c r="F146" s="155">
        <f t="shared" si="36"/>
        <v>88.47643381635427</v>
      </c>
      <c r="G146" s="172">
        <f>SUM(G147:G148)</f>
        <v>989284.6099999999</v>
      </c>
      <c r="I146" s="166" t="s">
        <v>233</v>
      </c>
      <c r="J146" s="152">
        <v>13996</v>
      </c>
      <c r="K146" s="152">
        <v>5753</v>
      </c>
      <c r="L146" s="152">
        <v>5366</v>
      </c>
      <c r="M146" s="162">
        <v>38.33952557873678</v>
      </c>
      <c r="N146" s="162">
        <v>93.27307491743439</v>
      </c>
      <c r="O146" s="152">
        <v>1372</v>
      </c>
      <c r="Q146" s="159">
        <f t="shared" si="33"/>
        <v>5366</v>
      </c>
      <c r="R146" s="145">
        <v>3005</v>
      </c>
      <c r="S146" s="145">
        <f t="shared" si="34"/>
        <v>2361</v>
      </c>
    </row>
    <row r="147" spans="1:19" ht="12.75" customHeight="1">
      <c r="A147" s="168" t="s">
        <v>234</v>
      </c>
      <c r="B147" s="170">
        <v>13408475</v>
      </c>
      <c r="C147" s="170">
        <v>4317071</v>
      </c>
      <c r="D147" s="170">
        <v>3839823.06</v>
      </c>
      <c r="E147" s="155">
        <f t="shared" si="35"/>
        <v>28.637283956602076</v>
      </c>
      <c r="F147" s="155">
        <f t="shared" si="36"/>
        <v>88.94509865601006</v>
      </c>
      <c r="G147" s="170">
        <f>D147-'[2]Marts'!D147</f>
        <v>913961.8999999999</v>
      </c>
      <c r="I147" s="168" t="s">
        <v>234</v>
      </c>
      <c r="J147" s="163">
        <v>13408</v>
      </c>
      <c r="K147" s="163">
        <v>5489</v>
      </c>
      <c r="L147" s="163">
        <v>5154</v>
      </c>
      <c r="M147" s="164">
        <v>38.43973747016706</v>
      </c>
      <c r="N147" s="164">
        <v>93.8968846784478</v>
      </c>
      <c r="O147" s="163">
        <v>1314</v>
      </c>
      <c r="Q147" s="159">
        <f t="shared" si="33"/>
        <v>5154</v>
      </c>
      <c r="R147" s="145">
        <v>2926</v>
      </c>
      <c r="S147" s="145">
        <f t="shared" si="34"/>
        <v>2228</v>
      </c>
    </row>
    <row r="148" spans="1:19" ht="12.75" customHeight="1">
      <c r="A148" s="168" t="s">
        <v>235</v>
      </c>
      <c r="B148" s="170">
        <v>588400</v>
      </c>
      <c r="C148" s="170">
        <v>197088</v>
      </c>
      <c r="D148" s="170">
        <v>154143.84</v>
      </c>
      <c r="E148" s="155">
        <f t="shared" si="35"/>
        <v>26.19711760707002</v>
      </c>
      <c r="F148" s="155">
        <f t="shared" si="36"/>
        <v>78.21066731612275</v>
      </c>
      <c r="G148" s="170">
        <f>D148-'[2]Marts'!D148</f>
        <v>75322.70999999999</v>
      </c>
      <c r="I148" s="168" t="s">
        <v>235</v>
      </c>
      <c r="J148" s="163">
        <v>588</v>
      </c>
      <c r="K148" s="163">
        <v>264</v>
      </c>
      <c r="L148" s="163">
        <v>212</v>
      </c>
      <c r="M148" s="164">
        <v>36.054421768707485</v>
      </c>
      <c r="N148" s="164">
        <v>80.3030303030303</v>
      </c>
      <c r="O148" s="163">
        <v>58</v>
      </c>
      <c r="Q148" s="159">
        <f t="shared" si="33"/>
        <v>212</v>
      </c>
      <c r="R148" s="145">
        <v>79</v>
      </c>
      <c r="S148" s="145">
        <f t="shared" si="34"/>
        <v>133</v>
      </c>
    </row>
    <row r="149" spans="1:19" ht="12.75" customHeight="1">
      <c r="A149" s="166" t="s">
        <v>271</v>
      </c>
      <c r="B149" s="170"/>
      <c r="C149" s="170"/>
      <c r="D149" s="170"/>
      <c r="E149" s="170"/>
      <c r="F149" s="170"/>
      <c r="G149" s="170"/>
      <c r="I149" s="166" t="s">
        <v>272</v>
      </c>
      <c r="J149" s="170"/>
      <c r="K149" s="170"/>
      <c r="L149" s="170"/>
      <c r="M149" s="164"/>
      <c r="N149" s="164"/>
      <c r="O149" s="170"/>
      <c r="Q149" s="159">
        <f t="shared" si="33"/>
        <v>0</v>
      </c>
      <c r="S149" s="145">
        <f t="shared" si="34"/>
        <v>0</v>
      </c>
    </row>
    <row r="150" spans="1:19" ht="12.75" customHeight="1">
      <c r="A150" s="160" t="s">
        <v>228</v>
      </c>
      <c r="B150" s="170">
        <f>SUM(B151:B153)</f>
        <v>1473393</v>
      </c>
      <c r="C150" s="170">
        <f>SUM(C151:C153)</f>
        <v>356890</v>
      </c>
      <c r="D150" s="170">
        <f>SUM(D151:D153)</f>
        <v>356921</v>
      </c>
      <c r="E150" s="155">
        <f>IF(ISERROR(D150/B150)," ",(D150/B150))*100</f>
        <v>24.22442620536408</v>
      </c>
      <c r="F150" s="155">
        <f>IF(ISERROR(D150/C150)," ",(D150/C150))*100</f>
        <v>100.00868614979406</v>
      </c>
      <c r="G150" s="170">
        <f>SUM(G151:G153)</f>
        <v>97094</v>
      </c>
      <c r="I150" s="160" t="s">
        <v>228</v>
      </c>
      <c r="J150" s="152">
        <v>1473</v>
      </c>
      <c r="K150" s="152">
        <v>465</v>
      </c>
      <c r="L150" s="152">
        <v>465</v>
      </c>
      <c r="M150" s="162">
        <v>31.568228105906314</v>
      </c>
      <c r="N150" s="162">
        <v>100</v>
      </c>
      <c r="O150" s="152">
        <v>108</v>
      </c>
      <c r="Q150" s="159">
        <f t="shared" si="33"/>
        <v>465</v>
      </c>
      <c r="R150" s="145">
        <v>260</v>
      </c>
      <c r="S150" s="145">
        <f t="shared" si="34"/>
        <v>205</v>
      </c>
    </row>
    <row r="151" spans="1:19" ht="12.75" customHeight="1">
      <c r="A151" s="160" t="s">
        <v>229</v>
      </c>
      <c r="B151" s="170">
        <v>1191343</v>
      </c>
      <c r="C151" s="170">
        <v>356690</v>
      </c>
      <c r="D151" s="170">
        <v>356690</v>
      </c>
      <c r="E151" s="155">
        <f>IF(ISERROR(D151/B151)," ",(D151/B151))*100</f>
        <v>29.940159970722117</v>
      </c>
      <c r="F151" s="155">
        <f>IF(ISERROR(D151/C151)," ",(D151/C151))*100</f>
        <v>100</v>
      </c>
      <c r="G151" s="170">
        <f>D151-'[2]Marts'!D151</f>
        <v>97094</v>
      </c>
      <c r="I151" s="160" t="s">
        <v>229</v>
      </c>
      <c r="J151" s="163">
        <v>1191</v>
      </c>
      <c r="K151" s="163">
        <v>465</v>
      </c>
      <c r="L151" s="163">
        <v>465</v>
      </c>
      <c r="M151" s="164">
        <v>39.042821158690174</v>
      </c>
      <c r="N151" s="164">
        <v>100</v>
      </c>
      <c r="O151" s="163">
        <v>108</v>
      </c>
      <c r="Q151" s="159">
        <f t="shared" si="33"/>
        <v>465</v>
      </c>
      <c r="R151" s="145">
        <v>260</v>
      </c>
      <c r="S151" s="145">
        <f t="shared" si="34"/>
        <v>205</v>
      </c>
    </row>
    <row r="152" spans="1:19" ht="12.75" customHeight="1">
      <c r="A152" s="160" t="s">
        <v>231</v>
      </c>
      <c r="B152" s="170">
        <v>800</v>
      </c>
      <c r="C152" s="170">
        <v>200</v>
      </c>
      <c r="D152" s="170">
        <v>231</v>
      </c>
      <c r="E152" s="155">
        <f>IF(ISERROR(D152/B152)," ",(D152/B152))*100</f>
        <v>28.875</v>
      </c>
      <c r="F152" s="155">
        <f>IF(ISERROR(D152/C152)," ",(D152/C152))*100</f>
        <v>115.5</v>
      </c>
      <c r="G152" s="170">
        <f>D152-'[2]Marts'!D152</f>
        <v>0</v>
      </c>
      <c r="I152" s="160" t="s">
        <v>231</v>
      </c>
      <c r="J152" s="163">
        <v>1</v>
      </c>
      <c r="K152" s="163"/>
      <c r="L152" s="163"/>
      <c r="M152" s="164"/>
      <c r="N152" s="164"/>
      <c r="O152" s="163"/>
      <c r="Q152" s="159">
        <f t="shared" si="33"/>
        <v>0</v>
      </c>
      <c r="S152" s="145">
        <f t="shared" si="34"/>
        <v>0</v>
      </c>
    </row>
    <row r="153" spans="1:19" ht="12.75" customHeight="1">
      <c r="A153" s="160" t="s">
        <v>232</v>
      </c>
      <c r="B153" s="170">
        <v>281250</v>
      </c>
      <c r="C153" s="170">
        <v>0</v>
      </c>
      <c r="D153" s="170"/>
      <c r="E153" s="155"/>
      <c r="F153" s="170"/>
      <c r="G153" s="170"/>
      <c r="I153" s="160" t="s">
        <v>232</v>
      </c>
      <c r="J153" s="163">
        <v>281</v>
      </c>
      <c r="K153" s="163"/>
      <c r="L153" s="163"/>
      <c r="M153" s="164"/>
      <c r="N153" s="164"/>
      <c r="O153" s="163"/>
      <c r="Q153" s="159">
        <f t="shared" si="33"/>
        <v>0</v>
      </c>
      <c r="S153" s="145">
        <f t="shared" si="34"/>
        <v>0</v>
      </c>
    </row>
    <row r="154" spans="1:19" ht="12.75" customHeight="1">
      <c r="A154" s="166" t="s">
        <v>233</v>
      </c>
      <c r="B154" s="172">
        <f>SUM(B155:B156)</f>
        <v>1472393</v>
      </c>
      <c r="C154" s="172">
        <f>SUM(C155:C156)</f>
        <v>356890</v>
      </c>
      <c r="D154" s="172">
        <f>SUM(D155:D156)</f>
        <v>347112.27</v>
      </c>
      <c r="E154" s="155">
        <f>IF(ISERROR(D154/B154)," ",(D154/B154))*100</f>
        <v>23.574702542052293</v>
      </c>
      <c r="F154" s="155">
        <f>IF(ISERROR(D154/C154)," ",(D154/C154))*100</f>
        <v>97.26029588948977</v>
      </c>
      <c r="G154" s="172">
        <f>SUM(G155:G156)</f>
        <v>94697.36000000002</v>
      </c>
      <c r="I154" s="166" t="s">
        <v>233</v>
      </c>
      <c r="J154" s="152">
        <v>1473</v>
      </c>
      <c r="K154" s="152">
        <v>465</v>
      </c>
      <c r="L154" s="152">
        <v>461</v>
      </c>
      <c r="M154" s="162">
        <v>31.296673455532925</v>
      </c>
      <c r="N154" s="162">
        <v>99.13978494623656</v>
      </c>
      <c r="O154" s="152">
        <v>114</v>
      </c>
      <c r="Q154" s="159">
        <f t="shared" si="33"/>
        <v>461</v>
      </c>
      <c r="R154" s="145">
        <v>253</v>
      </c>
      <c r="S154" s="145">
        <f t="shared" si="34"/>
        <v>208</v>
      </c>
    </row>
    <row r="155" spans="1:19" ht="12.75" customHeight="1">
      <c r="A155" s="168" t="s">
        <v>234</v>
      </c>
      <c r="B155" s="170">
        <v>1343893</v>
      </c>
      <c r="C155" s="170">
        <v>346890</v>
      </c>
      <c r="D155" s="170">
        <v>340546.07</v>
      </c>
      <c r="E155" s="155">
        <f>IF(ISERROR(D155/B155)," ",(D155/B155))*100</f>
        <v>25.34026667301638</v>
      </c>
      <c r="F155" s="155">
        <f>IF(ISERROR(D155/C155)," ",(D155/C155))*100</f>
        <v>98.17119836259333</v>
      </c>
      <c r="G155" s="170">
        <f>D155-'[2]Marts'!D155</f>
        <v>94822.36000000002</v>
      </c>
      <c r="I155" s="168" t="s">
        <v>234</v>
      </c>
      <c r="J155" s="163">
        <v>1344</v>
      </c>
      <c r="K155" s="163">
        <v>455</v>
      </c>
      <c r="L155" s="163">
        <v>454</v>
      </c>
      <c r="M155" s="164">
        <v>33.779761904761905</v>
      </c>
      <c r="N155" s="164">
        <v>99.78021978021978</v>
      </c>
      <c r="O155" s="163">
        <v>114</v>
      </c>
      <c r="Q155" s="159">
        <f t="shared" si="33"/>
        <v>454</v>
      </c>
      <c r="R155" s="145">
        <v>246</v>
      </c>
      <c r="S155" s="145">
        <f t="shared" si="34"/>
        <v>208</v>
      </c>
    </row>
    <row r="156" spans="1:19" ht="12.75" customHeight="1">
      <c r="A156" s="168" t="s">
        <v>235</v>
      </c>
      <c r="B156" s="170">
        <v>128500</v>
      </c>
      <c r="C156" s="170">
        <v>10000</v>
      </c>
      <c r="D156" s="170">
        <v>6566.2</v>
      </c>
      <c r="E156" s="155">
        <f>IF(ISERROR(D156/B156)," ",(D156/B156))*100</f>
        <v>5.10988326848249</v>
      </c>
      <c r="F156" s="155">
        <f>IF(ISERROR(D156/C156)," ",(D156/C156))*100</f>
        <v>65.66199999999999</v>
      </c>
      <c r="G156" s="170">
        <f>D156-'[2]Marts'!D156</f>
        <v>-125</v>
      </c>
      <c r="I156" s="168" t="s">
        <v>235</v>
      </c>
      <c r="J156" s="163">
        <v>129</v>
      </c>
      <c r="K156" s="163">
        <v>10</v>
      </c>
      <c r="L156" s="163">
        <v>7</v>
      </c>
      <c r="M156" s="164">
        <v>5.426356589147287</v>
      </c>
      <c r="N156" s="164">
        <v>70</v>
      </c>
      <c r="O156" s="163"/>
      <c r="Q156" s="159">
        <f t="shared" si="33"/>
        <v>7</v>
      </c>
      <c r="R156" s="145">
        <v>7</v>
      </c>
      <c r="S156" s="145">
        <f t="shared" si="34"/>
        <v>0</v>
      </c>
    </row>
    <row r="157" spans="1:19" ht="12.75" customHeight="1">
      <c r="A157" s="166" t="s">
        <v>273</v>
      </c>
      <c r="B157" s="172"/>
      <c r="C157" s="172"/>
      <c r="D157" s="172"/>
      <c r="E157" s="172"/>
      <c r="F157" s="172"/>
      <c r="G157" s="172"/>
      <c r="I157" s="166" t="s">
        <v>274</v>
      </c>
      <c r="J157" s="172"/>
      <c r="K157" s="172"/>
      <c r="L157" s="172"/>
      <c r="M157" s="164"/>
      <c r="N157" s="164"/>
      <c r="O157" s="172"/>
      <c r="Q157" s="159">
        <f t="shared" si="33"/>
        <v>0</v>
      </c>
      <c r="S157" s="145">
        <f t="shared" si="34"/>
        <v>0</v>
      </c>
    </row>
    <row r="158" spans="1:19" ht="12.75" customHeight="1">
      <c r="A158" s="160" t="s">
        <v>228</v>
      </c>
      <c r="B158" s="170">
        <f>SUM(B159)</f>
        <v>737898</v>
      </c>
      <c r="C158" s="170">
        <f>SUM(C159)</f>
        <v>220926</v>
      </c>
      <c r="D158" s="170">
        <f>SUM(D159)</f>
        <v>220926</v>
      </c>
      <c r="E158" s="155">
        <f>IF(ISERROR(D158/B158)," ",(D158/B158))*100</f>
        <v>29.93991039411951</v>
      </c>
      <c r="F158" s="155">
        <f>IF(ISERROR(D158/C158)," ",(D158/C158))*100</f>
        <v>100</v>
      </c>
      <c r="G158" s="170">
        <f>SUM(G159)</f>
        <v>60139</v>
      </c>
      <c r="I158" s="160" t="s">
        <v>228</v>
      </c>
      <c r="J158" s="152">
        <v>738</v>
      </c>
      <c r="K158" s="152">
        <v>288</v>
      </c>
      <c r="L158" s="152">
        <v>288</v>
      </c>
      <c r="M158" s="162">
        <v>39.02439024390244</v>
      </c>
      <c r="N158" s="162">
        <v>100</v>
      </c>
      <c r="O158" s="152">
        <v>67</v>
      </c>
      <c r="Q158" s="159">
        <f t="shared" si="33"/>
        <v>288</v>
      </c>
      <c r="R158" s="145">
        <v>161</v>
      </c>
      <c r="S158" s="145">
        <f t="shared" si="34"/>
        <v>127</v>
      </c>
    </row>
    <row r="159" spans="1:19" ht="12.75" customHeight="1">
      <c r="A159" s="160" t="s">
        <v>229</v>
      </c>
      <c r="B159" s="170">
        <v>737898</v>
      </c>
      <c r="C159" s="170">
        <v>220926</v>
      </c>
      <c r="D159" s="170">
        <v>220926</v>
      </c>
      <c r="E159" s="155">
        <f>IF(ISERROR(D159/B159)," ",(D159/B159))*100</f>
        <v>29.93991039411951</v>
      </c>
      <c r="F159" s="155">
        <f>IF(ISERROR(D159/C159)," ",(D159/C159))*100</f>
        <v>100</v>
      </c>
      <c r="G159" s="170">
        <f>D159-'[2]Marts'!D159</f>
        <v>60139</v>
      </c>
      <c r="I159" s="160" t="s">
        <v>229</v>
      </c>
      <c r="J159" s="163">
        <v>738</v>
      </c>
      <c r="K159" s="163">
        <v>288</v>
      </c>
      <c r="L159" s="163">
        <v>288</v>
      </c>
      <c r="M159" s="164">
        <v>39.02439024390244</v>
      </c>
      <c r="N159" s="164">
        <v>100</v>
      </c>
      <c r="O159" s="163">
        <v>67</v>
      </c>
      <c r="Q159" s="159">
        <f t="shared" si="33"/>
        <v>288</v>
      </c>
      <c r="R159" s="145">
        <v>161</v>
      </c>
      <c r="S159" s="145">
        <f t="shared" si="34"/>
        <v>127</v>
      </c>
    </row>
    <row r="160" spans="1:19" ht="12.75" customHeight="1">
      <c r="A160" s="160" t="s">
        <v>231</v>
      </c>
      <c r="B160" s="170"/>
      <c r="C160" s="170"/>
      <c r="D160" s="170">
        <v>-12.26</v>
      </c>
      <c r="E160" s="155"/>
      <c r="F160" s="155"/>
      <c r="G160" s="170">
        <f>D160-'[2]Marts'!D160</f>
        <v>-12.26</v>
      </c>
      <c r="I160" s="160"/>
      <c r="J160" s="163"/>
      <c r="K160" s="163"/>
      <c r="L160" s="163"/>
      <c r="M160" s="164"/>
      <c r="N160" s="164"/>
      <c r="O160" s="163"/>
      <c r="Q160" s="159">
        <f t="shared" si="33"/>
        <v>0</v>
      </c>
      <c r="S160" s="145">
        <f t="shared" si="34"/>
        <v>0</v>
      </c>
    </row>
    <row r="161" spans="1:19" ht="12.75" customHeight="1">
      <c r="A161" s="166" t="s">
        <v>233</v>
      </c>
      <c r="B161" s="172">
        <f>SUM(B162)</f>
        <v>737898</v>
      </c>
      <c r="C161" s="172">
        <f>SUM(C162)</f>
        <v>220926</v>
      </c>
      <c r="D161" s="172">
        <f>SUM(D162)</f>
        <v>220925.2</v>
      </c>
      <c r="E161" s="155">
        <f>IF(ISERROR(D161/B161)," ",(D161/B161))*100</f>
        <v>29.939801978051168</v>
      </c>
      <c r="F161" s="155">
        <f>IF(ISERROR(D161/C161)," ",(D161/C161))*100</f>
        <v>99.99963788779954</v>
      </c>
      <c r="G161" s="172">
        <f>SUM(G162)</f>
        <v>60141.73000000001</v>
      </c>
      <c r="H161" s="174"/>
      <c r="I161" s="166" t="s">
        <v>233</v>
      </c>
      <c r="J161" s="152">
        <v>738</v>
      </c>
      <c r="K161" s="152">
        <v>288</v>
      </c>
      <c r="L161" s="152">
        <v>288</v>
      </c>
      <c r="M161" s="162">
        <v>39.02439024390244</v>
      </c>
      <c r="N161" s="162">
        <v>100</v>
      </c>
      <c r="O161" s="152">
        <v>67</v>
      </c>
      <c r="P161" s="174"/>
      <c r="Q161" s="159">
        <f t="shared" si="33"/>
        <v>288</v>
      </c>
      <c r="R161" s="174">
        <v>161</v>
      </c>
      <c r="S161" s="145">
        <f t="shared" si="34"/>
        <v>127</v>
      </c>
    </row>
    <row r="162" spans="1:19" ht="12.75" customHeight="1">
      <c r="A162" s="168" t="s">
        <v>234</v>
      </c>
      <c r="B162" s="170">
        <v>737898</v>
      </c>
      <c r="C162" s="170">
        <v>220926</v>
      </c>
      <c r="D162" s="170">
        <v>220925.2</v>
      </c>
      <c r="E162" s="155">
        <f>IF(ISERROR(D162/B162)," ",(D162/B162))*100</f>
        <v>29.939801978051168</v>
      </c>
      <c r="F162" s="155">
        <f>IF(ISERROR(D162/C162)," ",(D162/C162))*100</f>
        <v>99.99963788779954</v>
      </c>
      <c r="G162" s="170">
        <f>D162-'[2]Marts'!D162</f>
        <v>60141.73000000001</v>
      </c>
      <c r="I162" s="168" t="s">
        <v>234</v>
      </c>
      <c r="J162" s="163">
        <v>738</v>
      </c>
      <c r="K162" s="163">
        <v>288</v>
      </c>
      <c r="L162" s="163">
        <v>288</v>
      </c>
      <c r="M162" s="164">
        <v>39.02439024390244</v>
      </c>
      <c r="N162" s="164">
        <v>100</v>
      </c>
      <c r="O162" s="163">
        <v>67</v>
      </c>
      <c r="Q162" s="159">
        <f t="shared" si="33"/>
        <v>288</v>
      </c>
      <c r="R162" s="145">
        <v>161</v>
      </c>
      <c r="S162" s="145">
        <f t="shared" si="34"/>
        <v>127</v>
      </c>
    </row>
    <row r="163" spans="1:19" ht="12.75" customHeight="1">
      <c r="A163" s="166" t="s">
        <v>275</v>
      </c>
      <c r="B163" s="172"/>
      <c r="C163" s="172"/>
      <c r="D163" s="172"/>
      <c r="E163" s="172"/>
      <c r="F163" s="172"/>
      <c r="G163" s="172"/>
      <c r="I163" s="166" t="s">
        <v>276</v>
      </c>
      <c r="J163" s="172"/>
      <c r="K163" s="172"/>
      <c r="L163" s="172"/>
      <c r="M163" s="164"/>
      <c r="N163" s="164"/>
      <c r="O163" s="172"/>
      <c r="Q163" s="159">
        <f t="shared" si="33"/>
        <v>0</v>
      </c>
      <c r="S163" s="145">
        <f t="shared" si="34"/>
        <v>0</v>
      </c>
    </row>
    <row r="164" spans="1:19" ht="12.75" customHeight="1">
      <c r="A164" s="160" t="s">
        <v>228</v>
      </c>
      <c r="B164" s="170">
        <f>SUM(B165:B166)</f>
        <v>335805</v>
      </c>
      <c r="C164" s="170">
        <f>SUM(C165:C166)</f>
        <v>96317</v>
      </c>
      <c r="D164" s="170">
        <f>SUM(D165:D166)</f>
        <v>96412.38</v>
      </c>
      <c r="E164" s="155">
        <f aca="true" t="shared" si="37" ref="E164:E169">IF(ISERROR(D164/B164)," ",(D164/B164))*100</f>
        <v>28.710823245633627</v>
      </c>
      <c r="F164" s="155">
        <f aca="true" t="shared" si="38" ref="F164:F169">IF(ISERROR(D164/C164)," ",(D164/C164))*100</f>
        <v>100.09902717069676</v>
      </c>
      <c r="G164" s="170">
        <f>SUM(G165:G166)</f>
        <v>25810</v>
      </c>
      <c r="I164" s="160" t="s">
        <v>228</v>
      </c>
      <c r="J164" s="152">
        <v>336</v>
      </c>
      <c r="K164" s="152">
        <v>127</v>
      </c>
      <c r="L164" s="152">
        <v>126</v>
      </c>
      <c r="M164" s="162">
        <v>37.5</v>
      </c>
      <c r="N164" s="162">
        <v>99.21259842519686</v>
      </c>
      <c r="O164" s="152">
        <v>29</v>
      </c>
      <c r="Q164" s="159">
        <f t="shared" si="33"/>
        <v>126</v>
      </c>
      <c r="R164" s="145">
        <v>71</v>
      </c>
      <c r="S164" s="145">
        <f t="shared" si="34"/>
        <v>55</v>
      </c>
    </row>
    <row r="165" spans="1:19" ht="12.75" customHeight="1">
      <c r="A165" s="160" t="s">
        <v>229</v>
      </c>
      <c r="B165" s="170">
        <v>316689</v>
      </c>
      <c r="C165" s="170">
        <v>94817</v>
      </c>
      <c r="D165" s="170">
        <v>94817</v>
      </c>
      <c r="E165" s="155">
        <f t="shared" si="37"/>
        <v>29.94009896144167</v>
      </c>
      <c r="F165" s="155">
        <f t="shared" si="38"/>
        <v>100</v>
      </c>
      <c r="G165" s="170">
        <f>D165-'[2]Marts'!D165</f>
        <v>25810</v>
      </c>
      <c r="I165" s="160" t="s">
        <v>229</v>
      </c>
      <c r="J165" s="163">
        <v>317</v>
      </c>
      <c r="K165" s="163">
        <v>124</v>
      </c>
      <c r="L165" s="163">
        <v>124</v>
      </c>
      <c r="M165" s="164">
        <v>39.11671924290221</v>
      </c>
      <c r="N165" s="164">
        <v>100</v>
      </c>
      <c r="O165" s="163">
        <v>29</v>
      </c>
      <c r="Q165" s="159">
        <f t="shared" si="33"/>
        <v>124</v>
      </c>
      <c r="R165" s="145">
        <v>69</v>
      </c>
      <c r="S165" s="145">
        <f t="shared" si="34"/>
        <v>55</v>
      </c>
    </row>
    <row r="166" spans="1:19" ht="12.75" customHeight="1">
      <c r="A166" s="160" t="s">
        <v>231</v>
      </c>
      <c r="B166" s="170">
        <v>19116</v>
      </c>
      <c r="C166" s="170">
        <v>1500</v>
      </c>
      <c r="D166" s="170">
        <v>1595.38</v>
      </c>
      <c r="E166" s="155">
        <f t="shared" si="37"/>
        <v>8.34578363674409</v>
      </c>
      <c r="F166" s="155">
        <f t="shared" si="38"/>
        <v>106.35866666666666</v>
      </c>
      <c r="G166" s="170">
        <v>0</v>
      </c>
      <c r="I166" s="160" t="s">
        <v>231</v>
      </c>
      <c r="J166" s="163">
        <v>19</v>
      </c>
      <c r="K166" s="163">
        <v>3</v>
      </c>
      <c r="L166" s="163">
        <v>2</v>
      </c>
      <c r="M166" s="164">
        <v>10.526315789473683</v>
      </c>
      <c r="N166" s="164">
        <v>66.66666666666666</v>
      </c>
      <c r="O166" s="163"/>
      <c r="Q166" s="159">
        <f t="shared" si="33"/>
        <v>2</v>
      </c>
      <c r="R166" s="145">
        <v>2</v>
      </c>
      <c r="S166" s="145">
        <f t="shared" si="34"/>
        <v>0</v>
      </c>
    </row>
    <row r="167" spans="1:19" ht="12.75" customHeight="1">
      <c r="A167" s="166" t="s">
        <v>233</v>
      </c>
      <c r="B167" s="172">
        <f>SUM(B168:B169)</f>
        <v>335805</v>
      </c>
      <c r="C167" s="172">
        <f>SUM(C168:C169)</f>
        <v>96317</v>
      </c>
      <c r="D167" s="172">
        <f>SUM(D168:D169)</f>
        <v>93483.16</v>
      </c>
      <c r="E167" s="155">
        <f t="shared" si="37"/>
        <v>27.83852533464362</v>
      </c>
      <c r="F167" s="155">
        <f t="shared" si="38"/>
        <v>97.05779872711983</v>
      </c>
      <c r="G167" s="172">
        <f>SUM(G168:G169)</f>
        <v>24945.929999999993</v>
      </c>
      <c r="I167" s="166" t="s">
        <v>233</v>
      </c>
      <c r="J167" s="152">
        <v>336</v>
      </c>
      <c r="K167" s="152">
        <v>126</v>
      </c>
      <c r="L167" s="152">
        <v>122</v>
      </c>
      <c r="M167" s="162">
        <v>36.30952380952381</v>
      </c>
      <c r="N167" s="162">
        <v>96.82539682539682</v>
      </c>
      <c r="O167" s="152">
        <v>28</v>
      </c>
      <c r="Q167" s="159">
        <f t="shared" si="33"/>
        <v>122</v>
      </c>
      <c r="R167" s="145">
        <v>69</v>
      </c>
      <c r="S167" s="145">
        <f t="shared" si="34"/>
        <v>53</v>
      </c>
    </row>
    <row r="168" spans="1:19" ht="12.75" customHeight="1">
      <c r="A168" s="168" t="s">
        <v>234</v>
      </c>
      <c r="B168" s="170">
        <v>315805</v>
      </c>
      <c r="C168" s="170">
        <v>95317</v>
      </c>
      <c r="D168" s="170">
        <v>92535.56</v>
      </c>
      <c r="E168" s="155">
        <f t="shared" si="37"/>
        <v>29.301486676905053</v>
      </c>
      <c r="F168" s="155">
        <f t="shared" si="38"/>
        <v>97.08190564117628</v>
      </c>
      <c r="G168" s="170">
        <f>D168-'[2]Marts'!D168</f>
        <v>24945.929999999993</v>
      </c>
      <c r="I168" s="168" t="s">
        <v>234</v>
      </c>
      <c r="J168" s="163">
        <v>316</v>
      </c>
      <c r="K168" s="163">
        <v>121</v>
      </c>
      <c r="L168" s="163">
        <v>121</v>
      </c>
      <c r="M168" s="164">
        <v>38.291139240506325</v>
      </c>
      <c r="N168" s="164">
        <v>100</v>
      </c>
      <c r="O168" s="163">
        <v>28</v>
      </c>
      <c r="Q168" s="159">
        <f t="shared" si="33"/>
        <v>121</v>
      </c>
      <c r="R168" s="145">
        <v>68</v>
      </c>
      <c r="S168" s="145">
        <f t="shared" si="34"/>
        <v>53</v>
      </c>
    </row>
    <row r="169" spans="1:19" ht="12.75" customHeight="1">
      <c r="A169" s="168" t="s">
        <v>235</v>
      </c>
      <c r="B169" s="170">
        <v>20000</v>
      </c>
      <c r="C169" s="170">
        <v>1000</v>
      </c>
      <c r="D169" s="170">
        <v>947.6</v>
      </c>
      <c r="E169" s="155">
        <f t="shared" si="37"/>
        <v>4.7379999999999995</v>
      </c>
      <c r="F169" s="155">
        <f t="shared" si="38"/>
        <v>94.76</v>
      </c>
      <c r="G169" s="170">
        <f>D169-'[2]Marts'!D169</f>
        <v>0</v>
      </c>
      <c r="I169" s="168" t="s">
        <v>235</v>
      </c>
      <c r="J169" s="163">
        <v>20</v>
      </c>
      <c r="K169" s="163">
        <v>5</v>
      </c>
      <c r="L169" s="163">
        <v>1</v>
      </c>
      <c r="M169" s="164">
        <v>5</v>
      </c>
      <c r="N169" s="164">
        <v>20</v>
      </c>
      <c r="O169" s="163"/>
      <c r="Q169" s="159">
        <f t="shared" si="33"/>
        <v>1</v>
      </c>
      <c r="R169" s="145">
        <v>1</v>
      </c>
      <c r="S169" s="145">
        <f t="shared" si="34"/>
        <v>0</v>
      </c>
    </row>
    <row r="170" spans="1:19" ht="12.75" customHeight="1">
      <c r="A170" s="166" t="s">
        <v>277</v>
      </c>
      <c r="B170" s="170"/>
      <c r="C170" s="170"/>
      <c r="D170" s="170"/>
      <c r="E170" s="170"/>
      <c r="F170" s="170"/>
      <c r="G170" s="170"/>
      <c r="I170" s="166" t="s">
        <v>278</v>
      </c>
      <c r="J170" s="170"/>
      <c r="K170" s="170"/>
      <c r="L170" s="170"/>
      <c r="M170" s="164"/>
      <c r="N170" s="164"/>
      <c r="O170" s="170"/>
      <c r="Q170" s="159">
        <f t="shared" si="33"/>
        <v>0</v>
      </c>
      <c r="S170" s="145">
        <f t="shared" si="34"/>
        <v>0</v>
      </c>
    </row>
    <row r="171" spans="1:19" ht="12.75" customHeight="1">
      <c r="A171" s="160" t="s">
        <v>228</v>
      </c>
      <c r="B171" s="170">
        <f>SUM(B172:B173)</f>
        <v>6428814</v>
      </c>
      <c r="C171" s="170">
        <f>SUM(C172:C173)</f>
        <v>1999081</v>
      </c>
      <c r="D171" s="170">
        <f>SUM(D172:D173)</f>
        <v>2004575.64</v>
      </c>
      <c r="E171" s="155">
        <f aca="true" t="shared" si="39" ref="E171:E176">IF(ISERROR(D171/B171)," ",(D171/B171))*100</f>
        <v>31.181111166072</v>
      </c>
      <c r="F171" s="155">
        <f aca="true" t="shared" si="40" ref="F171:F176">IF(ISERROR(D171/C171)," ",(D171/C171))*100</f>
        <v>100.27485829738765</v>
      </c>
      <c r="G171" s="170">
        <f>SUM(G172:G173)</f>
        <v>527266.57</v>
      </c>
      <c r="I171" s="160" t="s">
        <v>228</v>
      </c>
      <c r="J171" s="152">
        <v>6429</v>
      </c>
      <c r="K171" s="152">
        <v>2541</v>
      </c>
      <c r="L171" s="152">
        <v>2547</v>
      </c>
      <c r="M171" s="162">
        <v>39.61735884274382</v>
      </c>
      <c r="N171" s="162">
        <v>100.23612750885478</v>
      </c>
      <c r="O171" s="152">
        <v>542</v>
      </c>
      <c r="Q171" s="159">
        <f t="shared" si="33"/>
        <v>2547</v>
      </c>
      <c r="R171" s="145">
        <v>1477</v>
      </c>
      <c r="S171" s="145">
        <f t="shared" si="34"/>
        <v>1070</v>
      </c>
    </row>
    <row r="172" spans="1:19" ht="12.75" customHeight="1">
      <c r="A172" s="160" t="s">
        <v>229</v>
      </c>
      <c r="B172" s="170">
        <v>6419814</v>
      </c>
      <c r="C172" s="170">
        <v>1996081</v>
      </c>
      <c r="D172" s="170">
        <v>1996081</v>
      </c>
      <c r="E172" s="155">
        <f t="shared" si="39"/>
        <v>31.092505172268233</v>
      </c>
      <c r="F172" s="155">
        <f t="shared" si="40"/>
        <v>100</v>
      </c>
      <c r="G172" s="170">
        <f>D172-'[2]Marts'!D172</f>
        <v>523234</v>
      </c>
      <c r="I172" s="160" t="s">
        <v>229</v>
      </c>
      <c r="J172" s="163">
        <v>6420</v>
      </c>
      <c r="K172" s="163">
        <v>2537</v>
      </c>
      <c r="L172" s="163">
        <v>2537</v>
      </c>
      <c r="M172" s="164">
        <v>39.51713395638629</v>
      </c>
      <c r="N172" s="164">
        <v>100</v>
      </c>
      <c r="O172" s="163">
        <v>541</v>
      </c>
      <c r="Q172" s="159">
        <f t="shared" si="33"/>
        <v>2537</v>
      </c>
      <c r="R172" s="145">
        <v>1473</v>
      </c>
      <c r="S172" s="145">
        <f t="shared" si="34"/>
        <v>1064</v>
      </c>
    </row>
    <row r="173" spans="1:19" ht="12.75" customHeight="1">
      <c r="A173" s="160" t="s">
        <v>231</v>
      </c>
      <c r="B173" s="170">
        <v>9000</v>
      </c>
      <c r="C173" s="170">
        <v>3000</v>
      </c>
      <c r="D173" s="170">
        <v>8494.64</v>
      </c>
      <c r="E173" s="155">
        <f t="shared" si="39"/>
        <v>94.38488888888888</v>
      </c>
      <c r="F173" s="155">
        <f t="shared" si="40"/>
        <v>283.1546666666667</v>
      </c>
      <c r="G173" s="170">
        <f>D173-'[2]Marts'!D173</f>
        <v>4032.5699999999997</v>
      </c>
      <c r="I173" s="160" t="s">
        <v>231</v>
      </c>
      <c r="J173" s="163">
        <v>9</v>
      </c>
      <c r="K173" s="163">
        <v>4</v>
      </c>
      <c r="L173" s="163">
        <v>10</v>
      </c>
      <c r="M173" s="164">
        <v>111.11111111111111</v>
      </c>
      <c r="N173" s="164">
        <v>250</v>
      </c>
      <c r="O173" s="163">
        <v>1</v>
      </c>
      <c r="Q173" s="159">
        <f t="shared" si="33"/>
        <v>10</v>
      </c>
      <c r="R173" s="145">
        <v>4</v>
      </c>
      <c r="S173" s="145">
        <f t="shared" si="34"/>
        <v>6</v>
      </c>
    </row>
    <row r="174" spans="1:19" ht="12.75" customHeight="1">
      <c r="A174" s="166" t="s">
        <v>233</v>
      </c>
      <c r="B174" s="172">
        <f>SUM(B175:B176)</f>
        <v>6428814</v>
      </c>
      <c r="C174" s="172">
        <f>SUM(C175:C176)</f>
        <v>1999081</v>
      </c>
      <c r="D174" s="172">
        <f>SUM(D175:D176)</f>
        <v>1968464.2</v>
      </c>
      <c r="E174" s="155">
        <f t="shared" si="39"/>
        <v>30.619398850238937</v>
      </c>
      <c r="F174" s="155">
        <f t="shared" si="40"/>
        <v>98.46845625564947</v>
      </c>
      <c r="G174" s="172">
        <f>SUM(G175:G176)</f>
        <v>502652.72000000003</v>
      </c>
      <c r="I174" s="166" t="s">
        <v>233</v>
      </c>
      <c r="J174" s="152">
        <v>6429</v>
      </c>
      <c r="K174" s="152">
        <v>2541</v>
      </c>
      <c r="L174" s="152">
        <v>2510</v>
      </c>
      <c r="M174" s="162">
        <v>39.04184165500077</v>
      </c>
      <c r="N174" s="162">
        <v>98.78000787091696</v>
      </c>
      <c r="O174" s="152">
        <v>541</v>
      </c>
      <c r="Q174" s="159">
        <f t="shared" si="33"/>
        <v>2510</v>
      </c>
      <c r="R174" s="145">
        <v>1466</v>
      </c>
      <c r="S174" s="145">
        <f t="shared" si="34"/>
        <v>1044</v>
      </c>
    </row>
    <row r="175" spans="1:19" ht="12.75" customHeight="1">
      <c r="A175" s="168" t="s">
        <v>234</v>
      </c>
      <c r="B175" s="170">
        <v>6285754</v>
      </c>
      <c r="C175" s="170">
        <v>1964881</v>
      </c>
      <c r="D175" s="170">
        <v>1960855.27</v>
      </c>
      <c r="E175" s="155">
        <f t="shared" si="39"/>
        <v>31.19522765287983</v>
      </c>
      <c r="F175" s="155">
        <f t="shared" si="40"/>
        <v>99.79511583653158</v>
      </c>
      <c r="G175" s="170">
        <f>D175-'[2]Marts'!D175</f>
        <v>496924.54000000004</v>
      </c>
      <c r="I175" s="168" t="s">
        <v>234</v>
      </c>
      <c r="J175" s="163">
        <v>6286</v>
      </c>
      <c r="K175" s="163">
        <v>2507</v>
      </c>
      <c r="L175" s="163">
        <v>2501</v>
      </c>
      <c r="M175" s="164">
        <v>39.78682787146039</v>
      </c>
      <c r="N175" s="164">
        <v>99.76067012365377</v>
      </c>
      <c r="O175" s="163">
        <v>540</v>
      </c>
      <c r="Q175" s="159">
        <f t="shared" si="33"/>
        <v>2501</v>
      </c>
      <c r="R175" s="145">
        <v>1464</v>
      </c>
      <c r="S175" s="145">
        <f t="shared" si="34"/>
        <v>1037</v>
      </c>
    </row>
    <row r="176" spans="1:19" ht="12.75" customHeight="1">
      <c r="A176" s="168" t="s">
        <v>235</v>
      </c>
      <c r="B176" s="170">
        <v>143060</v>
      </c>
      <c r="C176" s="170">
        <v>34200</v>
      </c>
      <c r="D176" s="170">
        <v>7608.93</v>
      </c>
      <c r="E176" s="155">
        <f t="shared" si="39"/>
        <v>5.318698448203551</v>
      </c>
      <c r="F176" s="155">
        <f t="shared" si="40"/>
        <v>22.248333333333335</v>
      </c>
      <c r="G176" s="170">
        <f>D176-'[2]Marts'!D176</f>
        <v>5728.18</v>
      </c>
      <c r="I176" s="168" t="s">
        <v>235</v>
      </c>
      <c r="J176" s="163">
        <v>143</v>
      </c>
      <c r="K176" s="163">
        <v>34</v>
      </c>
      <c r="L176" s="163">
        <v>9</v>
      </c>
      <c r="M176" s="164">
        <v>6.293706293706294</v>
      </c>
      <c r="N176" s="164">
        <v>26.47058823529412</v>
      </c>
      <c r="O176" s="163">
        <v>1</v>
      </c>
      <c r="Q176" s="159">
        <f t="shared" si="33"/>
        <v>9</v>
      </c>
      <c r="R176" s="145">
        <v>2</v>
      </c>
      <c r="S176" s="145">
        <f t="shared" si="34"/>
        <v>7</v>
      </c>
    </row>
    <row r="177" spans="1:19" ht="12.75" customHeight="1">
      <c r="A177" s="151" t="s">
        <v>279</v>
      </c>
      <c r="B177" s="172"/>
      <c r="C177" s="172"/>
      <c r="D177" s="172"/>
      <c r="E177" s="172"/>
      <c r="F177" s="172"/>
      <c r="G177" s="172"/>
      <c r="I177" s="151" t="s">
        <v>280</v>
      </c>
      <c r="J177" s="172"/>
      <c r="K177" s="172"/>
      <c r="L177" s="172"/>
      <c r="M177" s="164"/>
      <c r="N177" s="164"/>
      <c r="O177" s="172"/>
      <c r="Q177" s="159">
        <f t="shared" si="33"/>
        <v>0</v>
      </c>
      <c r="S177" s="145">
        <f t="shared" si="34"/>
        <v>0</v>
      </c>
    </row>
    <row r="178" spans="1:19" ht="12.75" customHeight="1">
      <c r="A178" s="160" t="s">
        <v>228</v>
      </c>
      <c r="B178" s="170">
        <f>SUM(B179)</f>
        <v>230269</v>
      </c>
      <c r="C178" s="170">
        <f>SUM(C179)</f>
        <v>151826</v>
      </c>
      <c r="D178" s="170">
        <f>SUM(D179)</f>
        <v>151826</v>
      </c>
      <c r="E178" s="155">
        <f>IF(ISERROR(D178/B178)," ",(D178/B178))*100</f>
        <v>65.93419001255054</v>
      </c>
      <c r="F178" s="155">
        <f>IF(ISERROR(D178/C178)," ",(D178/C178))*100</f>
        <v>100</v>
      </c>
      <c r="G178" s="170">
        <f>SUM(G179)</f>
        <v>40735</v>
      </c>
      <c r="I178" s="160" t="s">
        <v>228</v>
      </c>
      <c r="J178" s="152">
        <v>230</v>
      </c>
      <c r="K178" s="152">
        <v>165</v>
      </c>
      <c r="L178" s="152">
        <v>165</v>
      </c>
      <c r="M178" s="162">
        <v>71.73913043478261</v>
      </c>
      <c r="N178" s="162">
        <v>100</v>
      </c>
      <c r="O178" s="152">
        <v>13</v>
      </c>
      <c r="Q178" s="159">
        <f t="shared" si="33"/>
        <v>165</v>
      </c>
      <c r="R178" s="145">
        <v>111</v>
      </c>
      <c r="S178" s="145">
        <f t="shared" si="34"/>
        <v>54</v>
      </c>
    </row>
    <row r="179" spans="1:19" ht="12.75" customHeight="1">
      <c r="A179" s="160" t="s">
        <v>229</v>
      </c>
      <c r="B179" s="170">
        <v>230269</v>
      </c>
      <c r="C179" s="170">
        <v>151826</v>
      </c>
      <c r="D179" s="170">
        <v>151826</v>
      </c>
      <c r="E179" s="155">
        <f>IF(ISERROR(D179/B179)," ",(D179/B179))*100</f>
        <v>65.93419001255054</v>
      </c>
      <c r="F179" s="155">
        <f>IF(ISERROR(D179/C179)," ",(D179/C179))*100</f>
        <v>100</v>
      </c>
      <c r="G179" s="170">
        <f>D179-'[2]Marts'!D179</f>
        <v>40735</v>
      </c>
      <c r="I179" s="160" t="s">
        <v>229</v>
      </c>
      <c r="J179" s="163">
        <v>230</v>
      </c>
      <c r="K179" s="163">
        <v>165</v>
      </c>
      <c r="L179" s="163">
        <v>165</v>
      </c>
      <c r="M179" s="164">
        <v>71.73913043478261</v>
      </c>
      <c r="N179" s="164">
        <v>100</v>
      </c>
      <c r="O179" s="163">
        <v>13</v>
      </c>
      <c r="Q179" s="159">
        <f t="shared" si="33"/>
        <v>165</v>
      </c>
      <c r="R179" s="145">
        <v>111</v>
      </c>
      <c r="S179" s="145">
        <f t="shared" si="34"/>
        <v>54</v>
      </c>
    </row>
    <row r="180" spans="1:19" ht="12.75" customHeight="1">
      <c r="A180" s="166" t="s">
        <v>233</v>
      </c>
      <c r="B180" s="172">
        <f>SUM(B181:B182)</f>
        <v>230269</v>
      </c>
      <c r="C180" s="172">
        <f>SUM(C181:C182)</f>
        <v>151826</v>
      </c>
      <c r="D180" s="172">
        <f>SUM(D181:D182)</f>
        <v>126896.98</v>
      </c>
      <c r="E180" s="155">
        <f>IF(ISERROR(D180/B180)," ",(D180/B180))*100</f>
        <v>55.10814742757384</v>
      </c>
      <c r="F180" s="155">
        <f>IF(ISERROR(D180/C180)," ",(D180/C180))*100</f>
        <v>83.58053297854123</v>
      </c>
      <c r="G180" s="172">
        <f>SUM(G181:G182)</f>
        <v>19598.929999999993</v>
      </c>
      <c r="I180" s="166" t="s">
        <v>233</v>
      </c>
      <c r="J180" s="152">
        <v>230</v>
      </c>
      <c r="K180" s="152">
        <v>165</v>
      </c>
      <c r="L180" s="152">
        <v>140</v>
      </c>
      <c r="M180" s="162">
        <v>60.86956521739131</v>
      </c>
      <c r="N180" s="162">
        <v>84.84848484848484</v>
      </c>
      <c r="O180" s="152">
        <v>13</v>
      </c>
      <c r="Q180" s="159">
        <f t="shared" si="33"/>
        <v>140</v>
      </c>
      <c r="R180" s="145">
        <v>107</v>
      </c>
      <c r="S180" s="145">
        <f t="shared" si="34"/>
        <v>33</v>
      </c>
    </row>
    <row r="181" spans="1:19" ht="12.75" customHeight="1">
      <c r="A181" s="168" t="s">
        <v>234</v>
      </c>
      <c r="B181" s="170">
        <v>216269</v>
      </c>
      <c r="C181" s="170">
        <v>139326</v>
      </c>
      <c r="D181" s="170">
        <v>114606.2</v>
      </c>
      <c r="E181" s="155">
        <f>IF(ISERROR(D181/B181)," ",(D181/B181))*100</f>
        <v>52.99243072284978</v>
      </c>
      <c r="F181" s="155">
        <f>IF(ISERROR(D181/C181)," ",(D181/C181))*100</f>
        <v>82.257582934987</v>
      </c>
      <c r="G181" s="170">
        <f>D181-'[2]Marts'!D181</f>
        <v>19598.929999999993</v>
      </c>
      <c r="I181" s="168" t="s">
        <v>234</v>
      </c>
      <c r="J181" s="163">
        <v>216</v>
      </c>
      <c r="K181" s="163">
        <v>151</v>
      </c>
      <c r="L181" s="163">
        <v>126</v>
      </c>
      <c r="M181" s="164">
        <v>58.333333333333336</v>
      </c>
      <c r="N181" s="164">
        <v>83.44370860927152</v>
      </c>
      <c r="O181" s="163">
        <v>11</v>
      </c>
      <c r="Q181" s="159">
        <f t="shared" si="33"/>
        <v>126</v>
      </c>
      <c r="R181" s="145">
        <v>95</v>
      </c>
      <c r="S181" s="145">
        <f t="shared" si="34"/>
        <v>31</v>
      </c>
    </row>
    <row r="182" spans="1:19" ht="12.75" customHeight="1">
      <c r="A182" s="168" t="s">
        <v>235</v>
      </c>
      <c r="B182" s="170">
        <v>14000</v>
      </c>
      <c r="C182" s="170">
        <v>12500</v>
      </c>
      <c r="D182" s="170">
        <v>12290.78</v>
      </c>
      <c r="E182" s="155">
        <f>IF(ISERROR(D182/B182)," ",(D182/B182))*100</f>
        <v>87.79128571428572</v>
      </c>
      <c r="F182" s="155">
        <f>IF(ISERROR(D182/C182)," ",(D182/C182))*100</f>
        <v>98.32624000000001</v>
      </c>
      <c r="G182" s="170">
        <f>D182-'[2]Marts'!D182</f>
        <v>0</v>
      </c>
      <c r="I182" s="168" t="s">
        <v>235</v>
      </c>
      <c r="J182" s="163">
        <v>14</v>
      </c>
      <c r="K182" s="163">
        <v>14</v>
      </c>
      <c r="L182" s="163">
        <v>14</v>
      </c>
      <c r="M182" s="164">
        <v>100</v>
      </c>
      <c r="N182" s="164">
        <v>100</v>
      </c>
      <c r="O182" s="163">
        <v>2</v>
      </c>
      <c r="Q182" s="159">
        <f t="shared" si="33"/>
        <v>14</v>
      </c>
      <c r="R182" s="145">
        <v>12</v>
      </c>
      <c r="S182" s="145">
        <f t="shared" si="34"/>
        <v>2</v>
      </c>
    </row>
    <row r="183" spans="1:19" ht="12.75" customHeight="1">
      <c r="A183" s="171" t="s">
        <v>281</v>
      </c>
      <c r="B183" s="172"/>
      <c r="C183" s="172"/>
      <c r="D183" s="172"/>
      <c r="E183" s="172"/>
      <c r="F183" s="172"/>
      <c r="G183" s="172"/>
      <c r="I183" s="171" t="s">
        <v>282</v>
      </c>
      <c r="J183" s="172"/>
      <c r="K183" s="172"/>
      <c r="L183" s="172"/>
      <c r="M183" s="164"/>
      <c r="N183" s="164"/>
      <c r="O183" s="172"/>
      <c r="Q183" s="159">
        <f t="shared" si="33"/>
        <v>0</v>
      </c>
      <c r="S183" s="145">
        <f t="shared" si="34"/>
        <v>0</v>
      </c>
    </row>
    <row r="184" spans="1:19" ht="12.75" customHeight="1">
      <c r="A184" s="160" t="s">
        <v>228</v>
      </c>
      <c r="B184" s="170">
        <f>SUM(B185)</f>
        <v>51951</v>
      </c>
      <c r="C184" s="170">
        <f>SUM(C185)</f>
        <v>15751</v>
      </c>
      <c r="D184" s="170">
        <f>SUM(D185)</f>
        <v>15751</v>
      </c>
      <c r="E184" s="155">
        <f>IF(ISERROR(D184/B184)," ",(D184/B184))*100</f>
        <v>30.318954399337837</v>
      </c>
      <c r="F184" s="155">
        <f>IF(ISERROR(D184/C184)," ",(D184/C184))*100</f>
        <v>100</v>
      </c>
      <c r="G184" s="170">
        <f>SUM(G185)</f>
        <v>4234</v>
      </c>
      <c r="I184" s="160" t="s">
        <v>228</v>
      </c>
      <c r="J184" s="152">
        <v>52</v>
      </c>
      <c r="K184" s="152">
        <v>20</v>
      </c>
      <c r="L184" s="152">
        <v>20</v>
      </c>
      <c r="M184" s="162">
        <v>38.46153846153847</v>
      </c>
      <c r="N184" s="162">
        <v>100</v>
      </c>
      <c r="O184" s="152">
        <v>4</v>
      </c>
      <c r="Q184" s="159">
        <f t="shared" si="33"/>
        <v>20</v>
      </c>
      <c r="R184" s="145">
        <v>12</v>
      </c>
      <c r="S184" s="145">
        <f t="shared" si="34"/>
        <v>8</v>
      </c>
    </row>
    <row r="185" spans="1:19" ht="12.75" customHeight="1">
      <c r="A185" s="160" t="s">
        <v>229</v>
      </c>
      <c r="B185" s="170">
        <v>51951</v>
      </c>
      <c r="C185" s="170">
        <v>15751</v>
      </c>
      <c r="D185" s="170">
        <v>15751</v>
      </c>
      <c r="E185" s="155">
        <f>IF(ISERROR(D185/B185)," ",(D185/B185))*100</f>
        <v>30.318954399337837</v>
      </c>
      <c r="F185" s="155">
        <f>IF(ISERROR(D185/C185)," ",(D185/C185))*100</f>
        <v>100</v>
      </c>
      <c r="G185" s="170">
        <f>D185-'[2]Marts'!D185</f>
        <v>4234</v>
      </c>
      <c r="I185" s="160" t="s">
        <v>229</v>
      </c>
      <c r="J185" s="163">
        <v>52</v>
      </c>
      <c r="K185" s="163">
        <v>20</v>
      </c>
      <c r="L185" s="163">
        <v>20</v>
      </c>
      <c r="M185" s="164">
        <v>38.46153846153847</v>
      </c>
      <c r="N185" s="164">
        <v>100</v>
      </c>
      <c r="O185" s="163">
        <v>4</v>
      </c>
      <c r="Q185" s="159">
        <f t="shared" si="33"/>
        <v>20</v>
      </c>
      <c r="R185" s="145">
        <v>12</v>
      </c>
      <c r="S185" s="145">
        <f t="shared" si="34"/>
        <v>8</v>
      </c>
    </row>
    <row r="186" spans="1:19" ht="12.75" customHeight="1">
      <c r="A186" s="166" t="s">
        <v>233</v>
      </c>
      <c r="B186" s="172">
        <f>SUM(B187)</f>
        <v>51951</v>
      </c>
      <c r="C186" s="172">
        <f>SUM(C187)</f>
        <v>15751</v>
      </c>
      <c r="D186" s="172">
        <f>SUM(D187)</f>
        <v>13776.11</v>
      </c>
      <c r="E186" s="155">
        <f>IF(ISERROR(D186/B186)," ",(D186/B186))*100</f>
        <v>26.517506881484476</v>
      </c>
      <c r="F186" s="155">
        <f>IF(ISERROR(D186/C186)," ",(D186/C186))*100</f>
        <v>87.46181194844772</v>
      </c>
      <c r="G186" s="172">
        <f>SUM(G187)</f>
        <v>3750.630000000001</v>
      </c>
      <c r="I186" s="166" t="s">
        <v>233</v>
      </c>
      <c r="J186" s="152">
        <v>52</v>
      </c>
      <c r="K186" s="152">
        <v>20</v>
      </c>
      <c r="L186" s="152">
        <v>18</v>
      </c>
      <c r="M186" s="162">
        <v>34.61538461538461</v>
      </c>
      <c r="N186" s="162">
        <v>90</v>
      </c>
      <c r="O186" s="152">
        <v>4</v>
      </c>
      <c r="Q186" s="159">
        <f t="shared" si="33"/>
        <v>18</v>
      </c>
      <c r="R186" s="145">
        <v>10</v>
      </c>
      <c r="S186" s="145">
        <f t="shared" si="34"/>
        <v>8</v>
      </c>
    </row>
    <row r="187" spans="1:19" ht="12.75" customHeight="1">
      <c r="A187" s="168" t="s">
        <v>234</v>
      </c>
      <c r="B187" s="170">
        <v>51951</v>
      </c>
      <c r="C187" s="170">
        <v>15751</v>
      </c>
      <c r="D187" s="170">
        <v>13776.11</v>
      </c>
      <c r="E187" s="155">
        <f>IF(ISERROR(D187/B187)," ",(D187/B187))*100</f>
        <v>26.517506881484476</v>
      </c>
      <c r="F187" s="155">
        <f>IF(ISERROR(D187/C187)," ",(D187/C187))*100</f>
        <v>87.46181194844772</v>
      </c>
      <c r="G187" s="170">
        <f>D187-'[2]Marts'!D187</f>
        <v>3750.630000000001</v>
      </c>
      <c r="I187" s="168" t="s">
        <v>234</v>
      </c>
      <c r="J187" s="163">
        <v>52</v>
      </c>
      <c r="K187" s="163">
        <v>20</v>
      </c>
      <c r="L187" s="163">
        <v>18</v>
      </c>
      <c r="M187" s="164">
        <v>34.61538461538461</v>
      </c>
      <c r="N187" s="164">
        <v>90</v>
      </c>
      <c r="O187" s="163">
        <v>4</v>
      </c>
      <c r="Q187" s="159">
        <f t="shared" si="33"/>
        <v>18</v>
      </c>
      <c r="R187" s="145">
        <v>10</v>
      </c>
      <c r="S187" s="145">
        <f t="shared" si="34"/>
        <v>8</v>
      </c>
    </row>
    <row r="188" spans="1:19" ht="12.75" customHeight="1">
      <c r="A188" s="171" t="s">
        <v>283</v>
      </c>
      <c r="B188" s="172"/>
      <c r="C188" s="172"/>
      <c r="D188" s="172"/>
      <c r="E188" s="172"/>
      <c r="F188" s="172"/>
      <c r="G188" s="172"/>
      <c r="I188" s="171" t="s">
        <v>284</v>
      </c>
      <c r="J188" s="172"/>
      <c r="K188" s="172"/>
      <c r="L188" s="172"/>
      <c r="M188" s="164"/>
      <c r="N188" s="164"/>
      <c r="O188" s="172"/>
      <c r="Q188" s="159">
        <f t="shared" si="33"/>
        <v>0</v>
      </c>
      <c r="S188" s="145">
        <f t="shared" si="34"/>
        <v>0</v>
      </c>
    </row>
    <row r="189" spans="1:19" ht="12.75" customHeight="1">
      <c r="A189" s="160" t="s">
        <v>228</v>
      </c>
      <c r="B189" s="170">
        <f>SUM(B190)</f>
        <v>1643907</v>
      </c>
      <c r="C189" s="170">
        <f>SUM(C190)</f>
        <v>916227</v>
      </c>
      <c r="D189" s="170">
        <f>SUM(D190)</f>
        <v>916227</v>
      </c>
      <c r="E189" s="155">
        <f>IF(ISERROR(D189/B189)," ",(D189/B189))*100</f>
        <v>55.734722219687605</v>
      </c>
      <c r="F189" s="155">
        <f>IF(ISERROR(D189/C189)," ",(D189/C189))*100</f>
        <v>100</v>
      </c>
      <c r="G189" s="170">
        <f>SUM(G190)</f>
        <v>643327</v>
      </c>
      <c r="I189" s="160" t="s">
        <v>228</v>
      </c>
      <c r="J189" s="152">
        <v>1644</v>
      </c>
      <c r="K189" s="152">
        <v>1007</v>
      </c>
      <c r="L189" s="152">
        <v>1007</v>
      </c>
      <c r="M189" s="162">
        <v>61.25304136253041</v>
      </c>
      <c r="N189" s="162">
        <v>100</v>
      </c>
      <c r="O189" s="152">
        <v>91</v>
      </c>
      <c r="Q189" s="159">
        <f t="shared" si="33"/>
        <v>1007</v>
      </c>
      <c r="R189" s="145">
        <v>273</v>
      </c>
      <c r="S189" s="145">
        <f t="shared" si="34"/>
        <v>734</v>
      </c>
    </row>
    <row r="190" spans="1:19" ht="12.75" customHeight="1">
      <c r="A190" s="160" t="s">
        <v>229</v>
      </c>
      <c r="B190" s="170">
        <v>1643907</v>
      </c>
      <c r="C190" s="170">
        <v>916227</v>
      </c>
      <c r="D190" s="170">
        <v>916227</v>
      </c>
      <c r="E190" s="155">
        <f>IF(ISERROR(D190/B190)," ",(D190/B190))*100</f>
        <v>55.734722219687605</v>
      </c>
      <c r="F190" s="155">
        <f>IF(ISERROR(D190/C190)," ",(D190/C190))*100</f>
        <v>100</v>
      </c>
      <c r="G190" s="170">
        <f>D190-'[2]Marts'!D190</f>
        <v>643327</v>
      </c>
      <c r="I190" s="160" t="s">
        <v>229</v>
      </c>
      <c r="J190" s="163">
        <v>1644</v>
      </c>
      <c r="K190" s="163">
        <v>1007</v>
      </c>
      <c r="L190" s="163">
        <v>1007</v>
      </c>
      <c r="M190" s="164">
        <v>61.25304136253041</v>
      </c>
      <c r="N190" s="164">
        <v>100</v>
      </c>
      <c r="O190" s="163">
        <v>91</v>
      </c>
      <c r="Q190" s="159">
        <f t="shared" si="33"/>
        <v>1007</v>
      </c>
      <c r="R190" s="145">
        <v>273</v>
      </c>
      <c r="S190" s="145">
        <f t="shared" si="34"/>
        <v>734</v>
      </c>
    </row>
    <row r="191" spans="1:19" ht="12.75" customHeight="1">
      <c r="A191" s="166" t="s">
        <v>233</v>
      </c>
      <c r="B191" s="172">
        <f>SUM(B192)</f>
        <v>1643907</v>
      </c>
      <c r="C191" s="172">
        <f>SUM(C192)</f>
        <v>916227</v>
      </c>
      <c r="D191" s="172">
        <f>SUM(D192)</f>
        <v>362501.02</v>
      </c>
      <c r="E191" s="155">
        <f>IF(ISERROR(D191/B191)," ",(D191/B191))*100</f>
        <v>22.05118781050266</v>
      </c>
      <c r="F191" s="155">
        <f>IF(ISERROR(D191/C191)," ",(D191/C191))*100</f>
        <v>39.56454241143298</v>
      </c>
      <c r="G191" s="172">
        <f>SUM(G192)</f>
        <v>89601.02000000002</v>
      </c>
      <c r="I191" s="166" t="s">
        <v>233</v>
      </c>
      <c r="J191" s="152">
        <v>1644</v>
      </c>
      <c r="K191" s="152">
        <v>1007</v>
      </c>
      <c r="L191" s="152">
        <v>455</v>
      </c>
      <c r="M191" s="162">
        <v>27.676399026763992</v>
      </c>
      <c r="N191" s="162">
        <v>45.1837140019861</v>
      </c>
      <c r="O191" s="152">
        <v>91</v>
      </c>
      <c r="Q191" s="159">
        <f t="shared" si="33"/>
        <v>455</v>
      </c>
      <c r="R191" s="145">
        <v>273</v>
      </c>
      <c r="S191" s="145">
        <f t="shared" si="34"/>
        <v>182</v>
      </c>
    </row>
    <row r="192" spans="1:19" ht="12.75" customHeight="1">
      <c r="A192" s="168" t="s">
        <v>234</v>
      </c>
      <c r="B192" s="170">
        <v>1643907</v>
      </c>
      <c r="C192" s="170">
        <v>916227</v>
      </c>
      <c r="D192" s="170">
        <v>362501.02</v>
      </c>
      <c r="E192" s="155">
        <f>IF(ISERROR(D192/B192)," ",(D192/B192))*100</f>
        <v>22.05118781050266</v>
      </c>
      <c r="F192" s="155">
        <f>IF(ISERROR(D192/C192)," ",(D192/C192))*100</f>
        <v>39.56454241143298</v>
      </c>
      <c r="G192" s="170">
        <f>D192-'[2]Marts'!D192</f>
        <v>89601.02000000002</v>
      </c>
      <c r="I192" s="168" t="s">
        <v>234</v>
      </c>
      <c r="J192" s="163">
        <v>1644</v>
      </c>
      <c r="K192" s="163">
        <v>1007</v>
      </c>
      <c r="L192" s="163">
        <v>455</v>
      </c>
      <c r="M192" s="164">
        <v>27.676399026763992</v>
      </c>
      <c r="N192" s="164">
        <v>45.1837140019861</v>
      </c>
      <c r="O192" s="163">
        <v>91</v>
      </c>
      <c r="Q192" s="159">
        <f t="shared" si="33"/>
        <v>455</v>
      </c>
      <c r="R192" s="145">
        <v>273</v>
      </c>
      <c r="S192" s="145">
        <f t="shared" si="34"/>
        <v>182</v>
      </c>
    </row>
    <row r="193" spans="1:19" ht="12.75" customHeight="1">
      <c r="A193" s="166" t="s">
        <v>285</v>
      </c>
      <c r="B193" s="172"/>
      <c r="C193" s="172"/>
      <c r="D193" s="172"/>
      <c r="E193" s="172"/>
      <c r="F193" s="172"/>
      <c r="G193" s="172"/>
      <c r="I193" s="166" t="s">
        <v>286</v>
      </c>
      <c r="J193" s="172"/>
      <c r="K193" s="172"/>
      <c r="L193" s="172"/>
      <c r="M193" s="164"/>
      <c r="N193" s="164"/>
      <c r="O193" s="172"/>
      <c r="Q193" s="159">
        <f t="shared" si="33"/>
        <v>0</v>
      </c>
      <c r="S193" s="145">
        <f t="shared" si="34"/>
        <v>0</v>
      </c>
    </row>
    <row r="194" spans="1:19" ht="12.75" customHeight="1">
      <c r="A194" s="160" t="s">
        <v>228</v>
      </c>
      <c r="B194" s="170">
        <f>SUM(B195:B196)</f>
        <v>6767466</v>
      </c>
      <c r="C194" s="170">
        <f>SUM(C195:C196)</f>
        <v>2219025</v>
      </c>
      <c r="D194" s="170">
        <f>SUM(D195:D196)</f>
        <v>2220995</v>
      </c>
      <c r="E194" s="155">
        <f aca="true" t="shared" si="41" ref="E194:E199">IF(ISERROR(D194/B194)," ",(D194/B194))*100</f>
        <v>32.81870939580635</v>
      </c>
      <c r="F194" s="155">
        <f>IF(ISERROR(D194/C194)," ",(D194/C194))*100</f>
        <v>100.08877772895755</v>
      </c>
      <c r="G194" s="170">
        <f>SUM(G195:G196)</f>
        <v>611006</v>
      </c>
      <c r="I194" s="160" t="s">
        <v>228</v>
      </c>
      <c r="J194" s="152">
        <v>6768</v>
      </c>
      <c r="K194" s="152">
        <v>2822</v>
      </c>
      <c r="L194" s="152">
        <v>2824</v>
      </c>
      <c r="M194" s="162">
        <v>41.725768321513</v>
      </c>
      <c r="N194" s="162">
        <v>100.07087172218286</v>
      </c>
      <c r="O194" s="152">
        <v>603</v>
      </c>
      <c r="Q194" s="159">
        <f t="shared" si="33"/>
        <v>2824</v>
      </c>
      <c r="R194" s="145">
        <v>1610</v>
      </c>
      <c r="S194" s="145">
        <f t="shared" si="34"/>
        <v>1214</v>
      </c>
    </row>
    <row r="195" spans="1:19" ht="12.75" customHeight="1">
      <c r="A195" s="160" t="s">
        <v>229</v>
      </c>
      <c r="B195" s="170">
        <v>6765626</v>
      </c>
      <c r="C195" s="170">
        <v>2218825</v>
      </c>
      <c r="D195" s="170">
        <v>2218825</v>
      </c>
      <c r="E195" s="155">
        <f t="shared" si="41"/>
        <v>32.7955609724806</v>
      </c>
      <c r="F195" s="155">
        <f>IF(ISERROR(D195/C195)," ",(D195/C195))*100</f>
        <v>100</v>
      </c>
      <c r="G195" s="170">
        <f>D195-'[2]Marts'!D195</f>
        <v>611006</v>
      </c>
      <c r="I195" s="160" t="s">
        <v>229</v>
      </c>
      <c r="J195" s="163">
        <v>6766</v>
      </c>
      <c r="K195" s="163">
        <v>2822</v>
      </c>
      <c r="L195" s="163">
        <v>2822</v>
      </c>
      <c r="M195" s="164">
        <v>41.70854271356784</v>
      </c>
      <c r="N195" s="164">
        <v>100</v>
      </c>
      <c r="O195" s="163">
        <v>603</v>
      </c>
      <c r="Q195" s="159">
        <f t="shared" si="33"/>
        <v>2822</v>
      </c>
      <c r="R195" s="145">
        <v>1608</v>
      </c>
      <c r="S195" s="145">
        <f t="shared" si="34"/>
        <v>1214</v>
      </c>
    </row>
    <row r="196" spans="1:19" ht="12.75" customHeight="1">
      <c r="A196" s="160" t="s">
        <v>231</v>
      </c>
      <c r="B196" s="170">
        <v>1840</v>
      </c>
      <c r="C196" s="170">
        <v>200</v>
      </c>
      <c r="D196" s="170">
        <v>2170</v>
      </c>
      <c r="E196" s="155">
        <f t="shared" si="41"/>
        <v>117.93478260869566</v>
      </c>
      <c r="F196" s="155"/>
      <c r="G196" s="170">
        <f>D196-'[2]Marts'!D196</f>
        <v>0</v>
      </c>
      <c r="I196" s="160" t="s">
        <v>231</v>
      </c>
      <c r="J196" s="163">
        <v>2</v>
      </c>
      <c r="K196" s="163"/>
      <c r="L196" s="163">
        <v>2</v>
      </c>
      <c r="M196" s="164">
        <v>100</v>
      </c>
      <c r="N196" s="164"/>
      <c r="O196" s="163"/>
      <c r="Q196" s="159">
        <f t="shared" si="33"/>
        <v>2</v>
      </c>
      <c r="R196" s="145">
        <v>2</v>
      </c>
      <c r="S196" s="145">
        <f t="shared" si="34"/>
        <v>0</v>
      </c>
    </row>
    <row r="197" spans="1:19" ht="12.75" customHeight="1">
      <c r="A197" s="166" t="s">
        <v>233</v>
      </c>
      <c r="B197" s="172">
        <f>SUM(B198:B199)</f>
        <v>6767466</v>
      </c>
      <c r="C197" s="172">
        <f>SUM(C198:C199)</f>
        <v>2219025</v>
      </c>
      <c r="D197" s="172">
        <f>SUM(D198:D199)</f>
        <v>2208870.34</v>
      </c>
      <c r="E197" s="155">
        <f t="shared" si="41"/>
        <v>32.639548392263805</v>
      </c>
      <c r="F197" s="155">
        <f>IF(ISERROR(D197/C197)," ",(D197/C197))*100</f>
        <v>99.54238190196143</v>
      </c>
      <c r="G197" s="172">
        <f>SUM(G198:G199)</f>
        <v>611928.3099999999</v>
      </c>
      <c r="H197" s="174"/>
      <c r="I197" s="166" t="s">
        <v>233</v>
      </c>
      <c r="J197" s="152">
        <v>6767</v>
      </c>
      <c r="K197" s="152">
        <v>2823</v>
      </c>
      <c r="L197" s="152">
        <v>2795</v>
      </c>
      <c r="M197" s="162">
        <v>41.30338406975026</v>
      </c>
      <c r="N197" s="162">
        <v>99.00814736096352</v>
      </c>
      <c r="O197" s="152">
        <v>586</v>
      </c>
      <c r="Q197" s="159">
        <f t="shared" si="33"/>
        <v>2795</v>
      </c>
      <c r="R197" s="145">
        <v>1597</v>
      </c>
      <c r="S197" s="145">
        <f t="shared" si="34"/>
        <v>1198</v>
      </c>
    </row>
    <row r="198" spans="1:19" ht="12.75" customHeight="1">
      <c r="A198" s="168" t="s">
        <v>234</v>
      </c>
      <c r="B198" s="170">
        <v>6575466</v>
      </c>
      <c r="C198" s="170">
        <v>2153025</v>
      </c>
      <c r="D198" s="170">
        <v>2143954.78</v>
      </c>
      <c r="E198" s="155">
        <f t="shared" si="41"/>
        <v>32.605366372512606</v>
      </c>
      <c r="F198" s="155">
        <f>IF(ISERROR(D198/C198)," ",(D198/C198))*100</f>
        <v>99.57872203063131</v>
      </c>
      <c r="G198" s="170">
        <f>D198-'[2]Marts'!D198</f>
        <v>547208.1299999999</v>
      </c>
      <c r="I198" s="168" t="s">
        <v>234</v>
      </c>
      <c r="J198" s="163">
        <v>6575</v>
      </c>
      <c r="K198" s="163">
        <v>2757</v>
      </c>
      <c r="L198" s="163">
        <v>2729</v>
      </c>
      <c r="M198" s="164">
        <v>41.50570342205323</v>
      </c>
      <c r="N198" s="164">
        <v>98.98440333696047</v>
      </c>
      <c r="O198" s="163">
        <v>585</v>
      </c>
      <c r="Q198" s="159">
        <f t="shared" si="33"/>
        <v>2729</v>
      </c>
      <c r="R198" s="145">
        <v>1597</v>
      </c>
      <c r="S198" s="145">
        <f t="shared" si="34"/>
        <v>1132</v>
      </c>
    </row>
    <row r="199" spans="1:19" ht="12.75" customHeight="1">
      <c r="A199" s="168" t="s">
        <v>235</v>
      </c>
      <c r="B199" s="170">
        <v>192000</v>
      </c>
      <c r="C199" s="170">
        <v>66000</v>
      </c>
      <c r="D199" s="170">
        <v>64915.56</v>
      </c>
      <c r="E199" s="155">
        <f t="shared" si="41"/>
        <v>33.8101875</v>
      </c>
      <c r="F199" s="155">
        <f>IF(ISERROR(D199/C199)," ",(D199/C199))*100</f>
        <v>98.35690909090908</v>
      </c>
      <c r="G199" s="170">
        <f>D199-'[2]Marts'!D199</f>
        <v>64720.18</v>
      </c>
      <c r="I199" s="168" t="s">
        <v>235</v>
      </c>
      <c r="J199" s="163">
        <v>192</v>
      </c>
      <c r="K199" s="163">
        <v>66</v>
      </c>
      <c r="L199" s="163">
        <v>66</v>
      </c>
      <c r="M199" s="164">
        <v>34.375</v>
      </c>
      <c r="N199" s="164">
        <v>100</v>
      </c>
      <c r="O199" s="163">
        <v>1</v>
      </c>
      <c r="Q199" s="159">
        <f t="shared" si="33"/>
        <v>66</v>
      </c>
      <c r="S199" s="145">
        <f t="shared" si="34"/>
        <v>66</v>
      </c>
    </row>
    <row r="200" spans="1:19" ht="12.75" customHeight="1">
      <c r="A200" s="171" t="s">
        <v>287</v>
      </c>
      <c r="B200" s="170"/>
      <c r="C200" s="170"/>
      <c r="D200" s="170"/>
      <c r="E200" s="170"/>
      <c r="F200" s="170"/>
      <c r="G200" s="170"/>
      <c r="I200" s="171" t="s">
        <v>288</v>
      </c>
      <c r="J200" s="170"/>
      <c r="K200" s="170"/>
      <c r="L200" s="170"/>
      <c r="M200" s="164"/>
      <c r="N200" s="164"/>
      <c r="O200" s="170"/>
      <c r="Q200" s="159">
        <f t="shared" si="33"/>
        <v>0</v>
      </c>
      <c r="S200" s="145">
        <f t="shared" si="34"/>
        <v>0</v>
      </c>
    </row>
    <row r="201" spans="1:19" ht="12.75" customHeight="1">
      <c r="A201" s="160" t="s">
        <v>228</v>
      </c>
      <c r="B201" s="170">
        <f>SUM(B202)</f>
        <v>96191</v>
      </c>
      <c r="C201" s="170">
        <f>SUM(C202)</f>
        <v>32063</v>
      </c>
      <c r="D201" s="170">
        <f>SUM(D202)</f>
        <v>32063</v>
      </c>
      <c r="E201" s="155">
        <f>IF(ISERROR(D201/B201)," ",(D201/B201))*100</f>
        <v>33.33264026780052</v>
      </c>
      <c r="F201" s="155">
        <f>IF(ISERROR(D201/C201)," ",(D201/C201))*100</f>
        <v>100</v>
      </c>
      <c r="G201" s="170">
        <f>SUM(G202)</f>
        <v>8016</v>
      </c>
      <c r="I201" s="160" t="s">
        <v>228</v>
      </c>
      <c r="J201" s="152">
        <v>96</v>
      </c>
      <c r="K201" s="152">
        <v>40</v>
      </c>
      <c r="L201" s="152">
        <v>40</v>
      </c>
      <c r="M201" s="162">
        <v>41.66666666666667</v>
      </c>
      <c r="N201" s="162">
        <v>100</v>
      </c>
      <c r="O201" s="152">
        <v>8</v>
      </c>
      <c r="Q201" s="159">
        <f t="shared" si="33"/>
        <v>40</v>
      </c>
      <c r="R201" s="145">
        <v>24</v>
      </c>
      <c r="S201" s="145">
        <f t="shared" si="34"/>
        <v>16</v>
      </c>
    </row>
    <row r="202" spans="1:19" ht="12.75" customHeight="1">
      <c r="A202" s="160" t="s">
        <v>229</v>
      </c>
      <c r="B202" s="170">
        <v>96191</v>
      </c>
      <c r="C202" s="170">
        <v>32063</v>
      </c>
      <c r="D202" s="170">
        <v>32063</v>
      </c>
      <c r="E202" s="155">
        <f>IF(ISERROR(D202/B202)," ",(D202/B202))*100</f>
        <v>33.33264026780052</v>
      </c>
      <c r="F202" s="155">
        <f>IF(ISERROR(D202/C202)," ",(D202/C202))*100</f>
        <v>100</v>
      </c>
      <c r="G202" s="170">
        <f>D202-'[2]Marts'!D202</f>
        <v>8016</v>
      </c>
      <c r="I202" s="160" t="s">
        <v>229</v>
      </c>
      <c r="J202" s="163">
        <v>96</v>
      </c>
      <c r="K202" s="163">
        <v>40</v>
      </c>
      <c r="L202" s="163">
        <v>40</v>
      </c>
      <c r="M202" s="164">
        <v>41.66666666666667</v>
      </c>
      <c r="N202" s="164">
        <v>100</v>
      </c>
      <c r="O202" s="163">
        <v>8</v>
      </c>
      <c r="Q202" s="159">
        <f aca="true" t="shared" si="42" ref="Q202:Q238">L202</f>
        <v>40</v>
      </c>
      <c r="R202" s="145">
        <v>24</v>
      </c>
      <c r="S202" s="145">
        <f aca="true" t="shared" si="43" ref="S202:S238">Q202-R202</f>
        <v>16</v>
      </c>
    </row>
    <row r="203" spans="1:19" ht="12.75" customHeight="1">
      <c r="A203" s="166" t="s">
        <v>233</v>
      </c>
      <c r="B203" s="172">
        <f>SUM(B204)</f>
        <v>96191</v>
      </c>
      <c r="C203" s="172">
        <f>SUM(C204)</f>
        <v>32063</v>
      </c>
      <c r="D203" s="172">
        <f>SUM(D204)</f>
        <v>32063</v>
      </c>
      <c r="E203" s="155">
        <f>IF(ISERROR(D203/B203)," ",(D203/B203))*100</f>
        <v>33.33264026780052</v>
      </c>
      <c r="F203" s="155">
        <f>IF(ISERROR(D203/C203)," ",(D203/C203))*100</f>
        <v>100</v>
      </c>
      <c r="G203" s="172">
        <f>SUM(G204)</f>
        <v>8016</v>
      </c>
      <c r="I203" s="166" t="s">
        <v>233</v>
      </c>
      <c r="J203" s="152">
        <v>96</v>
      </c>
      <c r="K203" s="152">
        <v>40</v>
      </c>
      <c r="L203" s="152">
        <v>40</v>
      </c>
      <c r="M203" s="162">
        <v>41.66666666666667</v>
      </c>
      <c r="N203" s="162">
        <v>100</v>
      </c>
      <c r="O203" s="152">
        <v>8</v>
      </c>
      <c r="Q203" s="159">
        <f t="shared" si="42"/>
        <v>40</v>
      </c>
      <c r="R203" s="145">
        <v>24</v>
      </c>
      <c r="S203" s="145">
        <f t="shared" si="43"/>
        <v>16</v>
      </c>
    </row>
    <row r="204" spans="1:19" ht="12.75" customHeight="1">
      <c r="A204" s="168" t="s">
        <v>234</v>
      </c>
      <c r="B204" s="170">
        <v>96191</v>
      </c>
      <c r="C204" s="170">
        <v>32063</v>
      </c>
      <c r="D204" s="170">
        <v>32063</v>
      </c>
      <c r="E204" s="155">
        <f>IF(ISERROR(D204/B204)," ",(D204/B204))*100</f>
        <v>33.33264026780052</v>
      </c>
      <c r="F204" s="155">
        <f>IF(ISERROR(D204/C204)," ",(D204/C204))*100</f>
        <v>100</v>
      </c>
      <c r="G204" s="170">
        <f>D204-'[2]Marts'!D204</f>
        <v>8016</v>
      </c>
      <c r="I204" s="168" t="s">
        <v>234</v>
      </c>
      <c r="J204" s="163">
        <v>96</v>
      </c>
      <c r="K204" s="163">
        <v>40</v>
      </c>
      <c r="L204" s="163">
        <v>40</v>
      </c>
      <c r="M204" s="164">
        <v>41.66666666666667</v>
      </c>
      <c r="N204" s="164">
        <v>100</v>
      </c>
      <c r="O204" s="163">
        <v>8</v>
      </c>
      <c r="Q204" s="159">
        <f t="shared" si="42"/>
        <v>40</v>
      </c>
      <c r="R204" s="145">
        <v>24</v>
      </c>
      <c r="S204" s="145">
        <f t="shared" si="43"/>
        <v>16</v>
      </c>
    </row>
    <row r="205" spans="1:19" ht="37.5" customHeight="1">
      <c r="A205" s="171" t="s">
        <v>289</v>
      </c>
      <c r="B205" s="170"/>
      <c r="C205" s="170"/>
      <c r="D205" s="170"/>
      <c r="E205" s="170"/>
      <c r="F205" s="170"/>
      <c r="G205" s="170"/>
      <c r="I205" s="171" t="s">
        <v>290</v>
      </c>
      <c r="J205" s="170"/>
      <c r="K205" s="170"/>
      <c r="L205" s="170"/>
      <c r="M205" s="164"/>
      <c r="N205" s="164"/>
      <c r="O205" s="170"/>
      <c r="Q205" s="159">
        <f t="shared" si="42"/>
        <v>0</v>
      </c>
      <c r="S205" s="145">
        <f t="shared" si="43"/>
        <v>0</v>
      </c>
    </row>
    <row r="206" spans="1:19" ht="12.75" customHeight="1">
      <c r="A206" s="160" t="s">
        <v>228</v>
      </c>
      <c r="B206" s="170">
        <f>SUM(B207:B209)</f>
        <v>4230216</v>
      </c>
      <c r="C206" s="170">
        <f>SUM(C207:C209)</f>
        <v>1080403</v>
      </c>
      <c r="D206" s="170">
        <f>SUM(D207:D209)</f>
        <v>424122</v>
      </c>
      <c r="E206" s="155">
        <f>IF(ISERROR(D206/B206)," ",(D206/B206))*100</f>
        <v>10.026012856081108</v>
      </c>
      <c r="F206" s="155">
        <f>IF(ISERROR(D206/C206)," ",(D206/C206))*100</f>
        <v>39.255907286447744</v>
      </c>
      <c r="G206" s="170">
        <f>SUM(G207:G209)</f>
        <v>58164</v>
      </c>
      <c r="I206" s="160" t="s">
        <v>228</v>
      </c>
      <c r="J206" s="152">
        <v>4231</v>
      </c>
      <c r="K206" s="152">
        <v>1251</v>
      </c>
      <c r="L206" s="152">
        <v>710</v>
      </c>
      <c r="M206" s="162">
        <v>16.78090285984401</v>
      </c>
      <c r="N206" s="162">
        <v>56.754596322941644</v>
      </c>
      <c r="O206" s="152">
        <v>286</v>
      </c>
      <c r="Q206" s="159">
        <f t="shared" si="42"/>
        <v>710</v>
      </c>
      <c r="R206" s="145">
        <v>366</v>
      </c>
      <c r="S206" s="145">
        <f t="shared" si="43"/>
        <v>344</v>
      </c>
    </row>
    <row r="207" spans="1:19" ht="12" customHeight="1">
      <c r="A207" s="160" t="s">
        <v>229</v>
      </c>
      <c r="B207" s="170">
        <v>842659</v>
      </c>
      <c r="C207" s="170">
        <v>159496</v>
      </c>
      <c r="D207" s="170">
        <v>159496</v>
      </c>
      <c r="E207" s="155">
        <f>IF(ISERROR(D207/B207)," ",(D207/B207))*100</f>
        <v>18.927703851735995</v>
      </c>
      <c r="F207" s="155">
        <f>IF(ISERROR(D207/C207)," ",(D207/C207))*100</f>
        <v>100</v>
      </c>
      <c r="G207" s="170">
        <f>D207-'[2]Marts'!D207</f>
        <v>40605</v>
      </c>
      <c r="I207" s="160" t="s">
        <v>229</v>
      </c>
      <c r="J207" s="163">
        <v>843</v>
      </c>
      <c r="K207" s="163">
        <v>254</v>
      </c>
      <c r="L207" s="163">
        <v>254</v>
      </c>
      <c r="M207" s="164">
        <v>30.13048635824436</v>
      </c>
      <c r="N207" s="164">
        <v>100</v>
      </c>
      <c r="O207" s="163">
        <v>95</v>
      </c>
      <c r="Q207" s="159">
        <f t="shared" si="42"/>
        <v>254</v>
      </c>
      <c r="R207" s="145">
        <v>119</v>
      </c>
      <c r="S207" s="145">
        <f t="shared" si="43"/>
        <v>135</v>
      </c>
    </row>
    <row r="208" spans="1:19" ht="12.75" customHeight="1" hidden="1">
      <c r="A208" s="160" t="s">
        <v>231</v>
      </c>
      <c r="B208" s="170"/>
      <c r="C208" s="170"/>
      <c r="D208" s="170"/>
      <c r="E208" s="155"/>
      <c r="F208" s="155"/>
      <c r="G208" s="170"/>
      <c r="I208" s="160"/>
      <c r="J208" s="163"/>
      <c r="K208" s="163"/>
      <c r="L208" s="163"/>
      <c r="M208" s="164"/>
      <c r="N208" s="164"/>
      <c r="O208" s="163"/>
      <c r="Q208" s="159">
        <f t="shared" si="42"/>
        <v>0</v>
      </c>
      <c r="S208" s="145">
        <f t="shared" si="43"/>
        <v>0</v>
      </c>
    </row>
    <row r="209" spans="1:19" ht="12.75" customHeight="1">
      <c r="A209" s="160" t="s">
        <v>232</v>
      </c>
      <c r="B209" s="170">
        <v>3387557</v>
      </c>
      <c r="C209" s="170">
        <v>920907</v>
      </c>
      <c r="D209" s="170">
        <v>264626</v>
      </c>
      <c r="E209" s="155">
        <f>IF(ISERROR(D209/B209)," ",(D209/B209))*100</f>
        <v>7.811706194168837</v>
      </c>
      <c r="F209" s="155">
        <f>IF(ISERROR(D209/C209)," ",(D209/C209))*100</f>
        <v>28.735366329064714</v>
      </c>
      <c r="G209" s="170">
        <v>17559</v>
      </c>
      <c r="I209" s="160" t="s">
        <v>232</v>
      </c>
      <c r="J209" s="163">
        <v>3388</v>
      </c>
      <c r="K209" s="163">
        <v>997</v>
      </c>
      <c r="L209" s="163">
        <v>456</v>
      </c>
      <c r="M209" s="164">
        <v>13.45926800472255</v>
      </c>
      <c r="N209" s="164">
        <v>45.73721163490471</v>
      </c>
      <c r="O209" s="163">
        <v>191</v>
      </c>
      <c r="Q209" s="159">
        <f t="shared" si="42"/>
        <v>456</v>
      </c>
      <c r="R209" s="145">
        <v>247</v>
      </c>
      <c r="S209" s="145">
        <f t="shared" si="43"/>
        <v>209</v>
      </c>
    </row>
    <row r="210" spans="1:19" ht="12.75" customHeight="1">
      <c r="A210" s="166" t="s">
        <v>233</v>
      </c>
      <c r="B210" s="172">
        <f>SUM(B211:B212)</f>
        <v>4231216</v>
      </c>
      <c r="C210" s="172">
        <f>SUM(C211:C212)</f>
        <v>1080403</v>
      </c>
      <c r="D210" s="172">
        <f>SUM(D211:D212)</f>
        <v>423060.84</v>
      </c>
      <c r="E210" s="155">
        <f>IF(ISERROR(D210/B210)," ",(D210/B210))*100</f>
        <v>9.9985640061864</v>
      </c>
      <c r="F210" s="155">
        <f>IF(ISERROR(D210/C210)," ",(D210/C210))*100</f>
        <v>39.157688381094836</v>
      </c>
      <c r="G210" s="172">
        <f>SUM(G211:G212)</f>
        <v>57718.81</v>
      </c>
      <c r="I210" s="166" t="s">
        <v>233</v>
      </c>
      <c r="J210" s="152">
        <v>4231</v>
      </c>
      <c r="K210" s="152">
        <v>1251</v>
      </c>
      <c r="L210" s="152">
        <v>658</v>
      </c>
      <c r="M210" s="162">
        <v>15.551878988418814</v>
      </c>
      <c r="N210" s="162">
        <v>52.59792166266987</v>
      </c>
      <c r="O210" s="152">
        <v>235</v>
      </c>
      <c r="Q210" s="159">
        <f t="shared" si="42"/>
        <v>658</v>
      </c>
      <c r="R210" s="145">
        <v>365</v>
      </c>
      <c r="S210" s="145">
        <f t="shared" si="43"/>
        <v>293</v>
      </c>
    </row>
    <row r="211" spans="1:19" ht="12.75">
      <c r="A211" s="168" t="s">
        <v>234</v>
      </c>
      <c r="B211" s="170">
        <v>3006966</v>
      </c>
      <c r="C211" s="170">
        <v>1080403</v>
      </c>
      <c r="D211" s="170">
        <v>423060.84</v>
      </c>
      <c r="E211" s="155">
        <f>IF(ISERROR(D211/B211)," ",(D211/B211))*100</f>
        <v>14.069358948521534</v>
      </c>
      <c r="F211" s="155">
        <f>IF(ISERROR(D211/C211)," ",(D211/C211))*100</f>
        <v>39.157688381094836</v>
      </c>
      <c r="G211" s="170">
        <f>D211-'[2]Marts'!D211</f>
        <v>57718.81</v>
      </c>
      <c r="I211" s="168" t="s">
        <v>234</v>
      </c>
      <c r="J211" s="163">
        <v>3007</v>
      </c>
      <c r="K211" s="163">
        <v>1251</v>
      </c>
      <c r="L211" s="163">
        <v>658</v>
      </c>
      <c r="M211" s="164">
        <v>21.88227469238444</v>
      </c>
      <c r="N211" s="164">
        <v>52.59792166266987</v>
      </c>
      <c r="O211" s="163">
        <v>235</v>
      </c>
      <c r="Q211" s="159">
        <f t="shared" si="42"/>
        <v>658</v>
      </c>
      <c r="R211" s="145">
        <v>365</v>
      </c>
      <c r="S211" s="145">
        <f t="shared" si="43"/>
        <v>293</v>
      </c>
    </row>
    <row r="212" spans="1:19" ht="12.75">
      <c r="A212" s="168" t="s">
        <v>235</v>
      </c>
      <c r="B212" s="170">
        <v>1224250</v>
      </c>
      <c r="C212" s="170"/>
      <c r="D212" s="170"/>
      <c r="E212" s="155"/>
      <c r="F212" s="155"/>
      <c r="G212" s="170"/>
      <c r="I212" s="168" t="s">
        <v>235</v>
      </c>
      <c r="J212" s="163">
        <v>1224</v>
      </c>
      <c r="K212" s="163"/>
      <c r="L212" s="163"/>
      <c r="M212" s="164"/>
      <c r="N212" s="164"/>
      <c r="O212" s="163"/>
      <c r="Q212" s="159">
        <f t="shared" si="42"/>
        <v>0</v>
      </c>
      <c r="S212" s="145">
        <f t="shared" si="43"/>
        <v>0</v>
      </c>
    </row>
    <row r="213" spans="1:19" ht="25.5" customHeight="1">
      <c r="A213" s="171" t="s">
        <v>291</v>
      </c>
      <c r="B213" s="172"/>
      <c r="C213" s="172"/>
      <c r="D213" s="172"/>
      <c r="E213" s="172"/>
      <c r="F213" s="172"/>
      <c r="G213" s="172"/>
      <c r="I213" s="171" t="s">
        <v>292</v>
      </c>
      <c r="J213" s="172"/>
      <c r="K213" s="172"/>
      <c r="L213" s="172"/>
      <c r="M213" s="164"/>
      <c r="N213" s="164"/>
      <c r="O213" s="172"/>
      <c r="Q213" s="159">
        <f t="shared" si="42"/>
        <v>0</v>
      </c>
      <c r="S213" s="145">
        <f t="shared" si="43"/>
        <v>0</v>
      </c>
    </row>
    <row r="214" spans="1:19" ht="12.75" customHeight="1">
      <c r="A214" s="160" t="s">
        <v>228</v>
      </c>
      <c r="B214" s="170">
        <f>SUM(B215:B217)</f>
        <v>2504614</v>
      </c>
      <c r="C214" s="170">
        <f>SUM(C215:C217)</f>
        <v>1391089</v>
      </c>
      <c r="D214" s="170">
        <f>SUM(D215:D217)</f>
        <v>507459.7</v>
      </c>
      <c r="E214" s="155">
        <f>IF(ISERROR(D214/B214)," ",(D214/B214))*100</f>
        <v>20.260994308903488</v>
      </c>
      <c r="F214" s="155">
        <f>IF(ISERROR(D214/C214)," ",(D214/C214))*100</f>
        <v>36.47931225104936</v>
      </c>
      <c r="G214" s="170">
        <f>SUM(G215:G217)</f>
        <v>116135</v>
      </c>
      <c r="I214" s="160" t="s">
        <v>228</v>
      </c>
      <c r="J214" s="152">
        <v>2505</v>
      </c>
      <c r="K214" s="152">
        <v>1520</v>
      </c>
      <c r="L214" s="152">
        <v>681</v>
      </c>
      <c r="M214" s="162">
        <v>27.18562874251497</v>
      </c>
      <c r="N214" s="162">
        <v>44.80263157894736</v>
      </c>
      <c r="O214" s="152">
        <v>174</v>
      </c>
      <c r="Q214" s="159">
        <f t="shared" si="42"/>
        <v>681</v>
      </c>
      <c r="R214" s="145">
        <v>391</v>
      </c>
      <c r="S214" s="145">
        <f t="shared" si="43"/>
        <v>290</v>
      </c>
    </row>
    <row r="215" spans="1:19" ht="12.75" customHeight="1">
      <c r="A215" s="160" t="s">
        <v>229</v>
      </c>
      <c r="B215" s="170">
        <v>1426644</v>
      </c>
      <c r="C215" s="170">
        <v>439969</v>
      </c>
      <c r="D215" s="170">
        <v>439969</v>
      </c>
      <c r="E215" s="155">
        <f>IF(ISERROR(D215/B215)," ",(D215/B215))*100</f>
        <v>30.839438570519345</v>
      </c>
      <c r="F215" s="155">
        <f>IF(ISERROR(D215/C215)," ",(D215/C215))*100</f>
        <v>100</v>
      </c>
      <c r="G215" s="170">
        <f>D215-'[2]Marts'!D215</f>
        <v>116135</v>
      </c>
      <c r="I215" s="160" t="s">
        <v>229</v>
      </c>
      <c r="J215" s="163">
        <v>1427</v>
      </c>
      <c r="K215" s="163">
        <v>569</v>
      </c>
      <c r="L215" s="163">
        <v>569</v>
      </c>
      <c r="M215" s="164">
        <v>39.87386124737211</v>
      </c>
      <c r="N215" s="164">
        <v>100</v>
      </c>
      <c r="O215" s="163">
        <v>129</v>
      </c>
      <c r="Q215" s="159">
        <f t="shared" si="42"/>
        <v>569</v>
      </c>
      <c r="R215" s="145">
        <v>324</v>
      </c>
      <c r="S215" s="145">
        <f t="shared" si="43"/>
        <v>245</v>
      </c>
    </row>
    <row r="216" spans="1:19" ht="12.75" customHeight="1">
      <c r="A216" s="160" t="s">
        <v>231</v>
      </c>
      <c r="B216" s="170"/>
      <c r="C216" s="170"/>
      <c r="D216" s="170">
        <v>20.7</v>
      </c>
      <c r="E216" s="155"/>
      <c r="F216" s="155"/>
      <c r="G216" s="170">
        <f>D216-'[2]Marts'!D216</f>
        <v>0</v>
      </c>
      <c r="I216" s="160" t="s">
        <v>231</v>
      </c>
      <c r="J216" s="163"/>
      <c r="K216" s="163"/>
      <c r="L216" s="163"/>
      <c r="M216" s="164"/>
      <c r="N216" s="164"/>
      <c r="O216" s="163"/>
      <c r="Q216" s="159">
        <f t="shared" si="42"/>
        <v>0</v>
      </c>
      <c r="S216" s="145">
        <f t="shared" si="43"/>
        <v>0</v>
      </c>
    </row>
    <row r="217" spans="1:19" ht="12.75" customHeight="1">
      <c r="A217" s="160" t="s">
        <v>232</v>
      </c>
      <c r="B217" s="170">
        <v>1077970</v>
      </c>
      <c r="C217" s="170">
        <v>951120</v>
      </c>
      <c r="D217" s="170">
        <v>67470</v>
      </c>
      <c r="E217" s="155">
        <f>IF(ISERROR(D217/B217)," ",(D217/B217))*100</f>
        <v>6.258986799261574</v>
      </c>
      <c r="F217" s="155">
        <f>IF(ISERROR(E217/C217)," ",(E217/C217))*100</f>
        <v>0.0006580648918392605</v>
      </c>
      <c r="G217" s="170">
        <v>0</v>
      </c>
      <c r="I217" s="160" t="s">
        <v>232</v>
      </c>
      <c r="J217" s="163">
        <v>1078</v>
      </c>
      <c r="K217" s="163">
        <v>951</v>
      </c>
      <c r="L217" s="163">
        <v>112</v>
      </c>
      <c r="M217" s="164">
        <v>10.38961038961039</v>
      </c>
      <c r="N217" s="164">
        <v>11.77707676130389</v>
      </c>
      <c r="O217" s="163">
        <v>45</v>
      </c>
      <c r="Q217" s="159">
        <f t="shared" si="42"/>
        <v>112</v>
      </c>
      <c r="R217" s="145">
        <v>67</v>
      </c>
      <c r="S217" s="145">
        <f t="shared" si="43"/>
        <v>45</v>
      </c>
    </row>
    <row r="218" spans="1:19" ht="12.75" customHeight="1">
      <c r="A218" s="166" t="s">
        <v>233</v>
      </c>
      <c r="B218" s="172">
        <f>SUM(B219:B220)</f>
        <v>2504614</v>
      </c>
      <c r="C218" s="172">
        <f>SUM(C219:C220)</f>
        <v>1391089</v>
      </c>
      <c r="D218" s="172">
        <f>SUM(D219:D220)</f>
        <v>382014.77</v>
      </c>
      <c r="E218" s="155">
        <f>IF(ISERROR(D218/B218)," ",(D218/B218))*100</f>
        <v>15.252440895084032</v>
      </c>
      <c r="F218" s="155">
        <f>IF(ISERROR(D218/C218)," ",(D218/C218))*100</f>
        <v>27.461562128663232</v>
      </c>
      <c r="G218" s="172">
        <f>SUM(G219:G220)</f>
        <v>113997.38999999998</v>
      </c>
      <c r="I218" s="166" t="s">
        <v>233</v>
      </c>
      <c r="J218" s="152">
        <v>2505</v>
      </c>
      <c r="K218" s="152">
        <v>1520</v>
      </c>
      <c r="L218" s="152">
        <v>584</v>
      </c>
      <c r="M218" s="162">
        <v>23.313373253493015</v>
      </c>
      <c r="N218" s="162">
        <v>38.421052631578945</v>
      </c>
      <c r="O218" s="152">
        <v>202</v>
      </c>
      <c r="Q218" s="159">
        <f t="shared" si="42"/>
        <v>584</v>
      </c>
      <c r="R218" s="145">
        <v>267</v>
      </c>
      <c r="S218" s="145">
        <f t="shared" si="43"/>
        <v>317</v>
      </c>
    </row>
    <row r="219" spans="1:19" ht="12.75" customHeight="1">
      <c r="A219" s="168" t="s">
        <v>234</v>
      </c>
      <c r="B219" s="170">
        <v>2018597</v>
      </c>
      <c r="C219" s="170">
        <v>1235029</v>
      </c>
      <c r="D219" s="170">
        <v>332448.2</v>
      </c>
      <c r="E219" s="155">
        <f>IF(ISERROR(D219/B219)," ",(D219/B219))*100</f>
        <v>16.46927048836395</v>
      </c>
      <c r="F219" s="155">
        <f>IF(ISERROR(D219/C219)," ",(D219/C219))*100</f>
        <v>26.918250502619777</v>
      </c>
      <c r="G219" s="170">
        <f>D219-'[2]Marts'!D219</f>
        <v>66815.12</v>
      </c>
      <c r="I219" s="168" t="s">
        <v>234</v>
      </c>
      <c r="J219" s="163">
        <v>2019</v>
      </c>
      <c r="K219" s="163">
        <v>1314</v>
      </c>
      <c r="L219" s="163">
        <v>463</v>
      </c>
      <c r="M219" s="164">
        <v>22.9321446260525</v>
      </c>
      <c r="N219" s="164">
        <v>35.23592085235921</v>
      </c>
      <c r="O219" s="163">
        <v>131</v>
      </c>
      <c r="Q219" s="159">
        <f t="shared" si="42"/>
        <v>463</v>
      </c>
      <c r="R219" s="145">
        <v>266</v>
      </c>
      <c r="S219" s="145">
        <f t="shared" si="43"/>
        <v>197</v>
      </c>
    </row>
    <row r="220" spans="1:19" ht="12.75" customHeight="1">
      <c r="A220" s="168" t="s">
        <v>235</v>
      </c>
      <c r="B220" s="170">
        <v>486017</v>
      </c>
      <c r="C220" s="170">
        <v>156060</v>
      </c>
      <c r="D220" s="170">
        <v>49566.57</v>
      </c>
      <c r="E220" s="155">
        <f>IF(ISERROR(D220/B220)," ",(D220/B220))*100</f>
        <v>10.198525977486385</v>
      </c>
      <c r="F220" s="155">
        <f>IF(ISERROR(D220/C220)," ",(D220/C220))*100</f>
        <v>31.76122645136486</v>
      </c>
      <c r="G220" s="170">
        <f>D220-'[2]Marts'!D220</f>
        <v>47182.27</v>
      </c>
      <c r="I220" s="168" t="s">
        <v>235</v>
      </c>
      <c r="J220" s="163">
        <v>486</v>
      </c>
      <c r="K220" s="163">
        <v>206</v>
      </c>
      <c r="L220" s="163">
        <v>121</v>
      </c>
      <c r="M220" s="164">
        <v>24.897119341563787</v>
      </c>
      <c r="N220" s="164">
        <v>58.7378640776699</v>
      </c>
      <c r="O220" s="163">
        <v>71</v>
      </c>
      <c r="Q220" s="159">
        <f t="shared" si="42"/>
        <v>121</v>
      </c>
      <c r="R220" s="145">
        <v>1</v>
      </c>
      <c r="S220" s="145">
        <f t="shared" si="43"/>
        <v>120</v>
      </c>
    </row>
    <row r="221" spans="1:19" ht="27.75" customHeight="1">
      <c r="A221" s="171" t="s">
        <v>293</v>
      </c>
      <c r="B221" s="170"/>
      <c r="C221" s="170"/>
      <c r="D221" s="170"/>
      <c r="E221" s="170"/>
      <c r="F221" s="170"/>
      <c r="G221" s="170"/>
      <c r="I221" s="171" t="s">
        <v>293</v>
      </c>
      <c r="J221" s="170"/>
      <c r="K221" s="170"/>
      <c r="L221" s="170"/>
      <c r="M221" s="164"/>
      <c r="N221" s="164"/>
      <c r="O221" s="170"/>
      <c r="Q221" s="159">
        <f t="shared" si="42"/>
        <v>0</v>
      </c>
      <c r="S221" s="145">
        <f t="shared" si="43"/>
        <v>0</v>
      </c>
    </row>
    <row r="222" spans="1:19" ht="12.75" customHeight="1">
      <c r="A222" s="160" t="s">
        <v>228</v>
      </c>
      <c r="B222" s="170">
        <f>SUM(B223)</f>
        <v>1318000</v>
      </c>
      <c r="C222" s="170"/>
      <c r="D222" s="170"/>
      <c r="E222" s="155">
        <f aca="true" t="shared" si="44" ref="E222:E227">IF(ISERROR(D222/B222)," ",(D222/B222))*100</f>
        <v>0</v>
      </c>
      <c r="F222" s="155"/>
      <c r="G222" s="170">
        <f>SUM(G223)</f>
        <v>0</v>
      </c>
      <c r="I222" s="160" t="s">
        <v>228</v>
      </c>
      <c r="J222" s="152">
        <v>1318</v>
      </c>
      <c r="K222" s="163"/>
      <c r="L222" s="163"/>
      <c r="M222" s="164"/>
      <c r="N222" s="164"/>
      <c r="O222" s="163"/>
      <c r="Q222" s="159">
        <f t="shared" si="42"/>
        <v>0</v>
      </c>
      <c r="R222" s="145">
        <v>0</v>
      </c>
      <c r="S222" s="145">
        <f t="shared" si="43"/>
        <v>0</v>
      </c>
    </row>
    <row r="223" spans="1:19" ht="12.75" customHeight="1">
      <c r="A223" s="160" t="s">
        <v>231</v>
      </c>
      <c r="B223" s="170">
        <v>1318000</v>
      </c>
      <c r="C223" s="157"/>
      <c r="D223" s="170"/>
      <c r="E223" s="155">
        <f t="shared" si="44"/>
        <v>0</v>
      </c>
      <c r="F223" s="155"/>
      <c r="G223" s="170">
        <f>D223</f>
        <v>0</v>
      </c>
      <c r="I223" s="160" t="s">
        <v>231</v>
      </c>
      <c r="J223" s="163">
        <v>1318</v>
      </c>
      <c r="K223" s="163"/>
      <c r="L223" s="163"/>
      <c r="M223" s="164"/>
      <c r="N223" s="164"/>
      <c r="O223" s="163"/>
      <c r="Q223" s="159">
        <f t="shared" si="42"/>
        <v>0</v>
      </c>
      <c r="R223" s="145">
        <v>0</v>
      </c>
      <c r="S223" s="145">
        <f t="shared" si="43"/>
        <v>0</v>
      </c>
    </row>
    <row r="224" spans="1:19" ht="12.75" customHeight="1">
      <c r="A224" s="166" t="s">
        <v>233</v>
      </c>
      <c r="B224" s="172">
        <f>SUM(B225:B226)</f>
        <v>1218000</v>
      </c>
      <c r="C224" s="172"/>
      <c r="D224" s="172"/>
      <c r="E224" s="155">
        <f t="shared" si="44"/>
        <v>0</v>
      </c>
      <c r="F224" s="155"/>
      <c r="G224" s="172">
        <f>SUM(G225:G226)</f>
        <v>0</v>
      </c>
      <c r="I224" s="166" t="s">
        <v>233</v>
      </c>
      <c r="J224" s="152">
        <v>1218</v>
      </c>
      <c r="K224" s="152"/>
      <c r="L224" s="152"/>
      <c r="M224" s="164"/>
      <c r="N224" s="164"/>
      <c r="O224" s="152"/>
      <c r="Q224" s="159">
        <f t="shared" si="42"/>
        <v>0</v>
      </c>
      <c r="R224" s="145">
        <v>0</v>
      </c>
      <c r="S224" s="145">
        <f t="shared" si="43"/>
        <v>0</v>
      </c>
    </row>
    <row r="225" spans="1:19" ht="12.75" customHeight="1">
      <c r="A225" s="168" t="s">
        <v>234</v>
      </c>
      <c r="B225" s="170">
        <v>926060</v>
      </c>
      <c r="C225" s="170"/>
      <c r="D225" s="170"/>
      <c r="E225" s="155">
        <f t="shared" si="44"/>
        <v>0</v>
      </c>
      <c r="F225" s="155"/>
      <c r="G225" s="170">
        <f>D225</f>
        <v>0</v>
      </c>
      <c r="I225" s="168" t="s">
        <v>234</v>
      </c>
      <c r="J225" s="163">
        <v>926</v>
      </c>
      <c r="K225" s="163"/>
      <c r="L225" s="163"/>
      <c r="M225" s="164"/>
      <c r="N225" s="164"/>
      <c r="O225" s="163"/>
      <c r="Q225" s="159">
        <f t="shared" si="42"/>
        <v>0</v>
      </c>
      <c r="R225" s="145">
        <v>0</v>
      </c>
      <c r="S225" s="145">
        <f t="shared" si="43"/>
        <v>0</v>
      </c>
    </row>
    <row r="226" spans="1:19" ht="12.75" customHeight="1">
      <c r="A226" s="168" t="s">
        <v>235</v>
      </c>
      <c r="B226" s="170">
        <v>291940</v>
      </c>
      <c r="C226" s="170"/>
      <c r="D226" s="170"/>
      <c r="E226" s="155">
        <f t="shared" si="44"/>
        <v>0</v>
      </c>
      <c r="F226" s="155"/>
      <c r="G226" s="170">
        <f>D226</f>
        <v>0</v>
      </c>
      <c r="I226" s="168" t="s">
        <v>235</v>
      </c>
      <c r="J226" s="163">
        <v>292</v>
      </c>
      <c r="K226" s="163"/>
      <c r="L226" s="163"/>
      <c r="M226" s="164"/>
      <c r="N226" s="164"/>
      <c r="O226" s="163"/>
      <c r="Q226" s="159">
        <f t="shared" si="42"/>
        <v>0</v>
      </c>
      <c r="R226" s="145">
        <v>0</v>
      </c>
      <c r="S226" s="145">
        <f t="shared" si="43"/>
        <v>0</v>
      </c>
    </row>
    <row r="227" spans="1:19" ht="12.75" customHeight="1">
      <c r="A227" s="121" t="s">
        <v>237</v>
      </c>
      <c r="B227" s="170">
        <v>100000</v>
      </c>
      <c r="C227" s="170"/>
      <c r="D227" s="170"/>
      <c r="E227" s="155">
        <f t="shared" si="44"/>
        <v>0</v>
      </c>
      <c r="F227" s="155"/>
      <c r="G227" s="170">
        <f>D227</f>
        <v>0</v>
      </c>
      <c r="I227" s="121" t="s">
        <v>237</v>
      </c>
      <c r="J227" s="163">
        <v>100</v>
      </c>
      <c r="K227" s="163"/>
      <c r="L227" s="163"/>
      <c r="M227" s="164"/>
      <c r="N227" s="164"/>
      <c r="O227" s="163"/>
      <c r="Q227" s="159">
        <f t="shared" si="42"/>
        <v>0</v>
      </c>
      <c r="R227" s="145">
        <v>0</v>
      </c>
      <c r="S227" s="145">
        <f t="shared" si="43"/>
        <v>0</v>
      </c>
    </row>
    <row r="228" spans="1:19" ht="12.75" customHeight="1">
      <c r="A228" s="171" t="s">
        <v>294</v>
      </c>
      <c r="B228" s="170"/>
      <c r="C228" s="170"/>
      <c r="D228" s="170"/>
      <c r="E228" s="170"/>
      <c r="F228" s="170"/>
      <c r="G228" s="170"/>
      <c r="I228" s="171" t="s">
        <v>295</v>
      </c>
      <c r="J228" s="170"/>
      <c r="K228" s="170"/>
      <c r="L228" s="170"/>
      <c r="M228" s="164"/>
      <c r="N228" s="164"/>
      <c r="O228" s="170"/>
      <c r="Q228" s="159">
        <f t="shared" si="42"/>
        <v>0</v>
      </c>
      <c r="S228" s="145">
        <f t="shared" si="43"/>
        <v>0</v>
      </c>
    </row>
    <row r="229" spans="1:19" ht="12.75" customHeight="1">
      <c r="A229" s="160" t="s">
        <v>228</v>
      </c>
      <c r="B229" s="175">
        <f>SUM(B230)</f>
        <v>109108415</v>
      </c>
      <c r="C229" s="175">
        <f>SUM(C230)</f>
        <v>35385023</v>
      </c>
      <c r="D229" s="175">
        <f>SUM(D230)</f>
        <v>35385023</v>
      </c>
      <c r="E229" s="155">
        <f>IF(ISERROR(D229/B229)," ",(D229/B229))*100</f>
        <v>32.431066843011145</v>
      </c>
      <c r="F229" s="155">
        <f>IF(ISERROR(D229/C229)," ",(D229/C229))*100</f>
        <v>100</v>
      </c>
      <c r="G229" s="175">
        <f>SUM(G230)</f>
        <v>9158407</v>
      </c>
      <c r="I229" s="160" t="s">
        <v>228</v>
      </c>
      <c r="J229" s="152">
        <v>109108</v>
      </c>
      <c r="K229" s="152">
        <v>45542</v>
      </c>
      <c r="L229" s="152">
        <v>45542</v>
      </c>
      <c r="M229" s="162">
        <v>41.74029402060344</v>
      </c>
      <c r="N229" s="162">
        <v>100</v>
      </c>
      <c r="O229" s="176">
        <v>10157</v>
      </c>
      <c r="Q229" s="159">
        <f t="shared" si="42"/>
        <v>45542</v>
      </c>
      <c r="R229" s="145">
        <v>26227</v>
      </c>
      <c r="S229" s="145">
        <f t="shared" si="43"/>
        <v>19315</v>
      </c>
    </row>
    <row r="230" spans="1:19" ht="12.75" customHeight="1">
      <c r="A230" s="160" t="s">
        <v>229</v>
      </c>
      <c r="B230" s="163">
        <v>109108415</v>
      </c>
      <c r="C230" s="163">
        <v>35385023</v>
      </c>
      <c r="D230" s="163">
        <v>35385023</v>
      </c>
      <c r="E230" s="155">
        <f>IF(ISERROR(D230/B230)," ",(D230/B230))*100</f>
        <v>32.431066843011145</v>
      </c>
      <c r="F230" s="155">
        <f>IF(ISERROR(D230/C230)," ",(D230/C230))*100</f>
        <v>100</v>
      </c>
      <c r="G230" s="170">
        <f>D230-'[2]Marts'!D230</f>
        <v>9158407</v>
      </c>
      <c r="I230" s="160" t="s">
        <v>229</v>
      </c>
      <c r="J230" s="163">
        <v>109108</v>
      </c>
      <c r="K230" s="163">
        <v>45542</v>
      </c>
      <c r="L230" s="163">
        <v>45542</v>
      </c>
      <c r="M230" s="164">
        <v>41.74029402060344</v>
      </c>
      <c r="N230" s="164">
        <v>100</v>
      </c>
      <c r="O230" s="163">
        <v>10157</v>
      </c>
      <c r="Q230" s="159">
        <f t="shared" si="42"/>
        <v>45542</v>
      </c>
      <c r="R230" s="145">
        <v>26227</v>
      </c>
      <c r="S230" s="145">
        <f t="shared" si="43"/>
        <v>19315</v>
      </c>
    </row>
    <row r="231" spans="1:19" ht="12.75" customHeight="1">
      <c r="A231" s="166" t="s">
        <v>233</v>
      </c>
      <c r="B231" s="172">
        <f>SUM(B232:B233)</f>
        <v>109108415</v>
      </c>
      <c r="C231" s="172">
        <f>SUM(C232:C233)</f>
        <v>35385023</v>
      </c>
      <c r="D231" s="172">
        <f>SUM(D232:D233)</f>
        <v>34231849.52</v>
      </c>
      <c r="E231" s="155">
        <f>IF(ISERROR(D231/B231)," ",(D231/B231))*100</f>
        <v>31.37416075561175</v>
      </c>
      <c r="F231" s="155">
        <f>IF(ISERROR(D231/C231)," ",(D231/C231))*100</f>
        <v>96.7410690110333</v>
      </c>
      <c r="G231" s="172">
        <f>SUM(G232:G233)</f>
        <v>8765094.47</v>
      </c>
      <c r="I231" s="166" t="s">
        <v>233</v>
      </c>
      <c r="J231" s="152">
        <v>109109</v>
      </c>
      <c r="K231" s="152">
        <v>45543</v>
      </c>
      <c r="L231" s="152">
        <v>43770</v>
      </c>
      <c r="M231" s="162">
        <v>40.115847455297</v>
      </c>
      <c r="N231" s="162">
        <v>96.10697582504446</v>
      </c>
      <c r="O231" s="152">
        <v>9538</v>
      </c>
      <c r="Q231" s="159">
        <f t="shared" si="42"/>
        <v>43770</v>
      </c>
      <c r="R231" s="145">
        <v>25467</v>
      </c>
      <c r="S231" s="145">
        <f t="shared" si="43"/>
        <v>18303</v>
      </c>
    </row>
    <row r="232" spans="1:19" ht="12.75" customHeight="1">
      <c r="A232" s="168" t="s">
        <v>234</v>
      </c>
      <c r="B232" s="170">
        <v>98821615</v>
      </c>
      <c r="C232" s="170">
        <v>32889152</v>
      </c>
      <c r="D232" s="170">
        <v>32868870</v>
      </c>
      <c r="E232" s="155">
        <f>IF(ISERROR(D232/B232)," ",(D232/B232))*100</f>
        <v>33.26081040063958</v>
      </c>
      <c r="F232" s="155">
        <f>IF(ISERROR(D232/C232)," ",(D232/C232))*100</f>
        <v>99.93833225009877</v>
      </c>
      <c r="G232" s="170">
        <f>D232-'[2]Marts'!D232</f>
        <v>8292110</v>
      </c>
      <c r="I232" s="168" t="s">
        <v>234</v>
      </c>
      <c r="J232" s="163">
        <v>98822</v>
      </c>
      <c r="K232" s="163">
        <v>41648</v>
      </c>
      <c r="L232" s="163">
        <v>41618</v>
      </c>
      <c r="M232" s="164">
        <v>42.11410414684989</v>
      </c>
      <c r="N232" s="164">
        <v>99.92796772954283</v>
      </c>
      <c r="O232" s="163">
        <v>8749</v>
      </c>
      <c r="Q232" s="159">
        <f t="shared" si="42"/>
        <v>41618</v>
      </c>
      <c r="R232" s="145">
        <v>24577</v>
      </c>
      <c r="S232" s="145">
        <f t="shared" si="43"/>
        <v>17041</v>
      </c>
    </row>
    <row r="233" spans="1:19" ht="12.75" customHeight="1">
      <c r="A233" s="168" t="s">
        <v>235</v>
      </c>
      <c r="B233" s="170">
        <v>10286800</v>
      </c>
      <c r="C233" s="170">
        <v>2495871</v>
      </c>
      <c r="D233" s="170">
        <v>1362979.52</v>
      </c>
      <c r="E233" s="155">
        <f>IF(ISERROR(D233/B233)," ",(D233/B233))*100</f>
        <v>13.24979118870786</v>
      </c>
      <c r="F233" s="155">
        <f>IF(ISERROR(D233/C233)," ",(D233/C233))*100</f>
        <v>54.60937364150631</v>
      </c>
      <c r="G233" s="170">
        <f>D233-'[2]Marts'!D233</f>
        <v>472984.47</v>
      </c>
      <c r="I233" s="168" t="s">
        <v>235</v>
      </c>
      <c r="J233" s="163">
        <v>10287</v>
      </c>
      <c r="K233" s="163">
        <v>3895</v>
      </c>
      <c r="L233" s="163">
        <v>2152</v>
      </c>
      <c r="M233" s="164">
        <v>20.91960727131331</v>
      </c>
      <c r="N233" s="164">
        <v>55.25032092426188</v>
      </c>
      <c r="O233" s="163">
        <v>789</v>
      </c>
      <c r="Q233" s="159">
        <f t="shared" si="42"/>
        <v>2152</v>
      </c>
      <c r="R233" s="145">
        <v>890</v>
      </c>
      <c r="S233" s="145">
        <f t="shared" si="43"/>
        <v>1262</v>
      </c>
    </row>
    <row r="234" spans="1:19" ht="12.75" customHeight="1">
      <c r="A234" s="171" t="s">
        <v>296</v>
      </c>
      <c r="B234" s="170"/>
      <c r="C234" s="170"/>
      <c r="D234" s="170"/>
      <c r="E234" s="170"/>
      <c r="F234" s="170"/>
      <c r="G234" s="170"/>
      <c r="I234" s="171" t="s">
        <v>297</v>
      </c>
      <c r="J234" s="170"/>
      <c r="K234" s="170"/>
      <c r="L234" s="170"/>
      <c r="M234" s="164"/>
      <c r="N234" s="164"/>
      <c r="O234" s="170"/>
      <c r="Q234" s="159">
        <f t="shared" si="42"/>
        <v>0</v>
      </c>
      <c r="S234" s="145">
        <f t="shared" si="43"/>
        <v>0</v>
      </c>
    </row>
    <row r="235" spans="1:19" ht="12.75" customHeight="1">
      <c r="A235" s="160" t="s">
        <v>228</v>
      </c>
      <c r="B235" s="170">
        <f>SUM(B236)</f>
        <v>7677897</v>
      </c>
      <c r="C235" s="170">
        <f>SUM(C236)</f>
        <v>2664542</v>
      </c>
      <c r="D235" s="170">
        <f>SUM(D236)</f>
        <v>2664542</v>
      </c>
      <c r="E235" s="155">
        <f>IF(ISERROR(D235/B235)," ",(D235/B235))*100</f>
        <v>34.70406023941191</v>
      </c>
      <c r="F235" s="155">
        <f>IF(ISERROR(D235/C235)," ",(D235/C235))*100</f>
        <v>100</v>
      </c>
      <c r="G235" s="170">
        <f>SUM(G236)</f>
        <v>650751</v>
      </c>
      <c r="I235" s="160" t="s">
        <v>228</v>
      </c>
      <c r="J235" s="152">
        <v>7678</v>
      </c>
      <c r="K235" s="152">
        <v>3315</v>
      </c>
      <c r="L235" s="152">
        <v>3315</v>
      </c>
      <c r="M235" s="162">
        <v>43.17530606928888</v>
      </c>
      <c r="N235" s="162">
        <v>100</v>
      </c>
      <c r="O235" s="152">
        <v>650</v>
      </c>
      <c r="Q235" s="159">
        <f t="shared" si="42"/>
        <v>3315</v>
      </c>
      <c r="R235" s="145">
        <v>2014</v>
      </c>
      <c r="S235" s="145">
        <f t="shared" si="43"/>
        <v>1301</v>
      </c>
    </row>
    <row r="236" spans="1:19" ht="12.75" customHeight="1">
      <c r="A236" s="160" t="s">
        <v>229</v>
      </c>
      <c r="B236" s="170">
        <v>7677897</v>
      </c>
      <c r="C236" s="170">
        <v>2664542</v>
      </c>
      <c r="D236" s="170">
        <v>2664542</v>
      </c>
      <c r="E236" s="155">
        <f>IF(ISERROR(D236/B236)," ",(D236/B236))*100</f>
        <v>34.70406023941191</v>
      </c>
      <c r="F236" s="155">
        <f>IF(ISERROR(D236/C236)," ",(D236/C236))*100</f>
        <v>100</v>
      </c>
      <c r="G236" s="170">
        <f>D236-'[2]Marts'!D236</f>
        <v>650751</v>
      </c>
      <c r="I236" s="160" t="s">
        <v>229</v>
      </c>
      <c r="J236" s="163">
        <v>7678</v>
      </c>
      <c r="K236" s="163">
        <v>3315</v>
      </c>
      <c r="L236" s="163">
        <v>3315</v>
      </c>
      <c r="M236" s="164">
        <v>43.17530606928888</v>
      </c>
      <c r="N236" s="164">
        <v>100</v>
      </c>
      <c r="O236" s="163">
        <v>650</v>
      </c>
      <c r="Q236" s="159">
        <f t="shared" si="42"/>
        <v>3315</v>
      </c>
      <c r="R236" s="145">
        <v>2014</v>
      </c>
      <c r="S236" s="145">
        <f t="shared" si="43"/>
        <v>1301</v>
      </c>
    </row>
    <row r="237" spans="1:19" ht="12.75" customHeight="1">
      <c r="A237" s="166" t="s">
        <v>233</v>
      </c>
      <c r="B237" s="172">
        <f>SUM(B238)</f>
        <v>7677897</v>
      </c>
      <c r="C237" s="172">
        <f>SUM(C238)</f>
        <v>2664542</v>
      </c>
      <c r="D237" s="172">
        <f>SUM(D238)</f>
        <v>2588167.63</v>
      </c>
      <c r="E237" s="155">
        <f>IF(ISERROR(D237/B237)," ",(D237/B237))*100</f>
        <v>33.709329911563024</v>
      </c>
      <c r="F237" s="155">
        <f>IF(ISERROR(D237/C237)," ",(D237/C237))*100</f>
        <v>97.13367738245447</v>
      </c>
      <c r="G237" s="172">
        <f>SUM(G238)</f>
        <v>630907.4099999999</v>
      </c>
      <c r="I237" s="166" t="s">
        <v>233</v>
      </c>
      <c r="J237" s="152">
        <v>7678</v>
      </c>
      <c r="K237" s="152">
        <v>3315</v>
      </c>
      <c r="L237" s="152">
        <v>3221</v>
      </c>
      <c r="M237" s="162">
        <v>41.95102891377963</v>
      </c>
      <c r="N237" s="162">
        <v>97.16440422322775</v>
      </c>
      <c r="O237" s="152">
        <v>633</v>
      </c>
      <c r="Q237" s="159">
        <f t="shared" si="42"/>
        <v>3221</v>
      </c>
      <c r="R237" s="145">
        <v>1957</v>
      </c>
      <c r="S237" s="145">
        <f t="shared" si="43"/>
        <v>1264</v>
      </c>
    </row>
    <row r="238" spans="1:19" ht="12.75" customHeight="1">
      <c r="A238" s="168" t="s">
        <v>234</v>
      </c>
      <c r="B238" s="170">
        <v>7677897</v>
      </c>
      <c r="C238" s="170">
        <v>2664542</v>
      </c>
      <c r="D238" s="170">
        <v>2588167.63</v>
      </c>
      <c r="E238" s="155">
        <f>IF(ISERROR(D238/B238)," ",(D238/B238))*100</f>
        <v>33.709329911563024</v>
      </c>
      <c r="F238" s="155">
        <f>IF(ISERROR(D238/C238)," ",(D238/C238))*100</f>
        <v>97.13367738245447</v>
      </c>
      <c r="G238" s="170">
        <f>D238-'[2]Marts'!D238</f>
        <v>630907.4099999999</v>
      </c>
      <c r="I238" s="168" t="s">
        <v>234</v>
      </c>
      <c r="J238" s="163">
        <v>7678</v>
      </c>
      <c r="K238" s="163">
        <v>3315</v>
      </c>
      <c r="L238" s="163">
        <v>3221</v>
      </c>
      <c r="M238" s="164">
        <v>41.95102891377963</v>
      </c>
      <c r="N238" s="164">
        <v>97.16440422322775</v>
      </c>
      <c r="O238" s="163">
        <v>633</v>
      </c>
      <c r="Q238" s="159">
        <f t="shared" si="42"/>
        <v>3221</v>
      </c>
      <c r="R238" s="145">
        <v>1957</v>
      </c>
      <c r="S238" s="145">
        <f t="shared" si="43"/>
        <v>1264</v>
      </c>
    </row>
    <row r="239" spans="13:14" ht="17.25" customHeight="1">
      <c r="M239" s="177"/>
      <c r="N239" s="177"/>
    </row>
    <row r="241" ht="17.25" customHeight="1" hidden="1"/>
    <row r="242" spans="1:12" ht="17.25" customHeight="1">
      <c r="A242" s="178" t="s">
        <v>298</v>
      </c>
      <c r="B242" s="179"/>
      <c r="C242" s="179"/>
      <c r="D242" s="179" t="s">
        <v>299</v>
      </c>
      <c r="I242" s="88" t="s">
        <v>21</v>
      </c>
      <c r="J242" s="52"/>
      <c r="K242" s="89"/>
      <c r="L242" s="49"/>
    </row>
    <row r="243" spans="9:12" ht="17.25" customHeight="1">
      <c r="I243" s="88"/>
      <c r="J243" s="52"/>
      <c r="K243" s="89"/>
      <c r="L243" s="89"/>
    </row>
    <row r="244" spans="9:12" ht="17.25" customHeight="1">
      <c r="I244" s="1"/>
      <c r="J244" s="50"/>
      <c r="K244" s="49"/>
      <c r="L244" s="49"/>
    </row>
    <row r="245" spans="9:12" ht="17.25" customHeight="1">
      <c r="I245" s="1"/>
      <c r="J245" s="50"/>
      <c r="K245" s="38"/>
      <c r="L245" s="38"/>
    </row>
    <row r="246" spans="9:12" ht="17.25" customHeight="1">
      <c r="I246"/>
      <c r="J246" s="50"/>
      <c r="K246" s="49"/>
      <c r="L246" s="49"/>
    </row>
    <row r="247" spans="9:12" ht="17.25" customHeight="1">
      <c r="I247"/>
      <c r="J247" s="50"/>
      <c r="K247" s="49"/>
      <c r="L247" s="49"/>
    </row>
    <row r="248" spans="9:12" ht="17.25" customHeight="1">
      <c r="I248"/>
      <c r="J248"/>
      <c r="K248"/>
      <c r="L248" s="49"/>
    </row>
    <row r="249" spans="9:12" ht="17.25" customHeight="1">
      <c r="I249"/>
      <c r="J249" s="52"/>
      <c r="K249" s="89"/>
      <c r="L249" s="49"/>
    </row>
    <row r="250" spans="9:12" ht="17.25" customHeight="1">
      <c r="I250" s="1" t="s">
        <v>171</v>
      </c>
      <c r="J250" s="50"/>
      <c r="K250" s="49"/>
      <c r="L250" s="49"/>
    </row>
    <row r="251" spans="9:12" ht="17.25" customHeight="1">
      <c r="I251" s="1" t="s">
        <v>19</v>
      </c>
      <c r="J251" s="50"/>
      <c r="K251" s="49"/>
      <c r="L251" s="49"/>
    </row>
  </sheetData>
  <mergeCells count="7">
    <mergeCell ref="A7:F7"/>
    <mergeCell ref="I7:N7"/>
    <mergeCell ref="I3:O3"/>
    <mergeCell ref="A4:F4"/>
    <mergeCell ref="I4:N4"/>
    <mergeCell ref="A5:F5"/>
    <mergeCell ref="I5:N5"/>
  </mergeCells>
  <printOptions/>
  <pageMargins left="0.75" right="0.27" top="1" bottom="1" header="0.5" footer="0.5"/>
  <pageSetup firstPageNumber="8" useFirstPageNumber="1" horizontalDpi="600" verticalDpi="600" orientation="portrait" paperSize="9" r:id="rId1"/>
  <headerFooter alignWithMargins="0">
    <oddFooter>&amp;R&amp;9&amp;P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76"/>
  <sheetViews>
    <sheetView workbookViewId="0" topLeftCell="H1">
      <selection activeCell="I13" sqref="I13"/>
    </sheetView>
  </sheetViews>
  <sheetFormatPr defaultColWidth="9.140625" defaultRowHeight="12.75"/>
  <cols>
    <col min="1" max="1" width="36.28125" style="0" hidden="1" customWidth="1"/>
    <col min="2" max="2" width="11.00390625" style="0" hidden="1" customWidth="1"/>
    <col min="3" max="3" width="11.421875" style="0" hidden="1" customWidth="1"/>
    <col min="4" max="4" width="10.8515625" style="0" hidden="1" customWidth="1"/>
    <col min="5" max="5" width="7.7109375" style="0" hidden="1" customWidth="1"/>
    <col min="6" max="6" width="9.421875" style="0" hidden="1" customWidth="1"/>
    <col min="7" max="7" width="11.140625" style="0" hidden="1" customWidth="1"/>
    <col min="8" max="8" width="34.140625" style="0" customWidth="1"/>
    <col min="9" max="9" width="11.57421875" style="0" customWidth="1"/>
    <col min="11" max="12" width="9.57421875" style="0" customWidth="1"/>
    <col min="14" max="14" width="9.00390625" style="0" customWidth="1"/>
    <col min="15" max="18" width="9.140625" style="0" hidden="1" customWidth="1"/>
  </cols>
  <sheetData>
    <row r="1" spans="7:14" ht="12.75">
      <c r="G1" s="49" t="s">
        <v>300</v>
      </c>
      <c r="M1" s="49" t="s">
        <v>300</v>
      </c>
      <c r="N1" s="49"/>
    </row>
    <row r="2" spans="1:13" ht="12.75">
      <c r="A2" s="1"/>
      <c r="B2" s="180" t="s">
        <v>301</v>
      </c>
      <c r="H2" s="1"/>
      <c r="I2" s="180" t="s">
        <v>301</v>
      </c>
      <c r="M2" s="49"/>
    </row>
    <row r="4" spans="1:14" ht="15.75">
      <c r="A4" s="758" t="s">
        <v>302</v>
      </c>
      <c r="B4" s="758"/>
      <c r="C4" s="758"/>
      <c r="D4" s="758"/>
      <c r="E4" s="758"/>
      <c r="F4" s="758"/>
      <c r="G4" s="758"/>
      <c r="H4" s="764" t="s">
        <v>302</v>
      </c>
      <c r="I4" s="764"/>
      <c r="J4" s="764"/>
      <c r="K4" s="764"/>
      <c r="L4" s="764"/>
      <c r="M4" s="764"/>
      <c r="N4" s="764"/>
    </row>
    <row r="5" spans="1:13" ht="12.75">
      <c r="A5" s="757" t="s">
        <v>303</v>
      </c>
      <c r="B5" s="757"/>
      <c r="C5" s="757"/>
      <c r="D5" s="757"/>
      <c r="E5" s="757"/>
      <c r="F5" s="757"/>
      <c r="H5" s="762" t="s">
        <v>28</v>
      </c>
      <c r="I5" s="762"/>
      <c r="J5" s="762"/>
      <c r="K5" s="762"/>
      <c r="L5" s="762"/>
      <c r="M5" s="762"/>
    </row>
    <row r="6" spans="1:13" ht="15">
      <c r="A6" s="181"/>
      <c r="B6" s="181"/>
      <c r="C6" s="181"/>
      <c r="D6" s="181"/>
      <c r="E6" s="181"/>
      <c r="F6" s="181"/>
      <c r="H6" s="181"/>
      <c r="I6" s="181"/>
      <c r="J6" s="181"/>
      <c r="K6" s="181"/>
      <c r="L6" s="181"/>
      <c r="M6" s="181"/>
    </row>
    <row r="7" spans="6:14" ht="12.75">
      <c r="F7" s="763" t="s">
        <v>94</v>
      </c>
      <c r="G7" s="763"/>
      <c r="M7" s="763" t="s">
        <v>94</v>
      </c>
      <c r="N7" s="763"/>
    </row>
    <row r="8" spans="1:14" ht="84">
      <c r="A8" s="9" t="s">
        <v>177</v>
      </c>
      <c r="B8" s="9" t="s">
        <v>95</v>
      </c>
      <c r="C8" s="9" t="s">
        <v>304</v>
      </c>
      <c r="D8" s="9" t="s">
        <v>96</v>
      </c>
      <c r="E8" s="9" t="s">
        <v>305</v>
      </c>
      <c r="F8" s="9" t="s">
        <v>306</v>
      </c>
      <c r="G8" s="9" t="s">
        <v>307</v>
      </c>
      <c r="H8" s="182" t="s">
        <v>177</v>
      </c>
      <c r="I8" s="182" t="s">
        <v>95</v>
      </c>
      <c r="J8" s="182" t="s">
        <v>304</v>
      </c>
      <c r="K8" s="182" t="s">
        <v>96</v>
      </c>
      <c r="L8" s="182" t="s">
        <v>305</v>
      </c>
      <c r="M8" s="182" t="s">
        <v>306</v>
      </c>
      <c r="N8" s="9" t="s">
        <v>40</v>
      </c>
    </row>
    <row r="9" spans="1:14" ht="12.75">
      <c r="A9" s="9">
        <v>1</v>
      </c>
      <c r="B9" s="9">
        <v>2</v>
      </c>
      <c r="C9" s="9">
        <v>3</v>
      </c>
      <c r="D9" s="9">
        <v>4</v>
      </c>
      <c r="E9" s="183">
        <v>5</v>
      </c>
      <c r="F9" s="9">
        <v>6</v>
      </c>
      <c r="G9" s="9">
        <v>7</v>
      </c>
      <c r="H9" s="9">
        <v>1</v>
      </c>
      <c r="I9" s="9">
        <v>2</v>
      </c>
      <c r="J9" s="9">
        <v>3</v>
      </c>
      <c r="K9" s="9">
        <v>4</v>
      </c>
      <c r="L9" s="183">
        <v>5</v>
      </c>
      <c r="M9" s="9">
        <v>6</v>
      </c>
      <c r="N9" s="9">
        <v>7</v>
      </c>
    </row>
    <row r="10" spans="1:18" ht="12.75">
      <c r="A10" s="184" t="s">
        <v>308</v>
      </c>
      <c r="B10" s="185">
        <v>795383031</v>
      </c>
      <c r="C10" s="116" t="s">
        <v>53</v>
      </c>
      <c r="D10" s="185">
        <v>231297320</v>
      </c>
      <c r="E10" s="186" t="s">
        <v>53</v>
      </c>
      <c r="F10" s="186" t="s">
        <v>53</v>
      </c>
      <c r="G10" s="185">
        <v>62964740</v>
      </c>
      <c r="H10" s="187" t="s">
        <v>308</v>
      </c>
      <c r="I10" s="188">
        <v>795383</v>
      </c>
      <c r="J10" s="189" t="s">
        <v>53</v>
      </c>
      <c r="K10" s="188">
        <v>297304</v>
      </c>
      <c r="L10" s="190" t="s">
        <v>53</v>
      </c>
      <c r="M10" s="190" t="s">
        <v>53</v>
      </c>
      <c r="N10" s="188">
        <v>66007</v>
      </c>
      <c r="P10" s="191">
        <f aca="true" t="shared" si="0" ref="P10:P55">K10</f>
        <v>297304</v>
      </c>
      <c r="Q10">
        <v>168333</v>
      </c>
      <c r="R10" s="191">
        <f aca="true" t="shared" si="1" ref="R10:R55">P10-Q10</f>
        <v>128971</v>
      </c>
    </row>
    <row r="11" spans="1:18" ht="12.75">
      <c r="A11" s="192" t="s">
        <v>309</v>
      </c>
      <c r="B11" s="193">
        <v>822566488</v>
      </c>
      <c r="C11" s="193">
        <f>C12+C13+C14+C15</f>
        <v>263159741</v>
      </c>
      <c r="D11" s="193">
        <f>D12+D13+D14+D15</f>
        <v>250974663.29999998</v>
      </c>
      <c r="E11" s="194">
        <f aca="true" t="shared" si="2" ref="E11:E19">IF(ISERROR(D11/B11)," ",(D11/B11))*100</f>
        <v>30.511170459937336</v>
      </c>
      <c r="F11" s="195">
        <f aca="true" t="shared" si="3" ref="F11:F19">IF(ISERROR(D11/C11)," ",(D11/C11))*100</f>
        <v>95.36970295923797</v>
      </c>
      <c r="G11" s="193">
        <f>SUM(G12:G15)</f>
        <v>66499777.64</v>
      </c>
      <c r="H11" s="196" t="s">
        <v>309</v>
      </c>
      <c r="I11" s="188">
        <v>822566</v>
      </c>
      <c r="J11" s="188">
        <v>337703</v>
      </c>
      <c r="K11" s="188">
        <v>326234</v>
      </c>
      <c r="L11" s="197">
        <v>39.6603821355776</v>
      </c>
      <c r="M11" s="197">
        <v>96.60375922582108</v>
      </c>
      <c r="N11" s="188">
        <v>75258</v>
      </c>
      <c r="P11" s="191">
        <f t="shared" si="0"/>
        <v>326234</v>
      </c>
      <c r="Q11">
        <v>184476</v>
      </c>
      <c r="R11" s="191">
        <f t="shared" si="1"/>
        <v>141758</v>
      </c>
    </row>
    <row r="12" spans="1:18" ht="12.75">
      <c r="A12" s="198" t="s">
        <v>310</v>
      </c>
      <c r="B12" s="193">
        <v>702268383</v>
      </c>
      <c r="C12" s="193">
        <v>226559454</v>
      </c>
      <c r="D12" s="193">
        <v>226559454</v>
      </c>
      <c r="E12" s="194">
        <f t="shared" si="2"/>
        <v>32.26109269395943</v>
      </c>
      <c r="F12" s="195">
        <f t="shared" si="3"/>
        <v>100</v>
      </c>
      <c r="G12" s="193">
        <f>D12-'[3]marts'!D12</f>
        <v>61086755</v>
      </c>
      <c r="H12" s="199" t="s">
        <v>310</v>
      </c>
      <c r="I12" s="200">
        <v>702268</v>
      </c>
      <c r="J12" s="200">
        <v>294535</v>
      </c>
      <c r="K12" s="200">
        <v>294535</v>
      </c>
      <c r="L12" s="201">
        <v>41.940344194592626</v>
      </c>
      <c r="M12" s="201">
        <v>100</v>
      </c>
      <c r="N12" s="200">
        <v>67974</v>
      </c>
      <c r="P12" s="191">
        <f t="shared" si="0"/>
        <v>294535</v>
      </c>
      <c r="Q12">
        <v>165474</v>
      </c>
      <c r="R12" s="191">
        <f t="shared" si="1"/>
        <v>129061</v>
      </c>
    </row>
    <row r="13" spans="1:18" ht="12.75">
      <c r="A13" s="198" t="s">
        <v>311</v>
      </c>
      <c r="B13" s="193">
        <v>3480024</v>
      </c>
      <c r="C13" s="193">
        <v>648857</v>
      </c>
      <c r="D13" s="193">
        <v>442138.51</v>
      </c>
      <c r="E13" s="194">
        <f t="shared" si="2"/>
        <v>12.705041976722</v>
      </c>
      <c r="F13" s="195">
        <f t="shared" si="3"/>
        <v>68.14113279197112</v>
      </c>
      <c r="G13" s="193">
        <f>D13-'[3]marts'!D13</f>
        <v>151254.49</v>
      </c>
      <c r="H13" s="199" t="s">
        <v>311</v>
      </c>
      <c r="I13" s="200">
        <v>3480</v>
      </c>
      <c r="J13" s="200">
        <v>928</v>
      </c>
      <c r="K13" s="200">
        <v>532</v>
      </c>
      <c r="L13" s="201">
        <v>15.291544253717792</v>
      </c>
      <c r="M13" s="201">
        <v>57.34411897503537</v>
      </c>
      <c r="N13" s="200">
        <v>90</v>
      </c>
      <c r="P13" s="191">
        <f t="shared" si="0"/>
        <v>532</v>
      </c>
      <c r="Q13">
        <v>290</v>
      </c>
      <c r="R13" s="191">
        <f t="shared" si="1"/>
        <v>242</v>
      </c>
    </row>
    <row r="14" spans="1:18" ht="25.5">
      <c r="A14" s="198" t="s">
        <v>312</v>
      </c>
      <c r="B14" s="193">
        <v>60659270</v>
      </c>
      <c r="C14" s="193">
        <v>20011975</v>
      </c>
      <c r="D14" s="193">
        <v>20008019.79</v>
      </c>
      <c r="E14" s="194">
        <f t="shared" si="2"/>
        <v>32.984273945268384</v>
      </c>
      <c r="F14" s="195">
        <f t="shared" si="3"/>
        <v>99.98023578382444</v>
      </c>
      <c r="G14" s="193">
        <f>D14-'[3]marts'!D14</f>
        <v>4707514.1499999985</v>
      </c>
      <c r="H14" s="199" t="s">
        <v>312</v>
      </c>
      <c r="I14" s="200">
        <v>60659</v>
      </c>
      <c r="J14" s="200">
        <v>24971</v>
      </c>
      <c r="K14" s="200">
        <v>24510</v>
      </c>
      <c r="L14" s="201">
        <v>40.406498545069866</v>
      </c>
      <c r="M14" s="201">
        <v>98.15417469524506</v>
      </c>
      <c r="N14" s="200">
        <v>4502</v>
      </c>
      <c r="P14" s="191">
        <f t="shared" si="0"/>
        <v>24510</v>
      </c>
      <c r="Q14">
        <v>15301</v>
      </c>
      <c r="R14" s="191">
        <f t="shared" si="1"/>
        <v>9209</v>
      </c>
    </row>
    <row r="15" spans="1:18" ht="12.75">
      <c r="A15" s="192" t="s">
        <v>313</v>
      </c>
      <c r="B15" s="193">
        <v>56158811</v>
      </c>
      <c r="C15" s="193">
        <v>15939455</v>
      </c>
      <c r="D15" s="193">
        <v>3965051</v>
      </c>
      <c r="E15" s="194">
        <f t="shared" si="2"/>
        <v>7.060425478025167</v>
      </c>
      <c r="F15" s="195">
        <f t="shared" si="3"/>
        <v>24.87569995335474</v>
      </c>
      <c r="G15" s="193">
        <f>D15-'[3]marts'!D15</f>
        <v>554254</v>
      </c>
      <c r="H15" s="196" t="s">
        <v>313</v>
      </c>
      <c r="I15" s="200">
        <v>56159</v>
      </c>
      <c r="J15" s="200">
        <v>17269</v>
      </c>
      <c r="K15" s="200">
        <v>6657</v>
      </c>
      <c r="L15" s="201">
        <v>11.853525531372094</v>
      </c>
      <c r="M15" s="201">
        <v>38.547212061235</v>
      </c>
      <c r="N15" s="200">
        <v>2692</v>
      </c>
      <c r="P15" s="191">
        <f t="shared" si="0"/>
        <v>6657</v>
      </c>
      <c r="Q15">
        <v>3411</v>
      </c>
      <c r="R15" s="191">
        <f t="shared" si="1"/>
        <v>3246</v>
      </c>
    </row>
    <row r="16" spans="1:18" ht="12.75">
      <c r="A16" s="184" t="s">
        <v>314</v>
      </c>
      <c r="B16" s="185">
        <v>822563488</v>
      </c>
      <c r="C16" s="185">
        <v>263307267</v>
      </c>
      <c r="D16" s="185">
        <f>D17+D41</f>
        <v>238122263.68000004</v>
      </c>
      <c r="E16" s="194">
        <f t="shared" si="2"/>
        <v>28.948800567233548</v>
      </c>
      <c r="F16" s="195">
        <f t="shared" si="3"/>
        <v>90.43512789945142</v>
      </c>
      <c r="G16" s="193">
        <f>D16-'[3]marts'!D16</f>
        <v>63836928.97000006</v>
      </c>
      <c r="H16" s="187" t="s">
        <v>314</v>
      </c>
      <c r="I16" s="188">
        <v>822563</v>
      </c>
      <c r="J16" s="188">
        <v>337886</v>
      </c>
      <c r="K16" s="188">
        <v>310201</v>
      </c>
      <c r="L16" s="197">
        <v>37.711459210793464</v>
      </c>
      <c r="M16" s="197">
        <v>91.8062450463546</v>
      </c>
      <c r="N16" s="188">
        <v>72080</v>
      </c>
      <c r="P16" s="191">
        <f t="shared" si="0"/>
        <v>310201</v>
      </c>
      <c r="Q16">
        <v>174285</v>
      </c>
      <c r="R16" s="191">
        <f t="shared" si="1"/>
        <v>135916</v>
      </c>
    </row>
    <row r="17" spans="1:18" ht="12.75">
      <c r="A17" s="202" t="s">
        <v>315</v>
      </c>
      <c r="B17" s="185">
        <v>743343379</v>
      </c>
      <c r="C17" s="185">
        <v>242138265</v>
      </c>
      <c r="D17" s="185">
        <f>D18+D22+D26</f>
        <v>225376425.97000003</v>
      </c>
      <c r="E17" s="194">
        <f t="shared" si="2"/>
        <v>30.319288815512547</v>
      </c>
      <c r="F17" s="195">
        <f t="shared" si="3"/>
        <v>93.0775753142528</v>
      </c>
      <c r="G17" s="193">
        <f>D17-'[3]marts'!D17</f>
        <v>59905491.70000005</v>
      </c>
      <c r="H17" s="203" t="s">
        <v>315</v>
      </c>
      <c r="I17" s="188">
        <v>743343</v>
      </c>
      <c r="J17" s="188">
        <v>309383</v>
      </c>
      <c r="K17" s="188">
        <v>291091</v>
      </c>
      <c r="L17" s="201">
        <v>39.15963036377567</v>
      </c>
      <c r="M17" s="201">
        <v>94.08724855725467</v>
      </c>
      <c r="N17" s="188">
        <v>65716</v>
      </c>
      <c r="P17" s="191">
        <f t="shared" si="0"/>
        <v>291091</v>
      </c>
      <c r="Q17">
        <v>165471</v>
      </c>
      <c r="R17" s="191">
        <f t="shared" si="1"/>
        <v>125620</v>
      </c>
    </row>
    <row r="18" spans="1:18" ht="12.75">
      <c r="A18" s="204" t="s">
        <v>316</v>
      </c>
      <c r="B18" s="185">
        <v>378400026</v>
      </c>
      <c r="C18" s="185">
        <v>125123506</v>
      </c>
      <c r="D18" s="185">
        <f>D19+D20+D21</f>
        <v>111311621.75</v>
      </c>
      <c r="E18" s="194">
        <f t="shared" si="2"/>
        <v>29.416388504687895</v>
      </c>
      <c r="F18" s="195">
        <f t="shared" si="3"/>
        <v>88.96139926737666</v>
      </c>
      <c r="G18" s="193">
        <f>D18-'[3]marts'!D18</f>
        <v>28838382.909999996</v>
      </c>
      <c r="H18" s="205" t="s">
        <v>316</v>
      </c>
      <c r="I18" s="188">
        <v>378400</v>
      </c>
      <c r="J18" s="188">
        <v>155643</v>
      </c>
      <c r="K18" s="188">
        <v>141029</v>
      </c>
      <c r="L18" s="201">
        <v>37.269722365188215</v>
      </c>
      <c r="M18" s="201">
        <v>90.6103535949775</v>
      </c>
      <c r="N18" s="188">
        <v>29718</v>
      </c>
      <c r="P18" s="191">
        <f t="shared" si="0"/>
        <v>141029</v>
      </c>
      <c r="Q18">
        <v>82473</v>
      </c>
      <c r="R18" s="191">
        <f t="shared" si="1"/>
        <v>58556</v>
      </c>
    </row>
    <row r="19" spans="1:18" ht="12.75">
      <c r="A19" s="206" t="s">
        <v>317</v>
      </c>
      <c r="B19" s="193">
        <v>171195440</v>
      </c>
      <c r="C19" s="193">
        <v>53565316</v>
      </c>
      <c r="D19" s="193">
        <v>51463830.18</v>
      </c>
      <c r="E19" s="194">
        <f t="shared" si="2"/>
        <v>30.061449171777006</v>
      </c>
      <c r="F19" s="195">
        <f t="shared" si="3"/>
        <v>96.07677882456626</v>
      </c>
      <c r="G19" s="193">
        <f>D19-'[3]marts'!D19</f>
        <v>13863076.509999998</v>
      </c>
      <c r="H19" s="207" t="s">
        <v>317</v>
      </c>
      <c r="I19" s="200">
        <v>171195</v>
      </c>
      <c r="J19" s="200">
        <v>67307</v>
      </c>
      <c r="K19" s="200">
        <v>64982</v>
      </c>
      <c r="L19" s="201">
        <v>37.957804255767556</v>
      </c>
      <c r="M19" s="201">
        <v>96.54511802576542</v>
      </c>
      <c r="N19" s="200">
        <v>13518</v>
      </c>
      <c r="P19" s="191">
        <f t="shared" si="0"/>
        <v>64982</v>
      </c>
      <c r="Q19">
        <v>37601</v>
      </c>
      <c r="R19" s="191">
        <f t="shared" si="1"/>
        <v>27381</v>
      </c>
    </row>
    <row r="20" spans="1:18" ht="25.5">
      <c r="A20" s="198" t="s">
        <v>318</v>
      </c>
      <c r="B20" s="208" t="s">
        <v>53</v>
      </c>
      <c r="C20" s="208" t="s">
        <v>53</v>
      </c>
      <c r="D20" s="193">
        <v>12998384.22</v>
      </c>
      <c r="E20" s="209" t="s">
        <v>53</v>
      </c>
      <c r="F20" s="209" t="s">
        <v>53</v>
      </c>
      <c r="G20" s="193">
        <f>D20-'[3]marts'!D20</f>
        <v>3197484.01</v>
      </c>
      <c r="H20" s="199" t="s">
        <v>318</v>
      </c>
      <c r="I20" s="210" t="s">
        <v>53</v>
      </c>
      <c r="J20" s="210" t="s">
        <v>53</v>
      </c>
      <c r="K20" s="200">
        <v>16434</v>
      </c>
      <c r="L20" s="211" t="s">
        <v>53</v>
      </c>
      <c r="M20" s="211" t="s">
        <v>53</v>
      </c>
      <c r="N20" s="200">
        <v>3436</v>
      </c>
      <c r="P20" s="191">
        <f t="shared" si="0"/>
        <v>16434</v>
      </c>
      <c r="Q20">
        <v>9801</v>
      </c>
      <c r="R20" s="191">
        <f t="shared" si="1"/>
        <v>6633</v>
      </c>
    </row>
    <row r="21" spans="1:18" ht="12.75">
      <c r="A21" s="67" t="s">
        <v>319</v>
      </c>
      <c r="B21" s="208" t="s">
        <v>53</v>
      </c>
      <c r="C21" s="193">
        <v>71558190</v>
      </c>
      <c r="D21" s="193">
        <v>46849407.35</v>
      </c>
      <c r="E21" s="209" t="s">
        <v>53</v>
      </c>
      <c r="F21" s="195">
        <f>IF(ISERROR(D21/C21)," ",(D21/C21))*100</f>
        <v>65.4703638395549</v>
      </c>
      <c r="G21" s="193">
        <f>D21-'[3]marts'!D21</f>
        <v>11777822.39</v>
      </c>
      <c r="H21" s="212" t="s">
        <v>319</v>
      </c>
      <c r="I21" s="210" t="s">
        <v>53</v>
      </c>
      <c r="J21" s="200">
        <v>88336</v>
      </c>
      <c r="K21" s="200">
        <v>59613</v>
      </c>
      <c r="L21" s="211" t="s">
        <v>53</v>
      </c>
      <c r="M21" s="213">
        <v>67.48423670151065</v>
      </c>
      <c r="N21" s="200">
        <v>12764</v>
      </c>
      <c r="P21" s="191">
        <f t="shared" si="0"/>
        <v>59613</v>
      </c>
      <c r="Q21">
        <v>35071</v>
      </c>
      <c r="R21" s="191">
        <f t="shared" si="1"/>
        <v>24542</v>
      </c>
    </row>
    <row r="22" spans="1:18" ht="25.5">
      <c r="A22" s="59" t="s">
        <v>320</v>
      </c>
      <c r="B22" s="185">
        <v>44080640</v>
      </c>
      <c r="C22" s="185">
        <v>11853667</v>
      </c>
      <c r="D22" s="185">
        <f>D23+D24+D25</f>
        <v>11481967.92</v>
      </c>
      <c r="E22" s="214">
        <f>IF(ISERROR(D22/B22)," ",(D22/B22))*100</f>
        <v>26.047643409896043</v>
      </c>
      <c r="F22" s="215">
        <f>IF(ISERROR(D22/C22)," ",(D22/C22))*100</f>
        <v>96.86426925946206</v>
      </c>
      <c r="G22" s="193">
        <f>D22-'[3]marts'!D22</f>
        <v>3343422.3499999996</v>
      </c>
      <c r="H22" s="216" t="s">
        <v>320</v>
      </c>
      <c r="I22" s="188">
        <v>44081</v>
      </c>
      <c r="J22" s="188">
        <v>21668</v>
      </c>
      <c r="K22" s="188">
        <v>21321</v>
      </c>
      <c r="L22" s="211">
        <v>48.367660269905336</v>
      </c>
      <c r="M22" s="213">
        <v>98.39546998537182</v>
      </c>
      <c r="N22" s="188">
        <v>9840</v>
      </c>
      <c r="P22" s="191">
        <f t="shared" si="0"/>
        <v>21321</v>
      </c>
      <c r="Q22">
        <v>8139</v>
      </c>
      <c r="R22" s="191">
        <f t="shared" si="1"/>
        <v>13182</v>
      </c>
    </row>
    <row r="23" spans="1:18" ht="25.5">
      <c r="A23" s="198" t="s">
        <v>321</v>
      </c>
      <c r="B23" s="208" t="s">
        <v>53</v>
      </c>
      <c r="C23" s="208" t="s">
        <v>53</v>
      </c>
      <c r="D23" s="193">
        <v>7179090.57</v>
      </c>
      <c r="E23" s="209" t="s">
        <v>53</v>
      </c>
      <c r="F23" s="209" t="s">
        <v>53</v>
      </c>
      <c r="G23" s="193">
        <f>D23-'[3]marts'!D23</f>
        <v>2379902.79</v>
      </c>
      <c r="H23" s="199" t="s">
        <v>321</v>
      </c>
      <c r="I23" s="210" t="s">
        <v>53</v>
      </c>
      <c r="J23" s="210" t="s">
        <v>53</v>
      </c>
      <c r="K23" s="200">
        <v>8631</v>
      </c>
      <c r="L23" s="211" t="s">
        <v>53</v>
      </c>
      <c r="M23" s="211" t="s">
        <v>53</v>
      </c>
      <c r="N23" s="200">
        <v>1452</v>
      </c>
      <c r="P23" s="191">
        <f t="shared" si="0"/>
        <v>8631</v>
      </c>
      <c r="Q23">
        <v>4799</v>
      </c>
      <c r="R23" s="191">
        <f t="shared" si="1"/>
        <v>3832</v>
      </c>
    </row>
    <row r="24" spans="1:18" ht="25.5">
      <c r="A24" s="198" t="s">
        <v>322</v>
      </c>
      <c r="B24" s="208" t="s">
        <v>53</v>
      </c>
      <c r="C24" s="208" t="s">
        <v>53</v>
      </c>
      <c r="D24" s="193">
        <v>4225390.35</v>
      </c>
      <c r="E24" s="209" t="s">
        <v>53</v>
      </c>
      <c r="F24" s="209" t="s">
        <v>53</v>
      </c>
      <c r="G24" s="193">
        <f>D24-'[3]marts'!D24</f>
        <v>951842.2899999996</v>
      </c>
      <c r="H24" s="199" t="s">
        <v>322</v>
      </c>
      <c r="I24" s="210" t="s">
        <v>53</v>
      </c>
      <c r="J24" s="210" t="s">
        <v>53</v>
      </c>
      <c r="K24" s="200">
        <v>12610</v>
      </c>
      <c r="L24" s="211" t="s">
        <v>53</v>
      </c>
      <c r="M24" s="211" t="s">
        <v>53</v>
      </c>
      <c r="N24" s="200">
        <v>8385</v>
      </c>
      <c r="P24" s="191">
        <f t="shared" si="0"/>
        <v>12610</v>
      </c>
      <c r="Q24">
        <v>3274</v>
      </c>
      <c r="R24" s="191">
        <f t="shared" si="1"/>
        <v>9336</v>
      </c>
    </row>
    <row r="25" spans="1:18" ht="25.5">
      <c r="A25" s="198" t="s">
        <v>323</v>
      </c>
      <c r="B25" s="208" t="s">
        <v>53</v>
      </c>
      <c r="C25" s="208" t="s">
        <v>53</v>
      </c>
      <c r="D25" s="193">
        <v>77487</v>
      </c>
      <c r="E25" s="209" t="s">
        <v>53</v>
      </c>
      <c r="F25" s="209" t="s">
        <v>53</v>
      </c>
      <c r="G25" s="193">
        <f>D25-'[3]marts'!D25</f>
        <v>11677.270000000004</v>
      </c>
      <c r="H25" s="199" t="s">
        <v>323</v>
      </c>
      <c r="I25" s="210" t="s">
        <v>53</v>
      </c>
      <c r="J25" s="210" t="s">
        <v>53</v>
      </c>
      <c r="K25" s="200">
        <v>80</v>
      </c>
      <c r="L25" s="211" t="s">
        <v>53</v>
      </c>
      <c r="M25" s="211" t="s">
        <v>53</v>
      </c>
      <c r="N25" s="200">
        <v>3</v>
      </c>
      <c r="P25" s="191">
        <f t="shared" si="0"/>
        <v>80</v>
      </c>
      <c r="Q25">
        <v>66</v>
      </c>
      <c r="R25" s="191">
        <f t="shared" si="1"/>
        <v>14</v>
      </c>
    </row>
    <row r="26" spans="1:18" ht="12.75">
      <c r="A26" s="217" t="s">
        <v>324</v>
      </c>
      <c r="B26" s="185">
        <v>320862713</v>
      </c>
      <c r="C26" s="185">
        <v>105161092</v>
      </c>
      <c r="D26" s="185">
        <f>D27+D28+D29+D30+D32+D37+D38</f>
        <v>102582836.30000001</v>
      </c>
      <c r="E26" s="214">
        <f>IF(ISERROR(D26/B26)," ",(D26/B26))*100</f>
        <v>31.970943379762552</v>
      </c>
      <c r="F26" s="215">
        <f>IF(ISERROR(D26/C26)," ",(D26/C26))*100</f>
        <v>97.54827983338174</v>
      </c>
      <c r="G26" s="193">
        <f>D26-'[3]marts'!D26</f>
        <v>27723686.440000013</v>
      </c>
      <c r="H26" s="218" t="s">
        <v>324</v>
      </c>
      <c r="I26" s="188">
        <v>320863</v>
      </c>
      <c r="J26" s="188">
        <v>132072</v>
      </c>
      <c r="K26" s="188">
        <v>128741</v>
      </c>
      <c r="L26" s="201">
        <v>40.123423823945544</v>
      </c>
      <c r="M26" s="213">
        <v>97.47783178637252</v>
      </c>
      <c r="N26" s="188">
        <v>26158</v>
      </c>
      <c r="P26" s="191">
        <f t="shared" si="0"/>
        <v>128741</v>
      </c>
      <c r="Q26">
        <v>74859</v>
      </c>
      <c r="R26" s="191">
        <f t="shared" si="1"/>
        <v>53882</v>
      </c>
    </row>
    <row r="27" spans="1:18" ht="12.75">
      <c r="A27" s="206" t="s">
        <v>325</v>
      </c>
      <c r="B27" s="208" t="s">
        <v>53</v>
      </c>
      <c r="C27" s="208" t="s">
        <v>53</v>
      </c>
      <c r="D27" s="193">
        <v>7978194.46</v>
      </c>
      <c r="E27" s="209" t="s">
        <v>53</v>
      </c>
      <c r="F27" s="209" t="s">
        <v>53</v>
      </c>
      <c r="G27" s="193">
        <f>D27-'[3]marts'!D27</f>
        <v>2001878.1900000004</v>
      </c>
      <c r="H27" s="207" t="s">
        <v>325</v>
      </c>
      <c r="I27" s="210" t="s">
        <v>53</v>
      </c>
      <c r="J27" s="210" t="s">
        <v>53</v>
      </c>
      <c r="K27" s="200">
        <v>9381</v>
      </c>
      <c r="L27" s="211" t="s">
        <v>53</v>
      </c>
      <c r="M27" s="211" t="s">
        <v>53</v>
      </c>
      <c r="N27" s="200">
        <v>1403</v>
      </c>
      <c r="P27" s="191">
        <f t="shared" si="0"/>
        <v>9381</v>
      </c>
      <c r="Q27">
        <v>5975</v>
      </c>
      <c r="R27" s="191">
        <f t="shared" si="1"/>
        <v>3406</v>
      </c>
    </row>
    <row r="28" spans="1:18" ht="12.75">
      <c r="A28" s="198" t="s">
        <v>326</v>
      </c>
      <c r="B28" s="208" t="s">
        <v>53</v>
      </c>
      <c r="C28" s="208" t="s">
        <v>53</v>
      </c>
      <c r="D28" s="193">
        <v>32878870</v>
      </c>
      <c r="E28" s="209" t="s">
        <v>53</v>
      </c>
      <c r="F28" s="209" t="s">
        <v>53</v>
      </c>
      <c r="G28" s="193">
        <f>D28-'[3]marts'!D28</f>
        <v>8292110</v>
      </c>
      <c r="H28" s="199" t="s">
        <v>326</v>
      </c>
      <c r="I28" s="210" t="s">
        <v>53</v>
      </c>
      <c r="J28" s="210" t="s">
        <v>53</v>
      </c>
      <c r="K28" s="200">
        <v>41628</v>
      </c>
      <c r="L28" s="211" t="s">
        <v>53</v>
      </c>
      <c r="M28" s="211" t="s">
        <v>53</v>
      </c>
      <c r="N28" s="200">
        <v>8749</v>
      </c>
      <c r="P28" s="191">
        <f t="shared" si="0"/>
        <v>41628</v>
      </c>
      <c r="Q28">
        <v>24587</v>
      </c>
      <c r="R28" s="191">
        <f t="shared" si="1"/>
        <v>17041</v>
      </c>
    </row>
    <row r="29" spans="1:18" ht="12.75">
      <c r="A29" s="198" t="s">
        <v>327</v>
      </c>
      <c r="B29" s="208" t="s">
        <v>53</v>
      </c>
      <c r="C29" s="208" t="s">
        <v>53</v>
      </c>
      <c r="D29" s="193">
        <v>2554001</v>
      </c>
      <c r="E29" s="209" t="s">
        <v>53</v>
      </c>
      <c r="F29" s="209" t="s">
        <v>53</v>
      </c>
      <c r="G29" s="193">
        <f>D29-'[3]marts'!D29</f>
        <v>622712</v>
      </c>
      <c r="H29" s="199" t="s">
        <v>327</v>
      </c>
      <c r="I29" s="210" t="s">
        <v>53</v>
      </c>
      <c r="J29" s="210" t="s">
        <v>53</v>
      </c>
      <c r="K29" s="200">
        <v>3174</v>
      </c>
      <c r="L29" s="211" t="s">
        <v>53</v>
      </c>
      <c r="M29" s="211" t="s">
        <v>53</v>
      </c>
      <c r="N29" s="200">
        <v>620</v>
      </c>
      <c r="P29" s="191">
        <f t="shared" si="0"/>
        <v>3174</v>
      </c>
      <c r="Q29">
        <v>1931</v>
      </c>
      <c r="R29" s="191">
        <f t="shared" si="1"/>
        <v>1243</v>
      </c>
    </row>
    <row r="30" spans="1:18" ht="25.5">
      <c r="A30" s="198" t="s">
        <v>328</v>
      </c>
      <c r="B30" s="193">
        <v>28083326</v>
      </c>
      <c r="C30" s="193">
        <v>9346590</v>
      </c>
      <c r="D30" s="193">
        <v>8816169.5</v>
      </c>
      <c r="E30" s="209" t="s">
        <v>53</v>
      </c>
      <c r="F30" s="195">
        <f>IF(ISERROR(D30/C30)," ",(D30/C30))*100</f>
        <v>94.32498376413217</v>
      </c>
      <c r="G30" s="193">
        <f>D30-'[3]marts'!D30</f>
        <v>2489555.13</v>
      </c>
      <c r="H30" s="199" t="s">
        <v>328</v>
      </c>
      <c r="I30" s="200">
        <v>28083</v>
      </c>
      <c r="J30" s="200">
        <v>12086</v>
      </c>
      <c r="K30" s="200">
        <v>11490</v>
      </c>
      <c r="L30" s="197" t="s">
        <v>53</v>
      </c>
      <c r="M30" s="213">
        <v>95.06228514613889</v>
      </c>
      <c r="N30" s="200">
        <v>2674</v>
      </c>
      <c r="P30" s="191">
        <f t="shared" si="0"/>
        <v>11490</v>
      </c>
      <c r="Q30">
        <v>6327</v>
      </c>
      <c r="R30" s="191">
        <f t="shared" si="1"/>
        <v>5163</v>
      </c>
    </row>
    <row r="31" spans="1:18" ht="25.5">
      <c r="A31" s="198" t="s">
        <v>329</v>
      </c>
      <c r="B31" s="193"/>
      <c r="C31" s="193"/>
      <c r="D31" s="193"/>
      <c r="E31" s="209"/>
      <c r="F31" s="195"/>
      <c r="G31" s="193">
        <f>D31-'[3]marts'!D31</f>
        <v>0</v>
      </c>
      <c r="H31" s="199" t="s">
        <v>329</v>
      </c>
      <c r="I31" s="200">
        <v>0</v>
      </c>
      <c r="J31" s="200"/>
      <c r="K31" s="200"/>
      <c r="L31" s="211"/>
      <c r="M31" s="213"/>
      <c r="N31" s="188">
        <v>0</v>
      </c>
      <c r="P31" s="191">
        <f t="shared" si="0"/>
        <v>0</v>
      </c>
      <c r="R31" s="191">
        <f t="shared" si="1"/>
        <v>0</v>
      </c>
    </row>
    <row r="32" spans="1:18" ht="12.75">
      <c r="A32" s="198" t="s">
        <v>330</v>
      </c>
      <c r="B32" s="193">
        <v>74179712</v>
      </c>
      <c r="C32" s="193">
        <v>25819050</v>
      </c>
      <c r="D32" s="193">
        <v>25623016.75</v>
      </c>
      <c r="E32" s="209" t="s">
        <v>53</v>
      </c>
      <c r="F32" s="195">
        <f>IF(ISERROR(D32/C32)," ",(D32/C32))*100</f>
        <v>99.24074181660441</v>
      </c>
      <c r="G32" s="193">
        <f>D32-'[3]marts'!D32</f>
        <v>6272924.699999999</v>
      </c>
      <c r="H32" s="199" t="s">
        <v>330</v>
      </c>
      <c r="I32" s="200">
        <v>74180</v>
      </c>
      <c r="J32" s="200">
        <v>32057</v>
      </c>
      <c r="K32" s="200">
        <v>31842</v>
      </c>
      <c r="L32" s="197" t="s">
        <v>53</v>
      </c>
      <c r="M32" s="213">
        <v>99.33027526112458</v>
      </c>
      <c r="N32" s="200">
        <v>6219</v>
      </c>
      <c r="P32" s="191">
        <f t="shared" si="0"/>
        <v>31842</v>
      </c>
      <c r="Q32">
        <v>19350</v>
      </c>
      <c r="R32" s="191">
        <f t="shared" si="1"/>
        <v>12492</v>
      </c>
    </row>
    <row r="33" spans="1:18" ht="12.75">
      <c r="A33" s="219" t="s">
        <v>331</v>
      </c>
      <c r="B33" s="208" t="s">
        <v>53</v>
      </c>
      <c r="C33" s="208" t="s">
        <v>53</v>
      </c>
      <c r="D33" s="193">
        <v>601250.41</v>
      </c>
      <c r="E33" s="209" t="s">
        <v>53</v>
      </c>
      <c r="F33" s="209" t="s">
        <v>53</v>
      </c>
      <c r="G33" s="193">
        <f>D33-'[3]marts'!D33</f>
        <v>185543.61000000004</v>
      </c>
      <c r="H33" s="220" t="s">
        <v>331</v>
      </c>
      <c r="I33" s="210" t="s">
        <v>53</v>
      </c>
      <c r="J33" s="210" t="s">
        <v>53</v>
      </c>
      <c r="K33" s="200">
        <v>788</v>
      </c>
      <c r="L33" s="211" t="s">
        <v>53</v>
      </c>
      <c r="M33" s="211" t="s">
        <v>53</v>
      </c>
      <c r="N33" s="200">
        <v>187</v>
      </c>
      <c r="P33" s="191">
        <f t="shared" si="0"/>
        <v>788</v>
      </c>
      <c r="Q33">
        <v>416</v>
      </c>
      <c r="R33" s="191">
        <f t="shared" si="1"/>
        <v>372</v>
      </c>
    </row>
    <row r="34" spans="1:18" ht="12.75">
      <c r="A34" s="221" t="s">
        <v>332</v>
      </c>
      <c r="B34" s="208" t="s">
        <v>53</v>
      </c>
      <c r="C34" s="208" t="s">
        <v>53</v>
      </c>
      <c r="D34" s="193">
        <v>18784977.21</v>
      </c>
      <c r="E34" s="209" t="s">
        <v>53</v>
      </c>
      <c r="F34" s="209" t="s">
        <v>53</v>
      </c>
      <c r="G34" s="193">
        <f>D34-'[3]marts'!D34</f>
        <v>4551369.9</v>
      </c>
      <c r="H34" s="222" t="s">
        <v>332</v>
      </c>
      <c r="I34" s="210" t="s">
        <v>53</v>
      </c>
      <c r="J34" s="210" t="s">
        <v>53</v>
      </c>
      <c r="K34" s="200">
        <v>23296</v>
      </c>
      <c r="L34" s="211" t="s">
        <v>53</v>
      </c>
      <c r="M34" s="211" t="s">
        <v>53</v>
      </c>
      <c r="N34" s="200">
        <v>4511</v>
      </c>
      <c r="P34" s="191">
        <f t="shared" si="0"/>
        <v>23296</v>
      </c>
      <c r="Q34">
        <v>14234</v>
      </c>
      <c r="R34" s="191">
        <f t="shared" si="1"/>
        <v>9062</v>
      </c>
    </row>
    <row r="35" spans="1:18" ht="12.75">
      <c r="A35" s="221" t="s">
        <v>333</v>
      </c>
      <c r="B35" s="208" t="s">
        <v>53</v>
      </c>
      <c r="C35" s="208" t="s">
        <v>53</v>
      </c>
      <c r="D35" s="193">
        <v>2428466.92</v>
      </c>
      <c r="E35" s="209" t="s">
        <v>53</v>
      </c>
      <c r="F35" s="209" t="s">
        <v>53</v>
      </c>
      <c r="G35" s="193">
        <f>D35-'[3]marts'!D35</f>
        <v>616740.8199999998</v>
      </c>
      <c r="H35" s="222" t="s">
        <v>333</v>
      </c>
      <c r="I35" s="210" t="s">
        <v>53</v>
      </c>
      <c r="J35" s="210" t="s">
        <v>53</v>
      </c>
      <c r="K35" s="200">
        <v>3044</v>
      </c>
      <c r="L35" s="211" t="s">
        <v>53</v>
      </c>
      <c r="M35" s="211" t="s">
        <v>53</v>
      </c>
      <c r="N35" s="200">
        <v>616</v>
      </c>
      <c r="P35" s="191">
        <f t="shared" si="0"/>
        <v>3044</v>
      </c>
      <c r="Q35">
        <v>1812</v>
      </c>
      <c r="R35" s="191">
        <f t="shared" si="1"/>
        <v>1232</v>
      </c>
    </row>
    <row r="36" spans="1:18" ht="12.75">
      <c r="A36" s="221" t="s">
        <v>334</v>
      </c>
      <c r="B36" s="208" t="s">
        <v>53</v>
      </c>
      <c r="C36" s="208" t="s">
        <v>53</v>
      </c>
      <c r="D36" s="193">
        <v>3808322.21</v>
      </c>
      <c r="E36" s="209" t="s">
        <v>53</v>
      </c>
      <c r="F36" s="209" t="s">
        <v>53</v>
      </c>
      <c r="G36" s="193">
        <f>D36-'[3]marts'!D36</f>
        <v>919270.3700000001</v>
      </c>
      <c r="H36" s="222" t="s">
        <v>334</v>
      </c>
      <c r="I36" s="210" t="s">
        <v>53</v>
      </c>
      <c r="J36" s="210" t="s">
        <v>53</v>
      </c>
      <c r="K36" s="200">
        <v>4714</v>
      </c>
      <c r="L36" s="211" t="s">
        <v>53</v>
      </c>
      <c r="M36" s="211" t="s">
        <v>53</v>
      </c>
      <c r="N36" s="200">
        <v>906</v>
      </c>
      <c r="P36" s="191">
        <f t="shared" si="0"/>
        <v>4714</v>
      </c>
      <c r="Q36">
        <v>2889</v>
      </c>
      <c r="R36" s="191">
        <f t="shared" si="1"/>
        <v>1825</v>
      </c>
    </row>
    <row r="37" spans="1:18" ht="25.5">
      <c r="A37" s="198" t="s">
        <v>335</v>
      </c>
      <c r="B37" s="193">
        <v>6586805</v>
      </c>
      <c r="C37" s="193">
        <v>4182215</v>
      </c>
      <c r="D37" s="193">
        <v>3184379.59</v>
      </c>
      <c r="E37" s="194">
        <f>IF(ISERROR(D37/B37)," ",(D37/B37))*100</f>
        <v>48.344828638467355</v>
      </c>
      <c r="F37" s="195">
        <f>IF(ISERROR(D37/C37)," ",(D37/C37))*100</f>
        <v>76.14098246981563</v>
      </c>
      <c r="G37" s="193">
        <f>D37-'[3]marts'!D37</f>
        <v>671728.4199999999</v>
      </c>
      <c r="H37" s="199" t="s">
        <v>335</v>
      </c>
      <c r="I37" s="200">
        <v>6587</v>
      </c>
      <c r="J37" s="200">
        <v>4411</v>
      </c>
      <c r="K37" s="200">
        <v>3372</v>
      </c>
      <c r="L37" s="201">
        <v>51.197123187949245</v>
      </c>
      <c r="M37" s="213">
        <v>76.46118187544299</v>
      </c>
      <c r="N37" s="200">
        <v>187</v>
      </c>
      <c r="P37" s="191">
        <f t="shared" si="0"/>
        <v>3372</v>
      </c>
      <c r="Q37">
        <v>2513</v>
      </c>
      <c r="R37" s="191">
        <f t="shared" si="1"/>
        <v>859</v>
      </c>
    </row>
    <row r="38" spans="1:18" ht="12.75">
      <c r="A38" s="223" t="s">
        <v>336</v>
      </c>
      <c r="B38" s="208" t="s">
        <v>53</v>
      </c>
      <c r="C38" s="193">
        <v>65813237</v>
      </c>
      <c r="D38" s="193">
        <v>21548205</v>
      </c>
      <c r="E38" s="209" t="s">
        <v>53</v>
      </c>
      <c r="F38" s="195">
        <f>IF(ISERROR(D38/C38)," ",(D38/C38))*100</f>
        <v>32.741445311374065</v>
      </c>
      <c r="G38" s="193">
        <f>D38-'[3]marts'!D38</f>
        <v>7372778</v>
      </c>
      <c r="H38" s="224" t="s">
        <v>336</v>
      </c>
      <c r="I38" s="210" t="s">
        <v>53</v>
      </c>
      <c r="J38" s="200">
        <v>83518</v>
      </c>
      <c r="K38" s="200">
        <v>27854</v>
      </c>
      <c r="L38" s="211" t="s">
        <v>53</v>
      </c>
      <c r="M38" s="213">
        <v>33.350628934262794</v>
      </c>
      <c r="N38" s="200">
        <v>6306</v>
      </c>
      <c r="P38" s="191">
        <f t="shared" si="0"/>
        <v>27854</v>
      </c>
      <c r="Q38">
        <v>14176</v>
      </c>
      <c r="R38" s="191">
        <f t="shared" si="1"/>
        <v>13678</v>
      </c>
    </row>
    <row r="39" spans="1:18" ht="12.75">
      <c r="A39" s="221" t="s">
        <v>337</v>
      </c>
      <c r="B39" s="208" t="s">
        <v>53</v>
      </c>
      <c r="C39" s="208" t="s">
        <v>53</v>
      </c>
      <c r="D39" s="193">
        <v>21548205</v>
      </c>
      <c r="E39" s="209" t="s">
        <v>53</v>
      </c>
      <c r="F39" s="209" t="s">
        <v>53</v>
      </c>
      <c r="G39" s="193">
        <f>D39-'[3]marts'!D39</f>
        <v>7372778</v>
      </c>
      <c r="H39" s="222" t="s">
        <v>337</v>
      </c>
      <c r="I39" s="210" t="s">
        <v>53</v>
      </c>
      <c r="J39" s="210" t="s">
        <v>53</v>
      </c>
      <c r="K39" s="200">
        <v>27854</v>
      </c>
      <c r="L39" s="211" t="s">
        <v>53</v>
      </c>
      <c r="M39" s="211" t="s">
        <v>53</v>
      </c>
      <c r="N39" s="200">
        <v>6306</v>
      </c>
      <c r="P39" s="191">
        <f t="shared" si="0"/>
        <v>27854</v>
      </c>
      <c r="Q39">
        <v>14176</v>
      </c>
      <c r="R39" s="191">
        <f t="shared" si="1"/>
        <v>13678</v>
      </c>
    </row>
    <row r="40" spans="1:18" ht="25.5">
      <c r="A40" s="223" t="s">
        <v>338</v>
      </c>
      <c r="B40" s="208" t="s">
        <v>53</v>
      </c>
      <c r="C40" s="208" t="s">
        <v>53</v>
      </c>
      <c r="D40" s="208"/>
      <c r="E40" s="209" t="s">
        <v>53</v>
      </c>
      <c r="F40" s="209" t="s">
        <v>53</v>
      </c>
      <c r="G40" s="193">
        <f>D40-'[3]marts'!D40</f>
        <v>0</v>
      </c>
      <c r="H40" s="224" t="s">
        <v>338</v>
      </c>
      <c r="I40" s="210" t="s">
        <v>53</v>
      </c>
      <c r="J40" s="210" t="s">
        <v>53</v>
      </c>
      <c r="K40" s="210"/>
      <c r="L40" s="211" t="s">
        <v>53</v>
      </c>
      <c r="M40" s="211" t="s">
        <v>53</v>
      </c>
      <c r="N40" s="188">
        <v>0</v>
      </c>
      <c r="P40" s="191">
        <f t="shared" si="0"/>
        <v>0</v>
      </c>
      <c r="R40" s="191">
        <f t="shared" si="1"/>
        <v>0</v>
      </c>
    </row>
    <row r="41" spans="1:18" ht="12.75">
      <c r="A41" s="225" t="s">
        <v>339</v>
      </c>
      <c r="B41" s="185">
        <v>79220109</v>
      </c>
      <c r="C41" s="185">
        <v>21169002</v>
      </c>
      <c r="D41" s="185">
        <f>D42+D43</f>
        <v>12745837.71</v>
      </c>
      <c r="E41" s="214">
        <f>IF(ISERROR(D41/B41)," ",(D41/B41))*100</f>
        <v>16.089144373684213</v>
      </c>
      <c r="F41" s="226">
        <f>IF(ISERROR(D41/C41)," ",(D41/C41))*100</f>
        <v>60.2099131078546</v>
      </c>
      <c r="G41" s="193">
        <f>D41-'[3]marts'!D41</f>
        <v>3931437.2700000014</v>
      </c>
      <c r="H41" s="227" t="s">
        <v>339</v>
      </c>
      <c r="I41" s="188">
        <v>79220</v>
      </c>
      <c r="J41" s="188">
        <v>28503</v>
      </c>
      <c r="K41" s="188">
        <v>19110</v>
      </c>
      <c r="L41" s="213">
        <v>24.122883635517343</v>
      </c>
      <c r="M41" s="213">
        <v>67.04709273166691</v>
      </c>
      <c r="N41" s="188">
        <v>6364</v>
      </c>
      <c r="P41" s="191">
        <f t="shared" si="0"/>
        <v>19110</v>
      </c>
      <c r="Q41">
        <v>8814</v>
      </c>
      <c r="R41" s="191">
        <f t="shared" si="1"/>
        <v>10296</v>
      </c>
    </row>
    <row r="42" spans="1:18" ht="12.75">
      <c r="A42" s="228" t="s">
        <v>340</v>
      </c>
      <c r="B42" s="193">
        <v>24674763</v>
      </c>
      <c r="C42" s="193">
        <v>7747607</v>
      </c>
      <c r="D42" s="193">
        <v>4074435.9</v>
      </c>
      <c r="E42" s="194">
        <f>IF(ISERROR(D42/B42)," ",(D42/B42))*100</f>
        <v>16.5125634641354</v>
      </c>
      <c r="F42" s="209">
        <f>IF(ISERROR(D42/C42)," ",(D42/C42))*100</f>
        <v>52.58960476441307</v>
      </c>
      <c r="G42" s="193">
        <f>D42-'[3]marts'!D42</f>
        <v>1114383.87</v>
      </c>
      <c r="H42" s="229" t="s">
        <v>340</v>
      </c>
      <c r="I42" s="200">
        <v>24675</v>
      </c>
      <c r="J42" s="200">
        <v>9101</v>
      </c>
      <c r="K42" s="200">
        <v>6941</v>
      </c>
      <c r="L42" s="213">
        <v>28.129214452839935</v>
      </c>
      <c r="M42" s="213">
        <v>76.26287553671646</v>
      </c>
      <c r="N42" s="200">
        <v>2866</v>
      </c>
      <c r="P42" s="191">
        <f t="shared" si="0"/>
        <v>6941</v>
      </c>
      <c r="Q42">
        <v>2960</v>
      </c>
      <c r="R42" s="191">
        <f t="shared" si="1"/>
        <v>3981</v>
      </c>
    </row>
    <row r="43" spans="1:18" ht="12.75">
      <c r="A43" s="198" t="s">
        <v>341</v>
      </c>
      <c r="B43" s="193">
        <v>54545346</v>
      </c>
      <c r="C43" s="193">
        <v>13421395</v>
      </c>
      <c r="D43" s="193">
        <v>8671401.81</v>
      </c>
      <c r="E43" s="194">
        <f>IF(ISERROR(D43/B43)," ",(D43/B43))*100</f>
        <v>15.897601621227228</v>
      </c>
      <c r="F43" s="209">
        <f>IF(ISERROR(D43/C43)," ",(D43/C43))*100</f>
        <v>64.60879670108808</v>
      </c>
      <c r="G43" s="193">
        <f>D43-'[3]marts'!D43</f>
        <v>2817053.4000000004</v>
      </c>
      <c r="H43" s="199" t="s">
        <v>341</v>
      </c>
      <c r="I43" s="200">
        <v>54545</v>
      </c>
      <c r="J43" s="200">
        <v>19402</v>
      </c>
      <c r="K43" s="200">
        <v>12169</v>
      </c>
      <c r="L43" s="213">
        <v>22.31053353296173</v>
      </c>
      <c r="M43" s="213">
        <v>62.72397925638937</v>
      </c>
      <c r="N43" s="200">
        <v>3498</v>
      </c>
      <c r="P43" s="191">
        <f t="shared" si="0"/>
        <v>12169</v>
      </c>
      <c r="Q43">
        <v>5854</v>
      </c>
      <c r="R43" s="191">
        <f t="shared" si="1"/>
        <v>6315</v>
      </c>
    </row>
    <row r="44" spans="1:18" ht="12.75">
      <c r="A44" s="230" t="s">
        <v>342</v>
      </c>
      <c r="B44" s="208" t="s">
        <v>53</v>
      </c>
      <c r="C44" s="208" t="s">
        <v>53</v>
      </c>
      <c r="D44" s="193">
        <v>424360</v>
      </c>
      <c r="E44" s="209" t="s">
        <v>53</v>
      </c>
      <c r="F44" s="209" t="s">
        <v>53</v>
      </c>
      <c r="G44" s="193">
        <f>D44-'[3]marts'!D44</f>
        <v>176080</v>
      </c>
      <c r="H44" s="231" t="s">
        <v>342</v>
      </c>
      <c r="I44" s="210" t="s">
        <v>53</v>
      </c>
      <c r="J44" s="210" t="s">
        <v>53</v>
      </c>
      <c r="K44" s="200">
        <v>491</v>
      </c>
      <c r="L44" s="211" t="s">
        <v>53</v>
      </c>
      <c r="M44" s="211" t="s">
        <v>53</v>
      </c>
      <c r="N44" s="200">
        <v>66</v>
      </c>
      <c r="P44" s="191">
        <f t="shared" si="0"/>
        <v>491</v>
      </c>
      <c r="Q44">
        <v>247</v>
      </c>
      <c r="R44" s="191">
        <f t="shared" si="1"/>
        <v>244</v>
      </c>
    </row>
    <row r="45" spans="1:18" ht="12.75">
      <c r="A45" s="230" t="s">
        <v>343</v>
      </c>
      <c r="B45" s="208" t="s">
        <v>53</v>
      </c>
      <c r="C45" s="208" t="s">
        <v>53</v>
      </c>
      <c r="D45" s="193">
        <v>1362979.52</v>
      </c>
      <c r="E45" s="209" t="s">
        <v>53</v>
      </c>
      <c r="F45" s="209" t="s">
        <v>53</v>
      </c>
      <c r="G45" s="193">
        <f>D45-'[3]marts'!D45</f>
        <v>472984.47</v>
      </c>
      <c r="H45" s="231" t="s">
        <v>343</v>
      </c>
      <c r="I45" s="210" t="s">
        <v>53</v>
      </c>
      <c r="J45" s="210" t="s">
        <v>53</v>
      </c>
      <c r="K45" s="200">
        <v>2152</v>
      </c>
      <c r="L45" s="211" t="s">
        <v>53</v>
      </c>
      <c r="M45" s="211" t="s">
        <v>53</v>
      </c>
      <c r="N45" s="200">
        <v>789</v>
      </c>
      <c r="P45" s="191">
        <f t="shared" si="0"/>
        <v>2152</v>
      </c>
      <c r="Q45">
        <v>890</v>
      </c>
      <c r="R45" s="191">
        <f t="shared" si="1"/>
        <v>1262</v>
      </c>
    </row>
    <row r="46" spans="1:18" ht="25.5">
      <c r="A46" s="184" t="s">
        <v>344</v>
      </c>
      <c r="B46" s="185">
        <v>48898920</v>
      </c>
      <c r="C46" s="185"/>
      <c r="D46" s="185">
        <v>19940654</v>
      </c>
      <c r="E46" s="194">
        <f>IF(ISERROR(D46/B46)," ",(D46/B46))*100</f>
        <v>40.779334185703895</v>
      </c>
      <c r="F46" s="209"/>
      <c r="G46" s="193">
        <f>D46-'[3]marts'!D46</f>
        <v>7308235</v>
      </c>
      <c r="H46" s="187" t="s">
        <v>344</v>
      </c>
      <c r="I46" s="188">
        <v>48899</v>
      </c>
      <c r="J46" s="188"/>
      <c r="K46" s="188">
        <v>17214</v>
      </c>
      <c r="L46" s="201">
        <v>35.20317831150463</v>
      </c>
      <c r="M46" s="211">
        <v>0</v>
      </c>
      <c r="N46" s="188">
        <v>-2727</v>
      </c>
      <c r="P46" s="191">
        <f t="shared" si="0"/>
        <v>17214</v>
      </c>
      <c r="Q46">
        <v>12632</v>
      </c>
      <c r="R46" s="191">
        <f t="shared" si="1"/>
        <v>4582</v>
      </c>
    </row>
    <row r="47" spans="1:18" ht="12.75">
      <c r="A47" s="206" t="s">
        <v>345</v>
      </c>
      <c r="B47" s="208" t="s">
        <v>53</v>
      </c>
      <c r="C47" s="208" t="s">
        <v>53</v>
      </c>
      <c r="D47" s="193">
        <v>30291864</v>
      </c>
      <c r="E47" s="209" t="s">
        <v>53</v>
      </c>
      <c r="F47" s="209" t="s">
        <v>53</v>
      </c>
      <c r="G47" s="193">
        <f>D47-'[3]marts'!D47</f>
        <v>10847547</v>
      </c>
      <c r="H47" s="207" t="s">
        <v>345</v>
      </c>
      <c r="I47" s="210" t="s">
        <v>53</v>
      </c>
      <c r="J47" s="210" t="s">
        <v>53</v>
      </c>
      <c r="K47" s="188">
        <v>30068</v>
      </c>
      <c r="L47" s="211" t="s">
        <v>53</v>
      </c>
      <c r="M47" s="211" t="s">
        <v>53</v>
      </c>
      <c r="N47" s="200">
        <v>-224</v>
      </c>
      <c r="P47" s="191">
        <f t="shared" si="0"/>
        <v>30068</v>
      </c>
      <c r="Q47">
        <v>19444</v>
      </c>
      <c r="R47" s="191">
        <f t="shared" si="1"/>
        <v>10624</v>
      </c>
    </row>
    <row r="48" spans="1:18" ht="12.75">
      <c r="A48" s="232" t="s">
        <v>346</v>
      </c>
      <c r="B48" s="208" t="s">
        <v>53</v>
      </c>
      <c r="C48" s="208" t="s">
        <v>53</v>
      </c>
      <c r="D48" s="193">
        <v>23445858</v>
      </c>
      <c r="E48" s="209" t="s">
        <v>53</v>
      </c>
      <c r="F48" s="209" t="s">
        <v>53</v>
      </c>
      <c r="G48" s="193">
        <f>D48-'[3]marts'!D48</f>
        <v>8792709</v>
      </c>
      <c r="H48" s="233" t="s">
        <v>346</v>
      </c>
      <c r="I48" s="210" t="s">
        <v>53</v>
      </c>
      <c r="J48" s="210" t="s">
        <v>53</v>
      </c>
      <c r="K48" s="200">
        <v>22375</v>
      </c>
      <c r="L48" s="211" t="s">
        <v>53</v>
      </c>
      <c r="M48" s="211" t="s">
        <v>53</v>
      </c>
      <c r="N48" s="200">
        <v>-1071</v>
      </c>
      <c r="P48" s="191">
        <f t="shared" si="0"/>
        <v>22375</v>
      </c>
      <c r="Q48">
        <v>14653</v>
      </c>
      <c r="R48" s="191">
        <f t="shared" si="1"/>
        <v>7722</v>
      </c>
    </row>
    <row r="49" spans="1:18" ht="25.5">
      <c r="A49" s="223" t="s">
        <v>347</v>
      </c>
      <c r="B49" s="208" t="s">
        <v>53</v>
      </c>
      <c r="C49" s="208" t="s">
        <v>53</v>
      </c>
      <c r="D49" s="193">
        <v>10351210</v>
      </c>
      <c r="E49" s="209" t="s">
        <v>53</v>
      </c>
      <c r="F49" s="209" t="s">
        <v>53</v>
      </c>
      <c r="G49" s="193">
        <f>D49-'[3]marts'!D49</f>
        <v>3539312</v>
      </c>
      <c r="H49" s="224" t="s">
        <v>347</v>
      </c>
      <c r="I49" s="210" t="s">
        <v>53</v>
      </c>
      <c r="J49" s="210" t="s">
        <v>53</v>
      </c>
      <c r="K49" s="188">
        <v>12854</v>
      </c>
      <c r="L49" s="211" t="s">
        <v>53</v>
      </c>
      <c r="M49" s="211" t="s">
        <v>53</v>
      </c>
      <c r="N49" s="188">
        <v>2503</v>
      </c>
      <c r="P49" s="191">
        <f t="shared" si="0"/>
        <v>12854</v>
      </c>
      <c r="Q49">
        <v>6812</v>
      </c>
      <c r="R49" s="191">
        <f t="shared" si="1"/>
        <v>6042</v>
      </c>
    </row>
    <row r="50" spans="1:18" ht="12.75">
      <c r="A50" s="232" t="s">
        <v>348</v>
      </c>
      <c r="B50" s="208" t="s">
        <v>53</v>
      </c>
      <c r="C50" s="208" t="s">
        <v>53</v>
      </c>
      <c r="D50" s="193">
        <v>1945125</v>
      </c>
      <c r="E50" s="209" t="s">
        <v>53</v>
      </c>
      <c r="F50" s="209" t="s">
        <v>53</v>
      </c>
      <c r="G50" s="193">
        <f>D50-'[3]marts'!D50</f>
        <v>1144067</v>
      </c>
      <c r="H50" s="233" t="s">
        <v>348</v>
      </c>
      <c r="I50" s="210" t="s">
        <v>53</v>
      </c>
      <c r="J50" s="210" t="s">
        <v>53</v>
      </c>
      <c r="K50" s="200">
        <v>2811</v>
      </c>
      <c r="L50" s="211" t="s">
        <v>53</v>
      </c>
      <c r="M50" s="211" t="s">
        <v>53</v>
      </c>
      <c r="N50" s="200">
        <v>866</v>
      </c>
      <c r="P50" s="191">
        <f t="shared" si="0"/>
        <v>2811</v>
      </c>
      <c r="Q50">
        <v>801</v>
      </c>
      <c r="R50" s="191">
        <f t="shared" si="1"/>
        <v>2010</v>
      </c>
    </row>
    <row r="51" spans="1:18" ht="12.75">
      <c r="A51" s="206" t="s">
        <v>349</v>
      </c>
      <c r="B51" s="193">
        <v>-76079377</v>
      </c>
      <c r="C51" s="208" t="s">
        <v>53</v>
      </c>
      <c r="D51" s="193">
        <v>-26765598</v>
      </c>
      <c r="E51" s="209" t="s">
        <v>53</v>
      </c>
      <c r="F51" s="209" t="s">
        <v>53</v>
      </c>
      <c r="G51" s="193">
        <f>D51-'[3]marts'!D51</f>
        <v>-8180424</v>
      </c>
      <c r="H51" s="207" t="s">
        <v>349</v>
      </c>
      <c r="I51" s="188">
        <v>-76079</v>
      </c>
      <c r="J51" s="210" t="s">
        <v>53</v>
      </c>
      <c r="K51" s="200">
        <v>-30112</v>
      </c>
      <c r="L51" s="211" t="s">
        <v>53</v>
      </c>
      <c r="M51" s="211" t="s">
        <v>53</v>
      </c>
      <c r="N51" s="188">
        <v>-3346</v>
      </c>
      <c r="P51" s="191">
        <f t="shared" si="0"/>
        <v>-30112</v>
      </c>
      <c r="Q51">
        <v>-18584</v>
      </c>
      <c r="R51" s="191">
        <f t="shared" si="1"/>
        <v>-11528</v>
      </c>
    </row>
    <row r="52" spans="1:18" ht="12.75">
      <c r="A52" s="110" t="s">
        <v>350</v>
      </c>
      <c r="B52" s="193">
        <f>SUM(B53:B55)</f>
        <v>76079377</v>
      </c>
      <c r="C52" s="208" t="s">
        <v>53</v>
      </c>
      <c r="D52" s="193">
        <v>26765598</v>
      </c>
      <c r="E52" s="209" t="s">
        <v>53</v>
      </c>
      <c r="F52" s="209" t="s">
        <v>53</v>
      </c>
      <c r="G52" s="193">
        <f>D52-'[3]marts'!D52</f>
        <v>8180424</v>
      </c>
      <c r="H52" s="234" t="s">
        <v>350</v>
      </c>
      <c r="I52" s="188">
        <v>76079</v>
      </c>
      <c r="J52" s="210" t="s">
        <v>53</v>
      </c>
      <c r="K52" s="188">
        <v>30112</v>
      </c>
      <c r="L52" s="211" t="s">
        <v>53</v>
      </c>
      <c r="M52" s="211" t="s">
        <v>53</v>
      </c>
      <c r="N52" s="188">
        <v>3346</v>
      </c>
      <c r="P52" s="191">
        <f t="shared" si="0"/>
        <v>30112</v>
      </c>
      <c r="Q52">
        <v>18584</v>
      </c>
      <c r="R52" s="191">
        <f t="shared" si="1"/>
        <v>11528</v>
      </c>
    </row>
    <row r="53" spans="1:18" ht="25.5">
      <c r="A53" s="235" t="s">
        <v>351</v>
      </c>
      <c r="B53" s="193">
        <v>15000000</v>
      </c>
      <c r="C53" s="208" t="s">
        <v>53</v>
      </c>
      <c r="D53" s="193">
        <v>3325000</v>
      </c>
      <c r="E53" s="209" t="s">
        <v>53</v>
      </c>
      <c r="F53" s="209" t="s">
        <v>53</v>
      </c>
      <c r="G53" s="193">
        <f>D53-'[3]marts'!D53</f>
        <v>57000</v>
      </c>
      <c r="H53" s="236" t="s">
        <v>351</v>
      </c>
      <c r="I53" s="200">
        <v>15000</v>
      </c>
      <c r="J53" s="210" t="s">
        <v>53</v>
      </c>
      <c r="K53" s="200">
        <v>3443</v>
      </c>
      <c r="L53" s="211" t="s">
        <v>53</v>
      </c>
      <c r="M53" s="211" t="s">
        <v>53</v>
      </c>
      <c r="N53" s="200">
        <v>118</v>
      </c>
      <c r="P53" s="191">
        <f t="shared" si="0"/>
        <v>3443</v>
      </c>
      <c r="Q53">
        <v>3268</v>
      </c>
      <c r="R53" s="191">
        <f t="shared" si="1"/>
        <v>175</v>
      </c>
    </row>
    <row r="54" spans="1:18" ht="25.5">
      <c r="A54" s="235" t="s">
        <v>355</v>
      </c>
      <c r="B54" s="193">
        <v>300000</v>
      </c>
      <c r="C54" s="208" t="s">
        <v>53</v>
      </c>
      <c r="D54" s="193">
        <v>304893.67</v>
      </c>
      <c r="E54" s="209" t="s">
        <v>53</v>
      </c>
      <c r="F54" s="209" t="s">
        <v>53</v>
      </c>
      <c r="G54" s="193">
        <f>D54-'[3]marts'!D54</f>
        <v>9744.75</v>
      </c>
      <c r="H54" s="236" t="s">
        <v>356</v>
      </c>
      <c r="I54" s="200">
        <v>300</v>
      </c>
      <c r="J54" s="210" t="s">
        <v>53</v>
      </c>
      <c r="K54" s="200">
        <v>305</v>
      </c>
      <c r="L54" s="211" t="s">
        <v>53</v>
      </c>
      <c r="M54" s="211" t="s">
        <v>53</v>
      </c>
      <c r="N54" s="200">
        <v>0</v>
      </c>
      <c r="P54" s="191">
        <f t="shared" si="0"/>
        <v>305</v>
      </c>
      <c r="Q54">
        <v>295</v>
      </c>
      <c r="R54" s="191">
        <f t="shared" si="1"/>
        <v>10</v>
      </c>
    </row>
    <row r="55" spans="1:18" ht="12.75">
      <c r="A55" s="120" t="s">
        <v>352</v>
      </c>
      <c r="B55" s="193">
        <v>60779377</v>
      </c>
      <c r="C55" s="208" t="s">
        <v>53</v>
      </c>
      <c r="D55" s="193">
        <v>23135704</v>
      </c>
      <c r="E55" s="209" t="s">
        <v>53</v>
      </c>
      <c r="F55" s="209" t="s">
        <v>53</v>
      </c>
      <c r="G55" s="193">
        <f>D55-'[3]marts'!D55</f>
        <v>8113679</v>
      </c>
      <c r="H55" s="237" t="s">
        <v>352</v>
      </c>
      <c r="I55" s="200">
        <v>60779</v>
      </c>
      <c r="J55" s="210" t="s">
        <v>53</v>
      </c>
      <c r="K55" s="200">
        <v>26364</v>
      </c>
      <c r="L55" s="211" t="s">
        <v>53</v>
      </c>
      <c r="M55" s="211" t="s">
        <v>53</v>
      </c>
      <c r="N55" s="200">
        <v>3228</v>
      </c>
      <c r="P55" s="191">
        <f t="shared" si="0"/>
        <v>26364</v>
      </c>
      <c r="Q55">
        <v>15021</v>
      </c>
      <c r="R55" s="191">
        <f t="shared" si="1"/>
        <v>11343</v>
      </c>
    </row>
    <row r="56" spans="5:6" ht="12.75">
      <c r="E56" s="238"/>
      <c r="F56" s="140"/>
    </row>
    <row r="58" spans="1:14" ht="12.75">
      <c r="A58" s="41" t="s">
        <v>353</v>
      </c>
      <c r="B58" s="39"/>
      <c r="C58" s="39"/>
      <c r="D58" s="49"/>
      <c r="E58" s="49"/>
      <c r="F58" s="39" t="s">
        <v>215</v>
      </c>
      <c r="G58" s="49"/>
      <c r="H58" s="88" t="s">
        <v>21</v>
      </c>
      <c r="I58" s="52"/>
      <c r="J58" s="89"/>
      <c r="K58" s="49"/>
      <c r="L58" s="49"/>
      <c r="M58" s="39"/>
      <c r="N58" s="49"/>
    </row>
    <row r="59" spans="8:11" ht="12.75">
      <c r="H59" s="88"/>
      <c r="I59" s="52"/>
      <c r="J59" s="89"/>
      <c r="K59" s="89"/>
    </row>
    <row r="60" spans="8:11" ht="12.75">
      <c r="H60" s="1"/>
      <c r="I60" s="50"/>
      <c r="J60" s="49"/>
      <c r="K60" s="49"/>
    </row>
    <row r="61" spans="8:11" ht="12.75">
      <c r="H61" s="1"/>
      <c r="I61" s="50"/>
      <c r="J61" s="38"/>
      <c r="K61" s="38"/>
    </row>
    <row r="62" spans="9:11" ht="12.75">
      <c r="I62" s="50"/>
      <c r="J62" s="49"/>
      <c r="K62" s="49"/>
    </row>
    <row r="63" spans="9:11" ht="12.75">
      <c r="I63" s="50"/>
      <c r="J63" s="49"/>
      <c r="K63" s="49"/>
    </row>
    <row r="64" ht="12.75">
      <c r="K64" s="49"/>
    </row>
    <row r="65" spans="9:11" ht="12.75">
      <c r="I65" s="52"/>
      <c r="J65" s="89"/>
      <c r="K65" s="49"/>
    </row>
    <row r="66" spans="2:11" ht="12.75">
      <c r="B66" s="39"/>
      <c r="C66" s="39"/>
      <c r="D66" s="49"/>
      <c r="E66" s="39"/>
      <c r="H66" s="1" t="s">
        <v>171</v>
      </c>
      <c r="I66" s="50"/>
      <c r="J66" s="49"/>
      <c r="K66" s="49"/>
    </row>
    <row r="67" spans="6:11" ht="12.75">
      <c r="F67" s="1"/>
      <c r="H67" s="1" t="s">
        <v>19</v>
      </c>
      <c r="I67" s="50"/>
      <c r="J67" s="49"/>
      <c r="K67" s="49"/>
    </row>
    <row r="68" spans="6:8" ht="12.75">
      <c r="F68" s="1"/>
      <c r="H68" s="1"/>
    </row>
    <row r="70" ht="12.75">
      <c r="H70" s="1"/>
    </row>
    <row r="71" ht="12.75">
      <c r="H71" s="1"/>
    </row>
    <row r="72" ht="12.75">
      <c r="H72" s="1"/>
    </row>
    <row r="75" ht="12.75">
      <c r="A75" s="1" t="s">
        <v>90</v>
      </c>
    </row>
    <row r="76" ht="12.75">
      <c r="A76" s="88" t="s">
        <v>354</v>
      </c>
    </row>
  </sheetData>
  <mergeCells count="6">
    <mergeCell ref="F7:G7"/>
    <mergeCell ref="M7:N7"/>
    <mergeCell ref="A4:G4"/>
    <mergeCell ref="H4:N4"/>
    <mergeCell ref="A5:F5"/>
    <mergeCell ref="H5:M5"/>
  </mergeCells>
  <printOptions/>
  <pageMargins left="0.75" right="0.27" top="1" bottom="1" header="0.5" footer="0.5"/>
  <pageSetup firstPageNumber="13" useFirstPageNumber="1" horizontalDpi="600" verticalDpi="600" orientation="portrait" paperSize="9" r:id="rId1"/>
  <headerFooter alignWithMargins="0">
    <oddFooter>&amp;R&amp;9&amp;P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107"/>
  <sheetViews>
    <sheetView workbookViewId="0" topLeftCell="H21">
      <selection activeCell="K52" sqref="K52"/>
    </sheetView>
  </sheetViews>
  <sheetFormatPr defaultColWidth="9.140625" defaultRowHeight="12.75"/>
  <cols>
    <col min="1" max="1" width="45.00390625" style="49" hidden="1" customWidth="1"/>
    <col min="2" max="2" width="9.28125" style="49" hidden="1" customWidth="1"/>
    <col min="3" max="3" width="13.140625" style="49" hidden="1" customWidth="1"/>
    <col min="4" max="4" width="12.140625" style="49" hidden="1" customWidth="1"/>
    <col min="5" max="5" width="10.28125" style="49" hidden="1" customWidth="1"/>
    <col min="6" max="6" width="12.140625" style="49" hidden="1" customWidth="1"/>
    <col min="7" max="7" width="7.8515625" style="49" hidden="1" customWidth="1"/>
    <col min="8" max="8" width="47.7109375" style="49" customWidth="1"/>
    <col min="9" max="9" width="9.8515625" style="49" customWidth="1"/>
    <col min="10" max="10" width="11.8515625" style="49" customWidth="1"/>
    <col min="11" max="11" width="8.57421875" style="49" customWidth="1"/>
    <col min="12" max="12" width="7.140625" style="49" customWidth="1"/>
    <col min="13" max="13" width="7.7109375" style="49" customWidth="1"/>
    <col min="14" max="16" width="7.8515625" style="49" customWidth="1"/>
  </cols>
  <sheetData>
    <row r="1" spans="5:13" ht="12.75">
      <c r="E1" s="88" t="s">
        <v>357</v>
      </c>
      <c r="H1" s="239"/>
      <c r="I1" s="239"/>
      <c r="J1" s="239"/>
      <c r="K1" s="239"/>
      <c r="L1" s="240" t="s">
        <v>357</v>
      </c>
      <c r="M1" s="239"/>
    </row>
    <row r="2" spans="1:13" ht="15">
      <c r="A2" s="765" t="s">
        <v>174</v>
      </c>
      <c r="B2" s="765"/>
      <c r="C2" s="765"/>
      <c r="D2" s="765"/>
      <c r="E2" s="765"/>
      <c r="H2" s="754" t="s">
        <v>174</v>
      </c>
      <c r="I2" s="754"/>
      <c r="J2" s="754"/>
      <c r="K2" s="754"/>
      <c r="L2" s="754"/>
      <c r="M2" s="239"/>
    </row>
    <row r="3" spans="8:13" ht="12.75">
      <c r="H3" s="239"/>
      <c r="I3" s="239"/>
      <c r="J3" s="239"/>
      <c r="K3" s="239"/>
      <c r="L3" s="239"/>
      <c r="M3" s="239"/>
    </row>
    <row r="4" spans="1:13" ht="15.75">
      <c r="A4" s="756" t="s">
        <v>358</v>
      </c>
      <c r="B4" s="756"/>
      <c r="C4" s="756"/>
      <c r="D4" s="756"/>
      <c r="E4" s="756"/>
      <c r="H4" s="766" t="s">
        <v>358</v>
      </c>
      <c r="I4" s="766"/>
      <c r="J4" s="766"/>
      <c r="K4" s="766"/>
      <c r="L4" s="766"/>
      <c r="M4" s="239"/>
    </row>
    <row r="5" spans="1:13" ht="15.75">
      <c r="A5" s="756" t="s">
        <v>359</v>
      </c>
      <c r="B5" s="756"/>
      <c r="C5" s="756"/>
      <c r="D5" s="756"/>
      <c r="E5" s="756"/>
      <c r="H5" s="754" t="s">
        <v>18</v>
      </c>
      <c r="I5" s="754"/>
      <c r="J5" s="754"/>
      <c r="K5" s="754"/>
      <c r="L5" s="754"/>
      <c r="M5" s="239"/>
    </row>
    <row r="6" spans="8:13" ht="12.75">
      <c r="H6" s="239"/>
      <c r="I6" s="239"/>
      <c r="J6" s="239"/>
      <c r="K6" s="239"/>
      <c r="L6" s="239"/>
      <c r="M6" s="239"/>
    </row>
    <row r="7" spans="6:13" ht="12.75">
      <c r="F7" s="41" t="s">
        <v>360</v>
      </c>
      <c r="H7" s="239"/>
      <c r="I7" s="239"/>
      <c r="J7" s="239"/>
      <c r="K7" s="239"/>
      <c r="L7" s="240" t="s">
        <v>360</v>
      </c>
      <c r="M7" s="239"/>
    </row>
    <row r="8" spans="1:16" ht="63.75">
      <c r="A8" s="8" t="s">
        <v>47</v>
      </c>
      <c r="B8" s="9" t="s">
        <v>361</v>
      </c>
      <c r="C8" s="9" t="s">
        <v>95</v>
      </c>
      <c r="D8" s="9" t="s">
        <v>96</v>
      </c>
      <c r="E8" s="9" t="s">
        <v>362</v>
      </c>
      <c r="F8" s="9" t="s">
        <v>307</v>
      </c>
      <c r="G8" s="1"/>
      <c r="H8" s="242" t="s">
        <v>47</v>
      </c>
      <c r="I8" s="243" t="s">
        <v>361</v>
      </c>
      <c r="J8" s="243" t="s">
        <v>95</v>
      </c>
      <c r="K8" s="243" t="s">
        <v>96</v>
      </c>
      <c r="L8" s="243" t="s">
        <v>363</v>
      </c>
      <c r="M8" s="9" t="s">
        <v>40</v>
      </c>
      <c r="N8" s="1"/>
      <c r="O8" s="1"/>
      <c r="P8" s="1"/>
    </row>
    <row r="9" spans="1:13" ht="12.75">
      <c r="A9" s="8">
        <v>1</v>
      </c>
      <c r="B9" s="8">
        <v>2</v>
      </c>
      <c r="C9" s="9">
        <v>3</v>
      </c>
      <c r="D9" s="9">
        <v>4</v>
      </c>
      <c r="E9" s="9">
        <v>5</v>
      </c>
      <c r="F9" s="60"/>
      <c r="H9" s="242">
        <v>1</v>
      </c>
      <c r="I9" s="242">
        <v>2</v>
      </c>
      <c r="J9" s="243">
        <v>3</v>
      </c>
      <c r="K9" s="243">
        <v>4</v>
      </c>
      <c r="L9" s="243">
        <v>5</v>
      </c>
      <c r="M9" s="244"/>
    </row>
    <row r="10" spans="1:13" ht="12.75">
      <c r="A10" s="100" t="s">
        <v>364</v>
      </c>
      <c r="B10" s="245"/>
      <c r="C10" s="246">
        <f>SUM(C11:C24)</f>
        <v>871462409</v>
      </c>
      <c r="D10" s="246">
        <f>SUM(D11:D24)</f>
        <v>258062917.68000004</v>
      </c>
      <c r="E10" s="247">
        <f aca="true" t="shared" si="0" ref="E10:E25">IF(ISERROR(D10/C10)," ",(D10/C10))*100</f>
        <v>29.612627580359586</v>
      </c>
      <c r="F10" s="246">
        <f>SUM(F11:F24)</f>
        <v>71145164.78</v>
      </c>
      <c r="H10" s="248" t="s">
        <v>364</v>
      </c>
      <c r="I10" s="249"/>
      <c r="J10" s="188">
        <v>871462</v>
      </c>
      <c r="K10" s="246">
        <v>327415</v>
      </c>
      <c r="L10" s="250">
        <v>37.57071619253287</v>
      </c>
      <c r="M10" s="188">
        <v>69353</v>
      </c>
    </row>
    <row r="11" spans="1:13" ht="12.75">
      <c r="A11" s="251" t="s">
        <v>365</v>
      </c>
      <c r="B11" s="252">
        <v>1</v>
      </c>
      <c r="C11" s="253">
        <f>84377159+1062666+673249+1065604</f>
        <v>87178678</v>
      </c>
      <c r="D11" s="253">
        <v>25181416.55</v>
      </c>
      <c r="E11" s="247">
        <f t="shared" si="0"/>
        <v>28.88483414488116</v>
      </c>
      <c r="F11" s="253">
        <f>D11-'[4]marts'!D11</f>
        <v>6296821.150000002</v>
      </c>
      <c r="H11" s="254" t="s">
        <v>365</v>
      </c>
      <c r="I11" s="255">
        <v>1</v>
      </c>
      <c r="J11" s="200">
        <v>87179</v>
      </c>
      <c r="K11" s="200">
        <v>31758</v>
      </c>
      <c r="L11" s="213">
        <v>36.4287183501452</v>
      </c>
      <c r="M11" s="200">
        <v>6577</v>
      </c>
    </row>
    <row r="12" spans="1:13" ht="12.75">
      <c r="A12" s="60" t="s">
        <v>366</v>
      </c>
      <c r="B12" s="252">
        <v>2</v>
      </c>
      <c r="C12" s="253">
        <v>48368928</v>
      </c>
      <c r="D12" s="253">
        <v>14630152.29</v>
      </c>
      <c r="E12" s="247">
        <f t="shared" si="0"/>
        <v>30.247005453583753</v>
      </c>
      <c r="F12" s="253">
        <f>D12-'[4]marts'!D12</f>
        <v>3696714.9899999984</v>
      </c>
      <c r="H12" s="244" t="s">
        <v>366</v>
      </c>
      <c r="I12" s="255">
        <v>2</v>
      </c>
      <c r="J12" s="200">
        <v>48369</v>
      </c>
      <c r="K12" s="200">
        <v>18783</v>
      </c>
      <c r="L12" s="213">
        <v>38.83262198823178</v>
      </c>
      <c r="M12" s="200">
        <v>4153</v>
      </c>
    </row>
    <row r="13" spans="1:13" ht="12.75">
      <c r="A13" s="69" t="s">
        <v>367</v>
      </c>
      <c r="B13" s="252">
        <v>3</v>
      </c>
      <c r="C13" s="253">
        <f>114611597+89862</f>
        <v>114701459</v>
      </c>
      <c r="D13" s="253">
        <v>34484485.4</v>
      </c>
      <c r="E13" s="247">
        <f t="shared" si="0"/>
        <v>30.06455689460759</v>
      </c>
      <c r="F13" s="253">
        <f>D13-'[4]marts'!D13</f>
        <v>9175198.799999997</v>
      </c>
      <c r="H13" s="212" t="s">
        <v>367</v>
      </c>
      <c r="I13" s="255">
        <v>3</v>
      </c>
      <c r="J13" s="200">
        <v>114701</v>
      </c>
      <c r="K13" s="200">
        <v>43516</v>
      </c>
      <c r="L13" s="213">
        <v>37.93834397520611</v>
      </c>
      <c r="M13" s="200">
        <v>9032</v>
      </c>
    </row>
    <row r="14" spans="1:13" ht="12.75">
      <c r="A14" s="60" t="s">
        <v>368</v>
      </c>
      <c r="B14" s="252">
        <v>4</v>
      </c>
      <c r="C14" s="253">
        <f>95095099+612420+951120+188894</f>
        <v>96847533</v>
      </c>
      <c r="D14" s="253">
        <v>28868048.17</v>
      </c>
      <c r="E14" s="247">
        <f t="shared" si="0"/>
        <v>29.807726924752952</v>
      </c>
      <c r="F14" s="253">
        <f>D14-'[4]marts'!D14</f>
        <v>7862405.670000002</v>
      </c>
      <c r="H14" s="244" t="s">
        <v>368</v>
      </c>
      <c r="I14" s="255">
        <v>4</v>
      </c>
      <c r="J14" s="200">
        <v>96848</v>
      </c>
      <c r="K14" s="200">
        <v>36174</v>
      </c>
      <c r="L14" s="213">
        <v>37.35169145712777</v>
      </c>
      <c r="M14" s="200">
        <v>7306</v>
      </c>
    </row>
    <row r="15" spans="1:13" ht="12.75">
      <c r="A15" s="60" t="s">
        <v>369</v>
      </c>
      <c r="B15" s="252">
        <v>5</v>
      </c>
      <c r="C15" s="253">
        <f>69612995+109302</f>
        <v>69722297</v>
      </c>
      <c r="D15" s="253">
        <v>22691373.33</v>
      </c>
      <c r="E15" s="247">
        <f t="shared" si="0"/>
        <v>32.545361105931434</v>
      </c>
      <c r="F15" s="253">
        <f>D15-'[4]marts'!D15</f>
        <v>7657822.329999998</v>
      </c>
      <c r="H15" s="244" t="s">
        <v>369</v>
      </c>
      <c r="I15" s="255">
        <v>5</v>
      </c>
      <c r="J15" s="200">
        <v>69722</v>
      </c>
      <c r="K15" s="200">
        <v>29504</v>
      </c>
      <c r="L15" s="213">
        <v>42.31635763520528</v>
      </c>
      <c r="M15" s="200">
        <v>6813</v>
      </c>
    </row>
    <row r="16" spans="1:13" ht="12.75">
      <c r="A16" s="69" t="s">
        <v>370</v>
      </c>
      <c r="B16" s="252">
        <v>6</v>
      </c>
      <c r="C16" s="253">
        <v>81822152</v>
      </c>
      <c r="D16" s="253">
        <v>27171493.02</v>
      </c>
      <c r="E16" s="247">
        <f t="shared" si="0"/>
        <v>33.20799118067684</v>
      </c>
      <c r="F16" s="253">
        <f>D16-'[4]marts'!D16</f>
        <v>6777157.52</v>
      </c>
      <c r="H16" s="212" t="s">
        <v>370</v>
      </c>
      <c r="I16" s="255">
        <v>6</v>
      </c>
      <c r="J16" s="200">
        <v>81822</v>
      </c>
      <c r="K16" s="200">
        <v>34011</v>
      </c>
      <c r="L16" s="213">
        <v>41.566447286793434</v>
      </c>
      <c r="M16" s="200">
        <v>6840</v>
      </c>
    </row>
    <row r="17" spans="1:13" ht="25.5">
      <c r="A17" s="69" t="s">
        <v>371</v>
      </c>
      <c r="B17" s="252">
        <v>7</v>
      </c>
      <c r="C17" s="253">
        <f>10701593+1353550</f>
        <v>12055143</v>
      </c>
      <c r="D17" s="253">
        <v>2325292</v>
      </c>
      <c r="E17" s="247">
        <f t="shared" si="0"/>
        <v>19.288796491256885</v>
      </c>
      <c r="F17" s="253">
        <f>D17-'[4]marts'!D17</f>
        <v>652289.7</v>
      </c>
      <c r="H17" s="212" t="s">
        <v>371</v>
      </c>
      <c r="I17" s="255">
        <v>7</v>
      </c>
      <c r="J17" s="200">
        <v>12055</v>
      </c>
      <c r="K17" s="200">
        <v>3273</v>
      </c>
      <c r="L17" s="213">
        <v>27.154122435544732</v>
      </c>
      <c r="M17" s="200">
        <v>948</v>
      </c>
    </row>
    <row r="18" spans="1:13" ht="12.75">
      <c r="A18" s="60" t="s">
        <v>372</v>
      </c>
      <c r="B18" s="252">
        <v>8</v>
      </c>
      <c r="C18" s="253">
        <v>22888050</v>
      </c>
      <c r="D18" s="253">
        <v>7546513.82</v>
      </c>
      <c r="E18" s="247">
        <f t="shared" si="0"/>
        <v>32.971414428053066</v>
      </c>
      <c r="F18" s="253">
        <f>D18-'[4]marts'!D18</f>
        <v>1882894.92</v>
      </c>
      <c r="H18" s="244" t="s">
        <v>372</v>
      </c>
      <c r="I18" s="255">
        <v>8</v>
      </c>
      <c r="J18" s="200">
        <v>22888</v>
      </c>
      <c r="K18" s="200">
        <v>9483</v>
      </c>
      <c r="L18" s="213">
        <v>41.43368985125426</v>
      </c>
      <c r="M18" s="200">
        <v>1936</v>
      </c>
    </row>
    <row r="19" spans="1:13" ht="12.75">
      <c r="A19" s="69" t="s">
        <v>373</v>
      </c>
      <c r="B19" s="252">
        <v>9</v>
      </c>
      <c r="C19" s="253">
        <v>202127</v>
      </c>
      <c r="D19" s="253">
        <v>58546.59</v>
      </c>
      <c r="E19" s="247">
        <f t="shared" si="0"/>
        <v>28.96524957081439</v>
      </c>
      <c r="F19" s="253">
        <f>D19-'[4]marts'!D19</f>
        <v>14362.989999999998</v>
      </c>
      <c r="H19" s="212" t="s">
        <v>373</v>
      </c>
      <c r="I19" s="255">
        <v>9</v>
      </c>
      <c r="J19" s="200">
        <v>202</v>
      </c>
      <c r="K19" s="200">
        <v>73</v>
      </c>
      <c r="L19" s="213">
        <v>36.27461447505776</v>
      </c>
      <c r="M19" s="200">
        <v>14</v>
      </c>
    </row>
    <row r="20" spans="1:13" ht="25.5">
      <c r="A20" s="69" t="s">
        <v>374</v>
      </c>
      <c r="B20" s="252">
        <v>10</v>
      </c>
      <c r="C20" s="253">
        <f>79963495+713839</f>
        <v>80677334</v>
      </c>
      <c r="D20" s="253">
        <v>18689678.44</v>
      </c>
      <c r="E20" s="247">
        <f t="shared" si="0"/>
        <v>23.165959400691154</v>
      </c>
      <c r="F20" s="253">
        <f>D20-'[4]marts'!D20</f>
        <v>4640259.440000001</v>
      </c>
      <c r="G20" s="256"/>
      <c r="H20" s="212" t="s">
        <v>374</v>
      </c>
      <c r="I20" s="255">
        <v>10</v>
      </c>
      <c r="J20" s="200">
        <v>80677</v>
      </c>
      <c r="K20" s="200">
        <v>23849</v>
      </c>
      <c r="L20" s="213">
        <v>29.560611571522678</v>
      </c>
      <c r="M20" s="200">
        <v>5159</v>
      </c>
    </row>
    <row r="21" spans="1:13" ht="25.5">
      <c r="A21" s="69" t="s">
        <v>375</v>
      </c>
      <c r="B21" s="252">
        <v>11</v>
      </c>
      <c r="C21" s="253">
        <v>866523</v>
      </c>
      <c r="D21" s="253">
        <v>257478.33</v>
      </c>
      <c r="E21" s="247">
        <f t="shared" si="0"/>
        <v>29.713963737835</v>
      </c>
      <c r="F21" s="253">
        <f>D21-'[4]marts'!D21</f>
        <v>86146.12999999998</v>
      </c>
      <c r="H21" s="212" t="s">
        <v>375</v>
      </c>
      <c r="I21" s="255">
        <v>11</v>
      </c>
      <c r="J21" s="200">
        <v>867</v>
      </c>
      <c r="K21" s="200">
        <v>328</v>
      </c>
      <c r="L21" s="213">
        <v>37.744574581401764</v>
      </c>
      <c r="M21" s="200">
        <v>70</v>
      </c>
    </row>
    <row r="22" spans="1:13" ht="12.75">
      <c r="A22" s="60" t="s">
        <v>376</v>
      </c>
      <c r="B22" s="252">
        <v>12</v>
      </c>
      <c r="C22" s="253">
        <f>17685677+158332</f>
        <v>17844009</v>
      </c>
      <c r="D22" s="253">
        <v>2338678.74</v>
      </c>
      <c r="E22" s="247">
        <f t="shared" si="0"/>
        <v>13.106240531485946</v>
      </c>
      <c r="F22" s="253">
        <f>D22-'[4]marts'!D22</f>
        <v>657367.8400000003</v>
      </c>
      <c r="H22" s="244" t="s">
        <v>376</v>
      </c>
      <c r="I22" s="255">
        <v>12</v>
      </c>
      <c r="J22" s="200">
        <v>17844</v>
      </c>
      <c r="K22" s="200">
        <v>4133</v>
      </c>
      <c r="L22" s="213">
        <v>23.16160656498212</v>
      </c>
      <c r="M22" s="200">
        <v>1794</v>
      </c>
    </row>
    <row r="23" spans="1:13" ht="12.75">
      <c r="A23" s="60" t="s">
        <v>377</v>
      </c>
      <c r="B23" s="252">
        <v>13</v>
      </c>
      <c r="C23" s="253">
        <f>24501923+3579879</f>
        <v>28081802</v>
      </c>
      <c r="D23" s="253">
        <v>5379407.15</v>
      </c>
      <c r="E23" s="247">
        <f t="shared" si="0"/>
        <v>19.156203544202754</v>
      </c>
      <c r="F23" s="253">
        <f>D23-'[4]marts'!D23</f>
        <v>1655588.4500000002</v>
      </c>
      <c r="H23" s="244" t="s">
        <v>377</v>
      </c>
      <c r="I23" s="255">
        <v>13</v>
      </c>
      <c r="J23" s="200">
        <v>28082</v>
      </c>
      <c r="K23" s="200">
        <v>6766</v>
      </c>
      <c r="L23" s="213">
        <v>24.09409154013692</v>
      </c>
      <c r="M23" s="200">
        <v>1387</v>
      </c>
    </row>
    <row r="24" spans="1:13" ht="12.75">
      <c r="A24" s="69" t="s">
        <v>378</v>
      </c>
      <c r="B24" s="252">
        <v>14</v>
      </c>
      <c r="C24" s="253">
        <v>210206374</v>
      </c>
      <c r="D24" s="253">
        <f>48499699.85+D25</f>
        <v>68440353.85</v>
      </c>
      <c r="E24" s="247">
        <f t="shared" si="0"/>
        <v>32.55864822158057</v>
      </c>
      <c r="F24" s="253">
        <f>D24-'[4]marts'!D24</f>
        <v>20090134.849999994</v>
      </c>
      <c r="H24" s="212" t="s">
        <v>378</v>
      </c>
      <c r="I24" s="255">
        <v>14</v>
      </c>
      <c r="J24" s="200">
        <v>210206</v>
      </c>
      <c r="K24" s="200">
        <v>85764</v>
      </c>
      <c r="L24" s="213">
        <v>40.800000027591935</v>
      </c>
      <c r="M24" s="200">
        <v>17324</v>
      </c>
    </row>
    <row r="25" spans="1:13" ht="12.75">
      <c r="A25" s="60" t="s">
        <v>379</v>
      </c>
      <c r="B25" s="258"/>
      <c r="C25" s="259">
        <v>48898920</v>
      </c>
      <c r="D25" s="259">
        <v>19940654</v>
      </c>
      <c r="E25" s="247">
        <f t="shared" si="0"/>
        <v>40.779334185703895</v>
      </c>
      <c r="F25" s="253">
        <f>D25-'[4]marts'!D25</f>
        <v>7308235</v>
      </c>
      <c r="H25" s="244" t="s">
        <v>379</v>
      </c>
      <c r="I25" s="260"/>
      <c r="J25" s="200">
        <v>48899</v>
      </c>
      <c r="K25" s="200">
        <v>17214</v>
      </c>
      <c r="L25" s="213">
        <v>35.20317831150463</v>
      </c>
      <c r="M25" s="200">
        <v>-2727</v>
      </c>
    </row>
    <row r="26" spans="2:13" ht="12.75">
      <c r="B26" s="39"/>
      <c r="C26" s="47"/>
      <c r="D26" s="47"/>
      <c r="E26" s="261"/>
      <c r="H26" s="239"/>
      <c r="I26" s="241"/>
      <c r="J26" s="262"/>
      <c r="K26" s="262"/>
      <c r="L26" s="263"/>
      <c r="M26" s="239"/>
    </row>
    <row r="27" spans="2:13" ht="12.75">
      <c r="B27" s="39"/>
      <c r="C27" s="47"/>
      <c r="D27" s="47"/>
      <c r="E27" s="261"/>
      <c r="H27" s="239"/>
      <c r="I27" s="241"/>
      <c r="J27" s="262"/>
      <c r="K27" s="262"/>
      <c r="L27" s="263"/>
      <c r="M27" s="239"/>
    </row>
    <row r="28" spans="2:13" ht="12.75">
      <c r="B28" s="39"/>
      <c r="C28" s="47"/>
      <c r="D28" s="47"/>
      <c r="E28" s="261"/>
      <c r="H28" s="239"/>
      <c r="I28" s="241"/>
      <c r="J28" s="262"/>
      <c r="K28" s="262"/>
      <c r="L28" s="263"/>
      <c r="M28" s="239"/>
    </row>
    <row r="29" spans="1:13" ht="12.75">
      <c r="A29" s="41" t="s">
        <v>380</v>
      </c>
      <c r="B29" s="39"/>
      <c r="C29" s="39"/>
      <c r="D29" s="39"/>
      <c r="E29" s="1"/>
      <c r="F29" s="49" t="s">
        <v>381</v>
      </c>
      <c r="H29" s="88" t="s">
        <v>21</v>
      </c>
      <c r="I29" s="52"/>
      <c r="J29" s="89"/>
      <c r="L29" s="241"/>
      <c r="M29" s="239"/>
    </row>
    <row r="30" spans="2:13" ht="12.75">
      <c r="B30" s="39"/>
      <c r="C30" s="47"/>
      <c r="D30" s="47"/>
      <c r="E30" s="261"/>
      <c r="H30" s="88"/>
      <c r="I30" s="52"/>
      <c r="J30" s="89"/>
      <c r="K30" s="89"/>
      <c r="L30" s="239"/>
      <c r="M30" s="239"/>
    </row>
    <row r="31" spans="2:13" ht="12.75">
      <c r="B31" s="39"/>
      <c r="C31" s="47"/>
      <c r="D31" s="47"/>
      <c r="E31" s="261"/>
      <c r="H31" s="1"/>
      <c r="I31" s="50"/>
      <c r="L31" s="239"/>
      <c r="M31" s="239"/>
    </row>
    <row r="32" spans="2:13" ht="12.75">
      <c r="B32" s="39"/>
      <c r="D32" s="47"/>
      <c r="E32" s="261"/>
      <c r="G32" s="39"/>
      <c r="H32" s="1"/>
      <c r="I32" s="50"/>
      <c r="J32" s="38"/>
      <c r="K32" s="38"/>
      <c r="L32" s="239"/>
      <c r="M32" s="239"/>
    </row>
    <row r="33" spans="2:13" ht="12.75">
      <c r="B33" s="39"/>
      <c r="C33" s="47"/>
      <c r="D33" s="47"/>
      <c r="E33" s="261"/>
      <c r="H33"/>
      <c r="I33" s="50"/>
      <c r="L33" s="239"/>
      <c r="M33" s="239"/>
    </row>
    <row r="34" spans="2:13" ht="12.75">
      <c r="B34" s="39"/>
      <c r="C34" s="47"/>
      <c r="D34" s="47"/>
      <c r="E34" s="261"/>
      <c r="H34"/>
      <c r="I34" s="50"/>
      <c r="L34" s="239"/>
      <c r="M34" s="239"/>
    </row>
    <row r="35" spans="4:13" ht="12.75">
      <c r="D35" s="47"/>
      <c r="E35" s="261"/>
      <c r="H35"/>
      <c r="I35"/>
      <c r="J35"/>
      <c r="L35" s="239"/>
      <c r="M35" s="239"/>
    </row>
    <row r="36" spans="2:13" ht="12.75">
      <c r="B36" s="39"/>
      <c r="C36" s="47"/>
      <c r="D36" s="47"/>
      <c r="E36" s="261"/>
      <c r="H36"/>
      <c r="I36" s="52"/>
      <c r="J36" s="89"/>
      <c r="L36" s="239"/>
      <c r="M36" s="239"/>
    </row>
    <row r="37" spans="3:13" ht="12.75">
      <c r="C37" s="47"/>
      <c r="D37" s="47"/>
      <c r="E37" s="261"/>
      <c r="H37" s="1" t="s">
        <v>171</v>
      </c>
      <c r="I37" s="50"/>
      <c r="L37" s="239"/>
      <c r="M37" s="239"/>
    </row>
    <row r="38" spans="3:13" ht="12.75">
      <c r="C38" s="47"/>
      <c r="D38" s="47"/>
      <c r="E38" s="261"/>
      <c r="H38" s="1" t="s">
        <v>19</v>
      </c>
      <c r="I38" s="50"/>
      <c r="L38" s="239"/>
      <c r="M38" s="239"/>
    </row>
    <row r="39" spans="3:13" ht="12.75">
      <c r="C39" s="47"/>
      <c r="D39" s="47"/>
      <c r="E39" s="261"/>
      <c r="H39" s="239"/>
      <c r="I39" s="239"/>
      <c r="J39" s="239"/>
      <c r="K39" s="239"/>
      <c r="L39" s="239"/>
      <c r="M39" s="239"/>
    </row>
    <row r="40" spans="1:13" ht="12.75">
      <c r="A40" s="38"/>
      <c r="C40" s="47"/>
      <c r="D40" s="47"/>
      <c r="E40" s="261"/>
      <c r="H40" s="239"/>
      <c r="I40" s="239"/>
      <c r="J40" s="239"/>
      <c r="K40" s="239"/>
      <c r="L40" s="239"/>
      <c r="M40" s="239"/>
    </row>
    <row r="41" spans="1:13" ht="12.75">
      <c r="A41" s="38"/>
      <c r="C41" s="47"/>
      <c r="D41" s="47"/>
      <c r="E41" s="261"/>
      <c r="H41" s="239"/>
      <c r="I41" s="239"/>
      <c r="J41" s="239"/>
      <c r="K41" s="239"/>
      <c r="L41" s="239"/>
      <c r="M41" s="239"/>
    </row>
    <row r="42" spans="3:13" ht="12.75">
      <c r="C42" s="47"/>
      <c r="D42" s="47"/>
      <c r="E42" s="261"/>
      <c r="H42" s="239"/>
      <c r="I42" s="239"/>
      <c r="J42" s="239"/>
      <c r="K42" s="239"/>
      <c r="L42" s="239"/>
      <c r="M42" s="239"/>
    </row>
    <row r="43" spans="3:5" ht="12.75">
      <c r="C43" s="47"/>
      <c r="D43" s="47"/>
      <c r="E43" s="261"/>
    </row>
    <row r="44" spans="3:5" ht="12.75">
      <c r="C44" s="47"/>
      <c r="D44" s="47"/>
      <c r="E44" s="261"/>
    </row>
    <row r="45" spans="3:5" ht="12.75">
      <c r="C45" s="47"/>
      <c r="D45" s="47"/>
      <c r="E45" s="261"/>
    </row>
    <row r="46" spans="2:4" ht="12.75">
      <c r="B46" s="47"/>
      <c r="C46" s="47"/>
      <c r="D46" s="261"/>
    </row>
    <row r="47" spans="2:4" ht="12.75">
      <c r="B47" s="47"/>
      <c r="C47" s="47"/>
      <c r="D47" s="261"/>
    </row>
    <row r="48" spans="2:4" ht="12.75">
      <c r="B48" s="47"/>
      <c r="C48" s="47"/>
      <c r="D48" s="261"/>
    </row>
    <row r="49" spans="2:4" ht="12.75">
      <c r="B49" s="47"/>
      <c r="C49" s="47"/>
      <c r="D49" s="261"/>
    </row>
    <row r="50" spans="2:4" ht="12.75">
      <c r="B50" s="47"/>
      <c r="C50" s="47"/>
      <c r="D50" s="261"/>
    </row>
    <row r="51" spans="2:4" ht="12.75">
      <c r="B51" s="47"/>
      <c r="C51" s="47"/>
      <c r="D51" s="261"/>
    </row>
    <row r="52" spans="2:4" ht="12.75">
      <c r="B52" s="47"/>
      <c r="D52" s="261"/>
    </row>
    <row r="53" spans="2:4" ht="12.75">
      <c r="B53" s="47"/>
      <c r="D53" s="261"/>
    </row>
    <row r="54" spans="2:4" ht="12.75">
      <c r="B54" s="47"/>
      <c r="D54" s="261"/>
    </row>
    <row r="55" spans="2:4" ht="12.75">
      <c r="B55" s="47"/>
      <c r="D55" s="261"/>
    </row>
    <row r="56" spans="2:4" ht="12.75">
      <c r="B56" s="47"/>
      <c r="D56" s="261"/>
    </row>
    <row r="57" spans="2:4" ht="12.75">
      <c r="B57" s="47"/>
      <c r="D57" s="261"/>
    </row>
    <row r="58" spans="2:4" ht="12.75">
      <c r="B58" s="47"/>
      <c r="D58" s="261"/>
    </row>
    <row r="59" spans="2:4" ht="12.75">
      <c r="B59" s="47"/>
      <c r="D59" s="261"/>
    </row>
    <row r="60" spans="2:4" ht="12.75">
      <c r="B60" s="47"/>
      <c r="D60" s="261"/>
    </row>
    <row r="61" spans="2:4" ht="12.75">
      <c r="B61" s="47"/>
      <c r="D61" s="261"/>
    </row>
    <row r="62" spans="2:4" ht="12.75">
      <c r="B62" s="47"/>
      <c r="D62" s="261"/>
    </row>
    <row r="63" spans="2:4" ht="12.75">
      <c r="B63" s="47"/>
      <c r="D63" s="261"/>
    </row>
    <row r="64" spans="2:4" ht="12.75">
      <c r="B64" s="47"/>
      <c r="D64" s="261"/>
    </row>
    <row r="65" spans="2:4" ht="12.75">
      <c r="B65" s="47"/>
      <c r="D65" s="261"/>
    </row>
    <row r="66" spans="2:4" ht="12.75">
      <c r="B66" s="47"/>
      <c r="D66" s="261"/>
    </row>
    <row r="67" spans="2:4" ht="12.75">
      <c r="B67" s="47"/>
      <c r="D67" s="261"/>
    </row>
    <row r="68" spans="2:4" ht="12.75">
      <c r="B68" s="47"/>
      <c r="D68" s="261"/>
    </row>
    <row r="69" spans="2:4" ht="12.75">
      <c r="B69" s="47"/>
      <c r="D69" s="261"/>
    </row>
    <row r="70" spans="2:4" ht="12.75">
      <c r="B70" s="47"/>
      <c r="D70" s="261"/>
    </row>
    <row r="71" spans="2:4" ht="12.75">
      <c r="B71" s="47"/>
      <c r="D71" s="261"/>
    </row>
    <row r="72" spans="2:4" ht="12.75">
      <c r="B72" s="47"/>
      <c r="D72" s="261"/>
    </row>
    <row r="73" spans="2:4" ht="12.75">
      <c r="B73" s="47"/>
      <c r="D73" s="261"/>
    </row>
    <row r="74" spans="2:4" ht="12.75">
      <c r="B74" s="47"/>
      <c r="D74" s="261"/>
    </row>
    <row r="75" spans="2:4" ht="12.75">
      <c r="B75" s="47"/>
      <c r="D75" s="261"/>
    </row>
    <row r="76" spans="2:4" ht="12.75">
      <c r="B76" s="47"/>
      <c r="D76" s="261"/>
    </row>
    <row r="77" spans="2:4" ht="12.75">
      <c r="B77" s="47"/>
      <c r="D77" s="261"/>
    </row>
    <row r="78" spans="2:4" ht="12.75">
      <c r="B78" s="47"/>
      <c r="D78" s="261"/>
    </row>
    <row r="79" spans="2:4" ht="12.75">
      <c r="B79" s="47"/>
      <c r="D79" s="261"/>
    </row>
    <row r="80" spans="2:4" ht="12.75">
      <c r="B80" s="47"/>
      <c r="D80" s="261"/>
    </row>
    <row r="81" spans="2:4" ht="12.75">
      <c r="B81" s="47"/>
      <c r="D81" s="261"/>
    </row>
    <row r="82" spans="2:4" ht="12.75">
      <c r="B82" s="47"/>
      <c r="D82" s="261"/>
    </row>
    <row r="83" spans="2:4" ht="12.75">
      <c r="B83" s="47"/>
      <c r="D83" s="261"/>
    </row>
    <row r="84" spans="2:4" ht="12.75">
      <c r="B84" s="47"/>
      <c r="D84" s="261"/>
    </row>
    <row r="85" spans="2:4" ht="12.75">
      <c r="B85" s="47"/>
      <c r="D85" s="261"/>
    </row>
    <row r="86" spans="2:4" ht="12.75">
      <c r="B86" s="47"/>
      <c r="D86" s="261"/>
    </row>
    <row r="87" spans="2:4" ht="12.75">
      <c r="B87" s="47"/>
      <c r="D87" s="261"/>
    </row>
    <row r="88" spans="2:4" ht="12.75">
      <c r="B88" s="47"/>
      <c r="D88" s="261"/>
    </row>
    <row r="89" spans="2:4" ht="12.75">
      <c r="B89" s="47"/>
      <c r="D89" s="261"/>
    </row>
    <row r="90" spans="2:4" ht="12.75">
      <c r="B90" s="47"/>
      <c r="D90" s="261"/>
    </row>
    <row r="91" spans="2:4" ht="12.75">
      <c r="B91" s="47"/>
      <c r="D91" s="261"/>
    </row>
    <row r="92" spans="2:4" ht="12.75">
      <c r="B92" s="47"/>
      <c r="D92" s="261"/>
    </row>
    <row r="93" spans="2:4" ht="12.75">
      <c r="B93" s="47"/>
      <c r="D93" s="261"/>
    </row>
    <row r="94" spans="2:4" ht="12.75">
      <c r="B94" s="47"/>
      <c r="D94" s="261"/>
    </row>
    <row r="95" spans="2:4" ht="12.75">
      <c r="B95" s="47"/>
      <c r="D95" s="261"/>
    </row>
    <row r="96" spans="2:4" ht="12.75">
      <c r="B96" s="47"/>
      <c r="D96" s="261"/>
    </row>
    <row r="97" spans="2:4" ht="12.75">
      <c r="B97" s="47"/>
      <c r="D97" s="261"/>
    </row>
    <row r="98" spans="2:4" ht="12.75">
      <c r="B98" s="47"/>
      <c r="D98" s="261"/>
    </row>
    <row r="99" ht="12.75">
      <c r="B99" s="47"/>
    </row>
    <row r="100" ht="12.75">
      <c r="B100" s="47"/>
    </row>
    <row r="101" ht="12.75">
      <c r="B101" s="47"/>
    </row>
    <row r="102" ht="12.75">
      <c r="B102" s="47"/>
    </row>
    <row r="103" ht="12.75">
      <c r="B103" s="47"/>
    </row>
    <row r="104" ht="12.75">
      <c r="B104" s="47"/>
    </row>
    <row r="105" ht="12.75">
      <c r="B105" s="47"/>
    </row>
    <row r="106" ht="12.75">
      <c r="B106" s="47"/>
    </row>
    <row r="107" ht="12.75">
      <c r="B107" s="47"/>
    </row>
  </sheetData>
  <mergeCells count="6">
    <mergeCell ref="A5:E5"/>
    <mergeCell ref="H5:L5"/>
    <mergeCell ref="A2:E2"/>
    <mergeCell ref="H2:L2"/>
    <mergeCell ref="A4:E4"/>
    <mergeCell ref="H4:L4"/>
  </mergeCells>
  <printOptions/>
  <pageMargins left="0.75" right="0.27" top="1" bottom="1" header="0.5" footer="0.5"/>
  <pageSetup firstPageNumber="15" useFirstPageNumber="1" horizontalDpi="600" verticalDpi="600" orientation="portrait" paperSize="9" r:id="rId1"/>
  <headerFooter alignWithMargins="0">
    <oddFooter>&amp;R&amp;9&amp;P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05"/>
  <sheetViews>
    <sheetView tabSelected="1" workbookViewId="0" topLeftCell="G1">
      <selection activeCell="R12" sqref="R12"/>
    </sheetView>
  </sheetViews>
  <sheetFormatPr defaultColWidth="9.140625" defaultRowHeight="17.25" customHeight="1"/>
  <cols>
    <col min="1" max="1" width="40.57421875" style="49" hidden="1" customWidth="1"/>
    <col min="2" max="2" width="13.421875" style="49" hidden="1" customWidth="1"/>
    <col min="3" max="3" width="15.00390625" style="49" hidden="1" customWidth="1"/>
    <col min="4" max="4" width="13.140625" style="49" hidden="1" customWidth="1"/>
    <col min="5" max="5" width="8.28125" style="264" hidden="1" customWidth="1"/>
    <col min="6" max="6" width="0.5625" style="49" hidden="1" customWidth="1"/>
    <col min="7" max="7" width="40.57421875" style="49" customWidth="1"/>
    <col min="8" max="8" width="11.7109375" style="49" customWidth="1"/>
    <col min="9" max="9" width="12.421875" style="49" customWidth="1"/>
    <col min="10" max="10" width="13.140625" style="49" customWidth="1"/>
    <col min="11" max="11" width="8.28125" style="266" customWidth="1"/>
    <col min="12" max="12" width="11.57421875" style="49" customWidth="1"/>
    <col min="13" max="13" width="9.140625" style="0" hidden="1" customWidth="1"/>
    <col min="14" max="16" width="9.140625" style="191" hidden="1" customWidth="1"/>
  </cols>
  <sheetData>
    <row r="1" spans="6:12" ht="17.25" customHeight="1">
      <c r="F1" s="265" t="s">
        <v>382</v>
      </c>
      <c r="L1" s="265" t="s">
        <v>382</v>
      </c>
    </row>
    <row r="2" spans="1:12" ht="17.25" customHeight="1">
      <c r="A2" s="767" t="s">
        <v>383</v>
      </c>
      <c r="B2" s="767"/>
      <c r="C2" s="767"/>
      <c r="D2" s="767"/>
      <c r="E2" s="767"/>
      <c r="F2" s="767"/>
      <c r="G2" s="768" t="s">
        <v>92</v>
      </c>
      <c r="H2" s="768"/>
      <c r="I2" s="768"/>
      <c r="J2" s="768"/>
      <c r="K2" s="768"/>
      <c r="L2" s="768"/>
    </row>
    <row r="4" spans="1:12" ht="17.25" customHeight="1">
      <c r="A4" s="769" t="s">
        <v>384</v>
      </c>
      <c r="B4" s="769"/>
      <c r="C4" s="769"/>
      <c r="D4" s="769"/>
      <c r="E4" s="769"/>
      <c r="F4" s="769"/>
      <c r="G4" s="770" t="s">
        <v>384</v>
      </c>
      <c r="H4" s="770"/>
      <c r="I4" s="770"/>
      <c r="J4" s="770"/>
      <c r="K4" s="770"/>
      <c r="L4" s="770"/>
    </row>
    <row r="5" spans="1:12" ht="15" customHeight="1">
      <c r="A5" s="771" t="s">
        <v>221</v>
      </c>
      <c r="B5" s="771"/>
      <c r="C5" s="771"/>
      <c r="D5" s="771"/>
      <c r="E5" s="771"/>
      <c r="F5" s="771"/>
      <c r="G5" s="772" t="s">
        <v>28</v>
      </c>
      <c r="H5" s="772"/>
      <c r="I5" s="772"/>
      <c r="J5" s="772"/>
      <c r="K5" s="772"/>
      <c r="L5" s="772"/>
    </row>
    <row r="6" spans="1:12" ht="7.5" customHeight="1">
      <c r="A6" s="267"/>
      <c r="B6" s="267"/>
      <c r="C6" s="267"/>
      <c r="D6" s="267"/>
      <c r="E6" s="268"/>
      <c r="F6" s="267"/>
      <c r="G6" s="267"/>
      <c r="H6" s="267"/>
      <c r="I6" s="267"/>
      <c r="J6" s="267"/>
      <c r="K6" s="269"/>
      <c r="L6" s="267"/>
    </row>
    <row r="7" spans="6:12" ht="12.75">
      <c r="F7" s="270" t="s">
        <v>385</v>
      </c>
      <c r="L7" s="270" t="s">
        <v>386</v>
      </c>
    </row>
    <row r="8" spans="1:14" ht="47.25" customHeight="1">
      <c r="A8" s="271" t="s">
        <v>47</v>
      </c>
      <c r="B8" s="271" t="s">
        <v>95</v>
      </c>
      <c r="C8" s="271" t="s">
        <v>387</v>
      </c>
      <c r="D8" s="271" t="s">
        <v>96</v>
      </c>
      <c r="E8" s="272" t="s">
        <v>388</v>
      </c>
      <c r="F8" s="273" t="s">
        <v>307</v>
      </c>
      <c r="G8" s="271" t="s">
        <v>47</v>
      </c>
      <c r="H8" s="271" t="s">
        <v>95</v>
      </c>
      <c r="I8" s="271" t="s">
        <v>387</v>
      </c>
      <c r="J8" s="271" t="s">
        <v>96</v>
      </c>
      <c r="K8" s="274" t="s">
        <v>388</v>
      </c>
      <c r="L8" s="9" t="s">
        <v>40</v>
      </c>
      <c r="N8" s="191" t="s">
        <v>389</v>
      </c>
    </row>
    <row r="9" spans="1:12" ht="12.75">
      <c r="A9" s="275">
        <v>1</v>
      </c>
      <c r="B9" s="258">
        <v>2</v>
      </c>
      <c r="C9" s="276">
        <v>3</v>
      </c>
      <c r="D9" s="276">
        <v>4</v>
      </c>
      <c r="E9" s="277">
        <v>5</v>
      </c>
      <c r="F9" s="275">
        <v>6</v>
      </c>
      <c r="G9" s="275">
        <v>1</v>
      </c>
      <c r="H9" s="258">
        <v>2</v>
      </c>
      <c r="I9" s="276">
        <v>3</v>
      </c>
      <c r="J9" s="276">
        <v>4</v>
      </c>
      <c r="K9" s="276">
        <v>5</v>
      </c>
      <c r="L9" s="275">
        <v>6</v>
      </c>
    </row>
    <row r="10" spans="1:16" ht="12.75" customHeight="1">
      <c r="A10" s="251" t="s">
        <v>390</v>
      </c>
      <c r="B10" s="98">
        <f>SUM(B20,B27,B39,B44,B50,B57,B69,B77,B89,B95,B102,B114,B169,B178,B184)</f>
        <v>725518701</v>
      </c>
      <c r="C10" s="98">
        <f>SUM(C20,C27,C39,C44,C50,C57,C69,C77,C89,C95,C102,C114,C169,C178,C184)</f>
        <v>227781445</v>
      </c>
      <c r="D10" s="98">
        <f>SUM(D20,D27,D39,D44,D50,D57,D69,D77,D89,D95,D102,D114,D169,D178,D184)</f>
        <v>222646943</v>
      </c>
      <c r="E10" s="278">
        <f aca="true" t="shared" si="0" ref="E10:E17">D10/B10*100</f>
        <v>30.687967476664674</v>
      </c>
      <c r="F10" s="98">
        <f>SUM(F20,F27,F39,F44,F50,F57,F69,F77,F89,F95,F102,F114,F169,F178,F184)</f>
        <v>58460267</v>
      </c>
      <c r="G10" s="251" t="s">
        <v>390</v>
      </c>
      <c r="H10" s="98">
        <v>725519</v>
      </c>
      <c r="I10" s="98">
        <v>290053</v>
      </c>
      <c r="J10" s="98">
        <v>287363</v>
      </c>
      <c r="K10" s="279">
        <v>39.60792205304065</v>
      </c>
      <c r="L10" s="133">
        <v>64715</v>
      </c>
      <c r="N10" s="191">
        <f aca="true" t="shared" si="1" ref="N10:N25">J10</f>
        <v>287363</v>
      </c>
      <c r="O10" s="191">
        <v>164186</v>
      </c>
      <c r="P10" s="191">
        <f aca="true" t="shared" si="2" ref="P10:P73">N10-O10</f>
        <v>123177</v>
      </c>
    </row>
    <row r="11" spans="1:16" ht="12.75" customHeight="1">
      <c r="A11" s="251" t="s">
        <v>364</v>
      </c>
      <c r="B11" s="98">
        <f>B12+B14</f>
        <v>765146600</v>
      </c>
      <c r="C11" s="98">
        <f>C12+C14</f>
        <v>257823798</v>
      </c>
      <c r="D11" s="98">
        <f>D12+D14</f>
        <v>236965769</v>
      </c>
      <c r="E11" s="278">
        <f t="shared" si="0"/>
        <v>30.969982615096242</v>
      </c>
      <c r="F11" s="98" t="e">
        <f>F12+F14</f>
        <v>#REF!</v>
      </c>
      <c r="G11" s="32" t="s">
        <v>364</v>
      </c>
      <c r="H11" s="98">
        <v>765147</v>
      </c>
      <c r="I11" s="98">
        <v>322360</v>
      </c>
      <c r="J11" s="280">
        <v>297746</v>
      </c>
      <c r="K11" s="96">
        <v>38.9135682424423</v>
      </c>
      <c r="L11" s="98">
        <v>60781</v>
      </c>
      <c r="N11" s="191">
        <f t="shared" si="1"/>
        <v>297746</v>
      </c>
      <c r="O11" s="191">
        <v>172170</v>
      </c>
      <c r="P11" s="191">
        <f t="shared" si="2"/>
        <v>125576</v>
      </c>
    </row>
    <row r="12" spans="1:16" ht="12.75" customHeight="1">
      <c r="A12" s="251" t="s">
        <v>391</v>
      </c>
      <c r="B12" s="253">
        <f>SUM(B23,B37,B42,B53,B61,B73,B83,B92,B98,B108,B119,B174,B182,B187)</f>
        <v>731908893</v>
      </c>
      <c r="C12" s="253">
        <f>SUM(C23,C37,C42,C53,C61,C73,C83,C92,C98,C108,C119,C174,C182,C187)</f>
        <v>247881372</v>
      </c>
      <c r="D12" s="253">
        <f>SUM(D23,D37,D42,D53,D61,D73,D83,D92,D98,D108,D119,D174,D182,D187)</f>
        <v>231484569</v>
      </c>
      <c r="E12" s="281">
        <f t="shared" si="0"/>
        <v>31.62751145858806</v>
      </c>
      <c r="F12" s="253" t="e">
        <f>SUM(F23,F37,F42,F53,F61,F73,F83,F92,F98,F108,F119,F174,F182,F187)</f>
        <v>#REF!</v>
      </c>
      <c r="G12" s="251" t="s">
        <v>391</v>
      </c>
      <c r="H12" s="282">
        <v>731909</v>
      </c>
      <c r="I12" s="283">
        <v>309876</v>
      </c>
      <c r="J12" s="284">
        <v>291108</v>
      </c>
      <c r="K12" s="285">
        <v>39.773797015749224</v>
      </c>
      <c r="L12" s="253">
        <v>59624</v>
      </c>
      <c r="N12" s="191">
        <f t="shared" si="1"/>
        <v>291108</v>
      </c>
      <c r="O12" s="191">
        <v>167405</v>
      </c>
      <c r="P12" s="191">
        <f t="shared" si="2"/>
        <v>123703</v>
      </c>
    </row>
    <row r="13" spans="1:16" ht="12.75" customHeight="1">
      <c r="A13" s="286" t="s">
        <v>392</v>
      </c>
      <c r="B13" s="253">
        <f>SUM(B54,B62,B84,B109,B120,B188)</f>
        <v>5473101</v>
      </c>
      <c r="C13" s="253">
        <f>SUM(C54,C62,C84,C109,C120,C188)</f>
        <v>0</v>
      </c>
      <c r="D13" s="253" t="e">
        <f>SUM(D54,D62,D84,D109,D120,D188)</f>
        <v>#REF!</v>
      </c>
      <c r="E13" s="281" t="e">
        <f t="shared" si="0"/>
        <v>#REF!</v>
      </c>
      <c r="F13" s="253" t="e">
        <f>SUM(F54,F62,F84,F109,F120,F188)</f>
        <v>#REF!</v>
      </c>
      <c r="G13" s="286" t="s">
        <v>392</v>
      </c>
      <c r="H13" s="282">
        <v>5473</v>
      </c>
      <c r="I13" s="283">
        <v>0</v>
      </c>
      <c r="J13" s="284">
        <v>2481</v>
      </c>
      <c r="K13" s="285">
        <v>45.33162799196053</v>
      </c>
      <c r="L13" s="253">
        <v>536</v>
      </c>
      <c r="N13" s="191">
        <f t="shared" si="1"/>
        <v>2481</v>
      </c>
      <c r="O13" s="191">
        <v>801</v>
      </c>
      <c r="P13" s="191">
        <f t="shared" si="2"/>
        <v>1680</v>
      </c>
    </row>
    <row r="14" spans="1:16" ht="12.75" customHeight="1">
      <c r="A14" s="251" t="s">
        <v>393</v>
      </c>
      <c r="B14" s="253">
        <f>SUM(B24,B55,B63,B74,B85,B93,B99,B110,B121,B175,B189)</f>
        <v>33237707</v>
      </c>
      <c r="C14" s="253">
        <f>SUM(C24,C55,C63,C74,C85,C93,C99,C110,C121,C175,C189)</f>
        <v>9942426</v>
      </c>
      <c r="D14" s="253">
        <f>SUM(D24,D55,D63,D74,D85,D93,D99,D110,D121,D175,D189)</f>
        <v>5481200</v>
      </c>
      <c r="E14" s="281">
        <f t="shared" si="0"/>
        <v>16.490908954700153</v>
      </c>
      <c r="F14" s="253" t="e">
        <f>SUM(F24,F55,F63,F74,F85,F93,F99,F110,F121,F175,F189)</f>
        <v>#REF!</v>
      </c>
      <c r="G14" s="251" t="s">
        <v>393</v>
      </c>
      <c r="H14" s="282">
        <v>33238</v>
      </c>
      <c r="I14" s="283">
        <v>12484</v>
      </c>
      <c r="J14" s="284">
        <v>6638</v>
      </c>
      <c r="K14" s="285">
        <v>19.97111739575185</v>
      </c>
      <c r="L14" s="253">
        <v>1157</v>
      </c>
      <c r="N14" s="191">
        <f t="shared" si="1"/>
        <v>6638</v>
      </c>
      <c r="O14" s="191">
        <v>4765</v>
      </c>
      <c r="P14" s="191">
        <f t="shared" si="2"/>
        <v>1873</v>
      </c>
    </row>
    <row r="15" spans="1:16" ht="12.75" customHeight="1">
      <c r="A15" s="251" t="s">
        <v>236</v>
      </c>
      <c r="B15" s="98">
        <f>SUM(B64)</f>
        <v>6699203</v>
      </c>
      <c r="C15" s="98">
        <f>SUM(C64)</f>
        <v>3047903</v>
      </c>
      <c r="D15" s="98">
        <f>SUM(D64)</f>
        <v>2569307</v>
      </c>
      <c r="E15" s="278">
        <f t="shared" si="0"/>
        <v>38.3524278932882</v>
      </c>
      <c r="F15" s="98">
        <f>SUM(F64)</f>
        <v>595980</v>
      </c>
      <c r="G15" s="32" t="s">
        <v>236</v>
      </c>
      <c r="H15" s="98">
        <v>6699</v>
      </c>
      <c r="I15" s="98">
        <v>3475</v>
      </c>
      <c r="J15" s="280">
        <v>3162</v>
      </c>
      <c r="K15" s="96">
        <v>47.201074787281684</v>
      </c>
      <c r="L15" s="98">
        <v>593</v>
      </c>
      <c r="N15" s="191">
        <f t="shared" si="1"/>
        <v>3162</v>
      </c>
      <c r="O15" s="191">
        <v>1973</v>
      </c>
      <c r="P15" s="191">
        <f t="shared" si="2"/>
        <v>1189</v>
      </c>
    </row>
    <row r="16" spans="1:16" ht="12.75" customHeight="1">
      <c r="A16" s="251" t="s">
        <v>237</v>
      </c>
      <c r="B16" s="98">
        <f>B10-B11-B15</f>
        <v>-46327102</v>
      </c>
      <c r="C16" s="98">
        <f>C10-C11-C15</f>
        <v>-33090256</v>
      </c>
      <c r="D16" s="98">
        <f>D10-D11-D15</f>
        <v>-16888133</v>
      </c>
      <c r="E16" s="278">
        <f t="shared" si="0"/>
        <v>36.454110598154834</v>
      </c>
      <c r="F16" s="98" t="e">
        <f>F10-F11-F15</f>
        <v>#REF!</v>
      </c>
      <c r="G16" s="32" t="s">
        <v>237</v>
      </c>
      <c r="H16" s="98">
        <v>-46327</v>
      </c>
      <c r="I16" s="98">
        <v>-35782</v>
      </c>
      <c r="J16" s="98">
        <v>-13545</v>
      </c>
      <c r="K16" s="96">
        <v>29.237809484749715</v>
      </c>
      <c r="L16" s="98">
        <v>3341</v>
      </c>
      <c r="N16" s="191">
        <f t="shared" si="1"/>
        <v>-13545</v>
      </c>
      <c r="O16" s="191">
        <v>-9957</v>
      </c>
      <c r="P16" s="191">
        <f t="shared" si="2"/>
        <v>-3588</v>
      </c>
    </row>
    <row r="17" spans="1:16" ht="12.75" customHeight="1">
      <c r="A17" s="69" t="s">
        <v>394</v>
      </c>
      <c r="B17" s="98">
        <f>SUM(B66,B87,B112,B123,B191)</f>
        <v>48698241</v>
      </c>
      <c r="C17" s="98">
        <f>SUM(C66,C87,C112,C123,C191)</f>
        <v>31309075</v>
      </c>
      <c r="D17" s="98">
        <f>SUM(D66,D87,D112,D123,D191)</f>
        <v>23445857</v>
      </c>
      <c r="E17" s="278">
        <f t="shared" si="0"/>
        <v>48.14518249232041</v>
      </c>
      <c r="F17" s="98">
        <f>SUM(F66,F87,F112,F123,F191)</f>
        <v>8792708</v>
      </c>
      <c r="G17" s="76" t="s">
        <v>394</v>
      </c>
      <c r="H17" s="98">
        <v>48698</v>
      </c>
      <c r="I17" s="98">
        <v>34122</v>
      </c>
      <c r="J17" s="280">
        <v>22025</v>
      </c>
      <c r="K17" s="96">
        <v>45.227730091584874</v>
      </c>
      <c r="L17" s="98">
        <v>-1418</v>
      </c>
      <c r="N17" s="191">
        <f t="shared" si="1"/>
        <v>22025</v>
      </c>
      <c r="O17" s="191">
        <v>14653</v>
      </c>
      <c r="P17" s="191">
        <f t="shared" si="2"/>
        <v>7372</v>
      </c>
    </row>
    <row r="18" spans="1:16" ht="20.25" customHeight="1">
      <c r="A18" s="32" t="s">
        <v>250</v>
      </c>
      <c r="B18" s="283"/>
      <c r="C18" s="283"/>
      <c r="D18" s="283"/>
      <c r="E18" s="281"/>
      <c r="F18" s="283"/>
      <c r="G18" s="32" t="s">
        <v>250</v>
      </c>
      <c r="H18" s="283"/>
      <c r="I18" s="283"/>
      <c r="J18" s="287"/>
      <c r="K18" s="285"/>
      <c r="L18" s="283"/>
      <c r="N18" s="191">
        <f t="shared" si="1"/>
        <v>0</v>
      </c>
      <c r="P18" s="191">
        <f t="shared" si="2"/>
        <v>0</v>
      </c>
    </row>
    <row r="19" spans="1:16" ht="12.75" customHeight="1">
      <c r="A19" s="288" t="s">
        <v>395</v>
      </c>
      <c r="B19" s="283"/>
      <c r="C19" s="283"/>
      <c r="D19" s="283"/>
      <c r="E19" s="281"/>
      <c r="F19" s="283"/>
      <c r="G19" s="288" t="s">
        <v>395</v>
      </c>
      <c r="H19" s="283"/>
      <c r="I19" s="283"/>
      <c r="J19" s="287"/>
      <c r="K19" s="285"/>
      <c r="L19" s="283"/>
      <c r="N19" s="191">
        <f t="shared" si="1"/>
        <v>0</v>
      </c>
      <c r="P19" s="191">
        <f t="shared" si="2"/>
        <v>0</v>
      </c>
    </row>
    <row r="20" spans="1:16" ht="12.75" customHeight="1">
      <c r="A20" s="251" t="s">
        <v>396</v>
      </c>
      <c r="B20" s="253">
        <f>B21</f>
        <v>2874300</v>
      </c>
      <c r="C20" s="284">
        <v>937300</v>
      </c>
      <c r="D20" s="253">
        <f>D21</f>
        <v>659802</v>
      </c>
      <c r="E20" s="281">
        <f>D20/B20*100</f>
        <v>22.955223880597014</v>
      </c>
      <c r="F20" s="283">
        <f>D20-'[16]Marts'!D20</f>
        <v>136371</v>
      </c>
      <c r="G20" s="251" t="s">
        <v>396</v>
      </c>
      <c r="H20" s="253">
        <v>2874</v>
      </c>
      <c r="I20" s="253">
        <v>1174</v>
      </c>
      <c r="J20" s="284">
        <v>823</v>
      </c>
      <c r="K20" s="285">
        <v>28.63604732080724</v>
      </c>
      <c r="L20" s="283">
        <v>164</v>
      </c>
      <c r="N20" s="191">
        <f t="shared" si="1"/>
        <v>823</v>
      </c>
      <c r="O20" s="191">
        <v>523</v>
      </c>
      <c r="P20" s="191">
        <f t="shared" si="2"/>
        <v>300</v>
      </c>
    </row>
    <row r="21" spans="1:16" ht="12.75" customHeight="1">
      <c r="A21" s="251" t="s">
        <v>397</v>
      </c>
      <c r="B21" s="253">
        <v>2874300</v>
      </c>
      <c r="C21" s="284"/>
      <c r="D21" s="284">
        <f>'[17]Aprīlis'!$K$6</f>
        <v>659802</v>
      </c>
      <c r="E21" s="281">
        <f>D21/B21*100</f>
        <v>22.955223880597014</v>
      </c>
      <c r="F21" s="283">
        <f>D21-'[16]Marts'!D21</f>
        <v>136371</v>
      </c>
      <c r="G21" s="251" t="s">
        <v>397</v>
      </c>
      <c r="H21" s="253">
        <v>2874</v>
      </c>
      <c r="I21" s="253"/>
      <c r="J21" s="284">
        <v>823</v>
      </c>
      <c r="K21" s="285">
        <v>28.63604732080724</v>
      </c>
      <c r="L21" s="283">
        <v>164</v>
      </c>
      <c r="N21" s="191">
        <f t="shared" si="1"/>
        <v>823</v>
      </c>
      <c r="O21" s="191">
        <v>523</v>
      </c>
      <c r="P21" s="191">
        <f t="shared" si="2"/>
        <v>300</v>
      </c>
    </row>
    <row r="22" spans="1:16" ht="12.75" customHeight="1">
      <c r="A22" s="251" t="s">
        <v>398</v>
      </c>
      <c r="B22" s="283">
        <f>B23+B24</f>
        <v>2874300</v>
      </c>
      <c r="C22" s="283">
        <f>C23+C24</f>
        <v>937300</v>
      </c>
      <c r="D22" s="283">
        <f>D23+D24</f>
        <v>642724</v>
      </c>
      <c r="E22" s="281">
        <f>D22/B22*100</f>
        <v>22.36106182374839</v>
      </c>
      <c r="F22" s="283">
        <f>D22-'[16]Marts'!D22</f>
        <v>148587</v>
      </c>
      <c r="G22" s="251" t="s">
        <v>398</v>
      </c>
      <c r="H22" s="253">
        <v>2874</v>
      </c>
      <c r="I22" s="253">
        <v>1175</v>
      </c>
      <c r="J22" s="284">
        <v>754</v>
      </c>
      <c r="K22" s="285">
        <v>26.235212247738342</v>
      </c>
      <c r="L22" s="283">
        <v>111</v>
      </c>
      <c r="N22" s="191">
        <f t="shared" si="1"/>
        <v>754</v>
      </c>
      <c r="O22" s="191">
        <v>494</v>
      </c>
      <c r="P22" s="191">
        <f t="shared" si="2"/>
        <v>260</v>
      </c>
    </row>
    <row r="23" spans="1:16" ht="12.75" customHeight="1">
      <c r="A23" s="251" t="s">
        <v>399</v>
      </c>
      <c r="B23" s="253">
        <v>2856700</v>
      </c>
      <c r="C23" s="284">
        <v>919700</v>
      </c>
      <c r="D23" s="284">
        <f>'[17]Aprīlis'!$K$8</f>
        <v>637721</v>
      </c>
      <c r="E23" s="281">
        <f>D23/B23*100</f>
        <v>22.323695172751776</v>
      </c>
      <c r="F23" s="283">
        <f>D23-'[16]Marts'!D23</f>
        <v>148347</v>
      </c>
      <c r="G23" s="251" t="s">
        <v>399</v>
      </c>
      <c r="H23" s="253">
        <v>2857</v>
      </c>
      <c r="I23" s="253">
        <v>1157</v>
      </c>
      <c r="J23" s="284">
        <v>747</v>
      </c>
      <c r="K23" s="285">
        <v>26.146307315365767</v>
      </c>
      <c r="L23" s="283">
        <v>109</v>
      </c>
      <c r="N23" s="191">
        <f t="shared" si="1"/>
        <v>747</v>
      </c>
      <c r="O23" s="191">
        <v>489</v>
      </c>
      <c r="P23" s="191">
        <f t="shared" si="2"/>
        <v>258</v>
      </c>
    </row>
    <row r="24" spans="1:16" ht="12.75" customHeight="1">
      <c r="A24" s="251" t="s">
        <v>393</v>
      </c>
      <c r="B24" s="253">
        <v>17600</v>
      </c>
      <c r="C24" s="284">
        <v>17600</v>
      </c>
      <c r="D24" s="284">
        <f>'[17]Aprīlis'!$K$31</f>
        <v>5003</v>
      </c>
      <c r="E24" s="281">
        <f>D24/B24*100</f>
        <v>28.426136363636363</v>
      </c>
      <c r="F24" s="283">
        <f>D24-'[16]Marts'!D24</f>
        <v>240</v>
      </c>
      <c r="G24" s="251" t="s">
        <v>393</v>
      </c>
      <c r="H24" s="253"/>
      <c r="I24" s="253"/>
      <c r="J24" s="284"/>
      <c r="K24" s="285"/>
      <c r="L24" s="283">
        <v>10</v>
      </c>
      <c r="N24" s="191">
        <f t="shared" si="1"/>
        <v>0</v>
      </c>
      <c r="O24" s="191">
        <v>5</v>
      </c>
      <c r="P24" s="191">
        <f t="shared" si="2"/>
        <v>-5</v>
      </c>
    </row>
    <row r="25" spans="1:16" ht="12.75" customHeight="1">
      <c r="A25" s="32" t="s">
        <v>252</v>
      </c>
      <c r="B25" s="283"/>
      <c r="C25" s="283"/>
      <c r="D25" s="283"/>
      <c r="E25" s="281"/>
      <c r="F25" s="283"/>
      <c r="G25" s="32" t="s">
        <v>252</v>
      </c>
      <c r="H25" s="253">
        <v>18</v>
      </c>
      <c r="I25" s="253">
        <v>18</v>
      </c>
      <c r="J25" s="284">
        <v>7</v>
      </c>
      <c r="K25" s="285">
        <v>38.88888888888889</v>
      </c>
      <c r="L25" s="283">
        <v>2</v>
      </c>
      <c r="N25" s="191">
        <f t="shared" si="1"/>
        <v>7</v>
      </c>
      <c r="P25" s="191">
        <f t="shared" si="2"/>
        <v>7</v>
      </c>
    </row>
    <row r="26" spans="1:16" ht="24" customHeight="1">
      <c r="A26" s="94" t="s">
        <v>400</v>
      </c>
      <c r="B26" s="283"/>
      <c r="C26" s="283"/>
      <c r="D26" s="283"/>
      <c r="E26" s="281"/>
      <c r="F26" s="283"/>
      <c r="G26" s="130" t="s">
        <v>400</v>
      </c>
      <c r="H26" s="253"/>
      <c r="I26" s="253"/>
      <c r="J26" s="283"/>
      <c r="K26" s="285"/>
      <c r="L26" s="283"/>
      <c r="N26" s="191" t="e">
        <f>#REF!</f>
        <v>#REF!</v>
      </c>
      <c r="P26" s="191" t="e">
        <f t="shared" si="2"/>
        <v>#REF!</v>
      </c>
    </row>
    <row r="27" spans="1:16" ht="12.75" customHeight="1">
      <c r="A27" s="251" t="s">
        <v>396</v>
      </c>
      <c r="B27" s="283">
        <f>B28+B33+B34+B35</f>
        <v>2820000</v>
      </c>
      <c r="C27" s="287">
        <v>927950</v>
      </c>
      <c r="D27" s="283">
        <f>D28+D33+D34+D35</f>
        <v>976509</v>
      </c>
      <c r="E27" s="281">
        <f aca="true" t="shared" si="3" ref="E27:E37">D27/B27*100</f>
        <v>34.627978723404254</v>
      </c>
      <c r="F27" s="283">
        <f>D27-'[16]Marts'!D27</f>
        <v>263838</v>
      </c>
      <c r="G27" s="251" t="s">
        <v>396</v>
      </c>
      <c r="H27" s="253">
        <v>2820</v>
      </c>
      <c r="I27" s="253">
        <v>1111</v>
      </c>
      <c r="J27" s="284">
        <v>1145</v>
      </c>
      <c r="K27" s="285">
        <v>40.60283687943262</v>
      </c>
      <c r="L27" s="283">
        <v>168</v>
      </c>
      <c r="N27" s="191">
        <f aca="true" t="shared" si="4" ref="N27:N90">J26</f>
        <v>0</v>
      </c>
      <c r="O27" s="191">
        <v>713</v>
      </c>
      <c r="P27" s="191">
        <f t="shared" si="2"/>
        <v>-713</v>
      </c>
    </row>
    <row r="28" spans="1:16" ht="12.75" customHeight="1">
      <c r="A28" s="69" t="s">
        <v>401</v>
      </c>
      <c r="B28" s="253">
        <f>SUM(B29:B32)</f>
        <v>2555000</v>
      </c>
      <c r="C28" s="284"/>
      <c r="D28" s="253">
        <f>SUM(D29:D32)</f>
        <v>755490</v>
      </c>
      <c r="E28" s="281">
        <f t="shared" si="3"/>
        <v>29.56908023483366</v>
      </c>
      <c r="F28" s="283">
        <f>D28-'[16]Marts'!D28</f>
        <v>224553</v>
      </c>
      <c r="G28" s="69" t="s">
        <v>401</v>
      </c>
      <c r="H28" s="253">
        <v>2555</v>
      </c>
      <c r="I28" s="253"/>
      <c r="J28" s="284">
        <v>889</v>
      </c>
      <c r="K28" s="285">
        <v>34.794520547945204</v>
      </c>
      <c r="L28" s="283">
        <v>134</v>
      </c>
      <c r="N28" s="191">
        <f t="shared" si="4"/>
        <v>1145</v>
      </c>
      <c r="O28" s="191">
        <v>531</v>
      </c>
      <c r="P28" s="191">
        <f t="shared" si="2"/>
        <v>614</v>
      </c>
    </row>
    <row r="29" spans="1:16" ht="51">
      <c r="A29" s="77" t="s">
        <v>402</v>
      </c>
      <c r="B29" s="253">
        <v>2000000</v>
      </c>
      <c r="C29" s="284"/>
      <c r="D29" s="284">
        <f>532983-1</f>
        <v>532982</v>
      </c>
      <c r="E29" s="281">
        <f t="shared" si="3"/>
        <v>26.649099999999997</v>
      </c>
      <c r="F29" s="283">
        <f>D29-'[16]Marts'!D29</f>
        <v>133819</v>
      </c>
      <c r="G29" s="77" t="s">
        <v>402</v>
      </c>
      <c r="H29" s="253">
        <v>2000</v>
      </c>
      <c r="I29" s="253"/>
      <c r="J29" s="284">
        <v>643</v>
      </c>
      <c r="K29" s="285">
        <v>32.15</v>
      </c>
      <c r="L29" s="283">
        <v>110</v>
      </c>
      <c r="N29" s="191">
        <f t="shared" si="4"/>
        <v>889</v>
      </c>
      <c r="O29" s="191">
        <v>399</v>
      </c>
      <c r="P29" s="191">
        <f t="shared" si="2"/>
        <v>490</v>
      </c>
    </row>
    <row r="30" spans="1:16" ht="38.25">
      <c r="A30" s="77" t="s">
        <v>403</v>
      </c>
      <c r="B30" s="253">
        <v>240000</v>
      </c>
      <c r="C30" s="284"/>
      <c r="D30" s="284">
        <v>101064</v>
      </c>
      <c r="E30" s="281">
        <f t="shared" si="3"/>
        <v>42.11</v>
      </c>
      <c r="F30" s="283">
        <f>D30-'[16]Marts'!D30</f>
        <v>49959</v>
      </c>
      <c r="G30" s="77" t="s">
        <v>403</v>
      </c>
      <c r="H30" s="253">
        <v>240</v>
      </c>
      <c r="I30" s="253"/>
      <c r="J30" s="284">
        <v>104</v>
      </c>
      <c r="K30" s="285">
        <v>43.333333333333336</v>
      </c>
      <c r="L30" s="283">
        <v>3</v>
      </c>
      <c r="N30" s="191">
        <f t="shared" si="4"/>
        <v>643</v>
      </c>
      <c r="O30" s="191">
        <v>51</v>
      </c>
      <c r="P30" s="191">
        <f t="shared" si="2"/>
        <v>592</v>
      </c>
    </row>
    <row r="31" spans="1:16" ht="25.5" customHeight="1">
      <c r="A31" s="77" t="s">
        <v>404</v>
      </c>
      <c r="B31" s="253">
        <v>145000</v>
      </c>
      <c r="C31" s="284"/>
      <c r="D31" s="284">
        <v>61073</v>
      </c>
      <c r="E31" s="281">
        <f t="shared" si="3"/>
        <v>42.11931034482759</v>
      </c>
      <c r="F31" s="283">
        <f>D31-'[16]Marts'!D31</f>
        <v>29977</v>
      </c>
      <c r="G31" s="77" t="s">
        <v>404</v>
      </c>
      <c r="H31" s="253">
        <v>145</v>
      </c>
      <c r="I31" s="253"/>
      <c r="J31" s="284">
        <v>63</v>
      </c>
      <c r="K31" s="285">
        <v>43.44827586206896</v>
      </c>
      <c r="L31" s="283">
        <v>2</v>
      </c>
      <c r="N31" s="191">
        <f t="shared" si="4"/>
        <v>104</v>
      </c>
      <c r="O31" s="191">
        <v>31</v>
      </c>
      <c r="P31" s="191">
        <f t="shared" si="2"/>
        <v>73</v>
      </c>
    </row>
    <row r="32" spans="1:16" ht="38.25">
      <c r="A32" s="77" t="s">
        <v>405</v>
      </c>
      <c r="B32" s="253">
        <v>170000</v>
      </c>
      <c r="C32" s="284"/>
      <c r="D32" s="284">
        <v>60371</v>
      </c>
      <c r="E32" s="281">
        <f t="shared" si="3"/>
        <v>35.512352941176474</v>
      </c>
      <c r="F32" s="283">
        <f>D32-'[16]Marts'!D32</f>
        <v>10798</v>
      </c>
      <c r="G32" s="77" t="s">
        <v>405</v>
      </c>
      <c r="H32" s="253">
        <v>170</v>
      </c>
      <c r="I32" s="253"/>
      <c r="J32" s="284">
        <v>79</v>
      </c>
      <c r="K32" s="285">
        <v>46.470588235294116</v>
      </c>
      <c r="L32" s="283">
        <v>19</v>
      </c>
      <c r="N32" s="191">
        <f t="shared" si="4"/>
        <v>63</v>
      </c>
      <c r="O32" s="191">
        <v>50</v>
      </c>
      <c r="P32" s="191">
        <f t="shared" si="2"/>
        <v>13</v>
      </c>
    </row>
    <row r="33" spans="1:16" ht="12.75" customHeight="1">
      <c r="A33" s="69" t="s">
        <v>406</v>
      </c>
      <c r="B33" s="253">
        <v>90000</v>
      </c>
      <c r="C33" s="284"/>
      <c r="D33" s="284">
        <v>59507</v>
      </c>
      <c r="E33" s="281">
        <f t="shared" si="3"/>
        <v>66.11888888888889</v>
      </c>
      <c r="F33" s="283">
        <f>D33-'[16]Marts'!D33</f>
        <v>-12</v>
      </c>
      <c r="G33" s="69" t="s">
        <v>406</v>
      </c>
      <c r="H33" s="253">
        <v>90</v>
      </c>
      <c r="I33" s="253"/>
      <c r="J33" s="284">
        <v>0</v>
      </c>
      <c r="K33" s="285">
        <v>0</v>
      </c>
      <c r="L33" s="283">
        <v>-60</v>
      </c>
      <c r="N33" s="191">
        <f t="shared" si="4"/>
        <v>79</v>
      </c>
      <c r="O33" s="191">
        <v>60</v>
      </c>
      <c r="P33" s="191">
        <f t="shared" si="2"/>
        <v>19</v>
      </c>
    </row>
    <row r="34" spans="1:16" ht="12.75" customHeight="1">
      <c r="A34" s="69" t="s">
        <v>407</v>
      </c>
      <c r="B34" s="253">
        <v>170000</v>
      </c>
      <c r="C34" s="284"/>
      <c r="D34" s="284">
        <v>70651</v>
      </c>
      <c r="E34" s="281">
        <f t="shared" si="3"/>
        <v>41.559411764705885</v>
      </c>
      <c r="F34" s="283">
        <f>D34-'[16]Marts'!D34</f>
        <v>18475</v>
      </c>
      <c r="G34" s="69" t="s">
        <v>407</v>
      </c>
      <c r="H34" s="253">
        <v>170</v>
      </c>
      <c r="I34" s="253"/>
      <c r="J34" s="284">
        <v>86</v>
      </c>
      <c r="K34" s="285">
        <v>50.588235294117645</v>
      </c>
      <c r="L34" s="283">
        <v>15</v>
      </c>
      <c r="N34" s="191">
        <f t="shared" si="4"/>
        <v>0</v>
      </c>
      <c r="O34" s="191">
        <v>52</v>
      </c>
      <c r="P34" s="191">
        <f t="shared" si="2"/>
        <v>-52</v>
      </c>
    </row>
    <row r="35" spans="1:16" ht="12.75" customHeight="1">
      <c r="A35" s="289" t="s">
        <v>408</v>
      </c>
      <c r="B35" s="253">
        <v>5000</v>
      </c>
      <c r="C35" s="284"/>
      <c r="D35" s="284">
        <v>90861</v>
      </c>
      <c r="E35" s="281">
        <f t="shared" si="3"/>
        <v>1817.22</v>
      </c>
      <c r="F35" s="283">
        <f>D35-'[16]Marts'!D35</f>
        <v>20822</v>
      </c>
      <c r="G35" s="289" t="s">
        <v>408</v>
      </c>
      <c r="H35" s="253">
        <v>5</v>
      </c>
      <c r="I35" s="253"/>
      <c r="J35" s="284">
        <v>170</v>
      </c>
      <c r="K35" s="285"/>
      <c r="L35" s="283">
        <v>79</v>
      </c>
      <c r="N35" s="191">
        <f t="shared" si="4"/>
        <v>86</v>
      </c>
      <c r="O35" s="191">
        <v>70</v>
      </c>
      <c r="P35" s="191">
        <f t="shared" si="2"/>
        <v>16</v>
      </c>
    </row>
    <row r="36" spans="1:16" ht="12.75" customHeight="1">
      <c r="A36" s="251" t="s">
        <v>398</v>
      </c>
      <c r="B36" s="283">
        <f>B37</f>
        <v>1205000</v>
      </c>
      <c r="C36" s="283">
        <f>C37</f>
        <v>456190</v>
      </c>
      <c r="D36" s="283">
        <f>D37</f>
        <v>245754</v>
      </c>
      <c r="E36" s="281">
        <f t="shared" si="3"/>
        <v>20.394522821576764</v>
      </c>
      <c r="F36" s="283">
        <f>D36-'[16]Marts'!D36</f>
        <v>28945</v>
      </c>
      <c r="G36" s="251" t="s">
        <v>398</v>
      </c>
      <c r="H36" s="253">
        <v>1205</v>
      </c>
      <c r="I36" s="253">
        <v>538</v>
      </c>
      <c r="J36" s="284">
        <v>291</v>
      </c>
      <c r="K36" s="285">
        <v>24.149377593360995</v>
      </c>
      <c r="L36" s="283">
        <v>45</v>
      </c>
      <c r="N36" s="191">
        <f t="shared" si="4"/>
        <v>170</v>
      </c>
      <c r="O36" s="191">
        <v>217</v>
      </c>
      <c r="P36" s="191">
        <f t="shared" si="2"/>
        <v>-47</v>
      </c>
    </row>
    <row r="37" spans="1:16" ht="12.75" customHeight="1">
      <c r="A37" s="251" t="s">
        <v>399</v>
      </c>
      <c r="B37" s="253">
        <v>1205000</v>
      </c>
      <c r="C37" s="284">
        <v>456190</v>
      </c>
      <c r="D37" s="284">
        <f>'[17]Aprīlis'!$W$8</f>
        <v>245754</v>
      </c>
      <c r="E37" s="281">
        <f t="shared" si="3"/>
        <v>20.394522821576764</v>
      </c>
      <c r="F37" s="283">
        <f>D37-'[16]Marts'!D37</f>
        <v>28945</v>
      </c>
      <c r="G37" s="251" t="s">
        <v>399</v>
      </c>
      <c r="H37" s="253">
        <v>1205</v>
      </c>
      <c r="I37" s="253">
        <v>538</v>
      </c>
      <c r="J37" s="284">
        <v>291</v>
      </c>
      <c r="K37" s="285">
        <v>24.149377593360995</v>
      </c>
      <c r="L37" s="283">
        <v>45</v>
      </c>
      <c r="N37" s="191">
        <f t="shared" si="4"/>
        <v>291</v>
      </c>
      <c r="O37" s="191">
        <v>217</v>
      </c>
      <c r="P37" s="191">
        <f t="shared" si="2"/>
        <v>74</v>
      </c>
    </row>
    <row r="38" spans="1:16" ht="24" customHeight="1">
      <c r="A38" s="94" t="s">
        <v>409</v>
      </c>
      <c r="B38" s="114"/>
      <c r="C38" s="114"/>
      <c r="D38" s="114"/>
      <c r="E38" s="281"/>
      <c r="F38" s="283"/>
      <c r="G38" s="94" t="s">
        <v>409</v>
      </c>
      <c r="H38" s="253"/>
      <c r="I38" s="253"/>
      <c r="J38" s="284"/>
      <c r="K38" s="285"/>
      <c r="L38" s="283"/>
      <c r="N38" s="191">
        <f t="shared" si="4"/>
        <v>291</v>
      </c>
      <c r="P38" s="191">
        <f t="shared" si="2"/>
        <v>291</v>
      </c>
    </row>
    <row r="39" spans="1:16" ht="12.75" customHeight="1">
      <c r="A39" s="251" t="s">
        <v>396</v>
      </c>
      <c r="B39" s="283">
        <f>B40</f>
        <v>500000</v>
      </c>
      <c r="C39" s="287">
        <v>500000</v>
      </c>
      <c r="D39" s="283">
        <f>D40</f>
        <v>796565</v>
      </c>
      <c r="E39" s="281">
        <f>D39/B39*100</f>
        <v>159.313</v>
      </c>
      <c r="F39" s="283">
        <f>D39-'[16]Marts'!D39</f>
        <v>408538</v>
      </c>
      <c r="G39" s="251" t="s">
        <v>396</v>
      </c>
      <c r="H39" s="253">
        <v>500</v>
      </c>
      <c r="I39" s="253">
        <v>500</v>
      </c>
      <c r="J39" s="284">
        <v>815</v>
      </c>
      <c r="K39" s="285">
        <v>163</v>
      </c>
      <c r="L39" s="283">
        <v>18</v>
      </c>
      <c r="N39" s="191">
        <f t="shared" si="4"/>
        <v>0</v>
      </c>
      <c r="O39" s="191">
        <v>388</v>
      </c>
      <c r="P39" s="191">
        <f t="shared" si="2"/>
        <v>-388</v>
      </c>
    </row>
    <row r="40" spans="1:16" ht="12.75" customHeight="1">
      <c r="A40" s="290" t="s">
        <v>410</v>
      </c>
      <c r="B40" s="253">
        <v>500000</v>
      </c>
      <c r="C40" s="284"/>
      <c r="D40" s="284">
        <f>'[17]Aprīlis'!$X$6</f>
        <v>796565</v>
      </c>
      <c r="E40" s="281">
        <f>D40/B40*100</f>
        <v>159.313</v>
      </c>
      <c r="F40" s="283">
        <f>D40-'[16]Marts'!D40</f>
        <v>408538</v>
      </c>
      <c r="G40" s="290" t="s">
        <v>410</v>
      </c>
      <c r="H40" s="253">
        <v>500</v>
      </c>
      <c r="I40" s="253"/>
      <c r="J40" s="284">
        <v>815</v>
      </c>
      <c r="K40" s="285">
        <v>163</v>
      </c>
      <c r="L40" s="283">
        <v>18</v>
      </c>
      <c r="N40" s="191">
        <f t="shared" si="4"/>
        <v>815</v>
      </c>
      <c r="O40" s="191">
        <v>388</v>
      </c>
      <c r="P40" s="191">
        <f t="shared" si="2"/>
        <v>427</v>
      </c>
    </row>
    <row r="41" spans="1:16" ht="12.75" customHeight="1">
      <c r="A41" s="251" t="s">
        <v>398</v>
      </c>
      <c r="B41" s="283">
        <f>B42</f>
        <v>31300</v>
      </c>
      <c r="C41" s="283">
        <f>C42</f>
        <v>18550</v>
      </c>
      <c r="D41" s="283">
        <f>D42</f>
        <v>13379</v>
      </c>
      <c r="E41" s="281">
        <f>D41/B41*100</f>
        <v>42.7444089456869</v>
      </c>
      <c r="F41" s="283">
        <f>D41-'[16]Marts'!D41</f>
        <v>3474</v>
      </c>
      <c r="G41" s="251" t="s">
        <v>398</v>
      </c>
      <c r="H41" s="253">
        <v>31</v>
      </c>
      <c r="I41" s="253">
        <v>23</v>
      </c>
      <c r="J41" s="284">
        <v>17</v>
      </c>
      <c r="K41" s="285">
        <v>54.83870967741935</v>
      </c>
      <c r="L41" s="283">
        <v>4</v>
      </c>
      <c r="N41" s="191">
        <f t="shared" si="4"/>
        <v>815</v>
      </c>
      <c r="O41" s="191">
        <v>10</v>
      </c>
      <c r="P41" s="191">
        <f t="shared" si="2"/>
        <v>805</v>
      </c>
    </row>
    <row r="42" spans="1:16" ht="12.75" customHeight="1">
      <c r="A42" s="251" t="s">
        <v>411</v>
      </c>
      <c r="B42" s="253">
        <v>31300</v>
      </c>
      <c r="C42" s="284">
        <v>18550</v>
      </c>
      <c r="D42" s="284">
        <f>'[17]Aprīlis'!$X$7</f>
        <v>13379</v>
      </c>
      <c r="E42" s="281">
        <f>D42/B42*100</f>
        <v>42.7444089456869</v>
      </c>
      <c r="F42" s="283">
        <f>D42-'[16]Marts'!D42</f>
        <v>3474</v>
      </c>
      <c r="G42" s="251" t="s">
        <v>411</v>
      </c>
      <c r="H42" s="253">
        <v>31</v>
      </c>
      <c r="I42" s="253">
        <v>23</v>
      </c>
      <c r="J42" s="284">
        <v>17</v>
      </c>
      <c r="K42" s="285">
        <v>54.83870967741935</v>
      </c>
      <c r="L42" s="283">
        <v>4</v>
      </c>
      <c r="N42" s="191">
        <f t="shared" si="4"/>
        <v>17</v>
      </c>
      <c r="O42" s="191">
        <v>10</v>
      </c>
      <c r="P42" s="191">
        <f t="shared" si="2"/>
        <v>7</v>
      </c>
    </row>
    <row r="43" spans="1:16" ht="12.75" customHeight="1">
      <c r="A43" s="94" t="s">
        <v>412</v>
      </c>
      <c r="B43" s="253"/>
      <c r="C43" s="253"/>
      <c r="D43" s="253"/>
      <c r="E43" s="281"/>
      <c r="F43" s="283" t="e">
        <f>D43-'[16]Marts'!D43</f>
        <v>#REF!</v>
      </c>
      <c r="G43" s="94" t="s">
        <v>412</v>
      </c>
      <c r="H43" s="253"/>
      <c r="I43" s="253"/>
      <c r="J43" s="284"/>
      <c r="K43" s="285"/>
      <c r="L43" s="283"/>
      <c r="N43" s="191">
        <f t="shared" si="4"/>
        <v>17</v>
      </c>
      <c r="P43" s="191">
        <f t="shared" si="2"/>
        <v>17</v>
      </c>
    </row>
    <row r="44" spans="1:16" ht="12.75" customHeight="1">
      <c r="A44" s="251" t="s">
        <v>396</v>
      </c>
      <c r="B44" s="253">
        <f>B45</f>
        <v>75000</v>
      </c>
      <c r="C44" s="284">
        <v>71500</v>
      </c>
      <c r="D44" s="253">
        <f>D45</f>
        <v>57211</v>
      </c>
      <c r="E44" s="281">
        <f>D44/B44*100</f>
        <v>76.28133333333334</v>
      </c>
      <c r="F44" s="283">
        <f>D44-'[16]Marts'!D44</f>
        <v>8043</v>
      </c>
      <c r="G44" s="251" t="s">
        <v>396</v>
      </c>
      <c r="H44" s="253">
        <v>75</v>
      </c>
      <c r="I44" s="253">
        <v>75</v>
      </c>
      <c r="J44" s="284">
        <v>65</v>
      </c>
      <c r="K44" s="285">
        <v>86.66666666666667</v>
      </c>
      <c r="L44" s="283">
        <v>8</v>
      </c>
      <c r="N44" s="191">
        <f t="shared" si="4"/>
        <v>0</v>
      </c>
      <c r="O44" s="191">
        <v>49</v>
      </c>
      <c r="P44" s="191">
        <f t="shared" si="2"/>
        <v>-49</v>
      </c>
    </row>
    <row r="45" spans="1:16" ht="12.75" customHeight="1">
      <c r="A45" s="69" t="s">
        <v>401</v>
      </c>
      <c r="B45" s="253">
        <f>SUM(B46:B47)</f>
        <v>75000</v>
      </c>
      <c r="C45" s="284"/>
      <c r="D45" s="284">
        <f>D46+D47</f>
        <v>57211</v>
      </c>
      <c r="E45" s="281">
        <f>D45/B45*100</f>
        <v>76.28133333333334</v>
      </c>
      <c r="F45" s="283">
        <f>D45-'[16]Marts'!D45</f>
        <v>8043</v>
      </c>
      <c r="G45" s="69" t="s">
        <v>401</v>
      </c>
      <c r="H45" s="253">
        <v>75</v>
      </c>
      <c r="I45" s="253"/>
      <c r="J45" s="284">
        <v>65</v>
      </c>
      <c r="K45" s="285">
        <v>86.66666666666667</v>
      </c>
      <c r="L45" s="283">
        <v>8</v>
      </c>
      <c r="N45" s="191">
        <f t="shared" si="4"/>
        <v>65</v>
      </c>
      <c r="O45" s="191">
        <v>49</v>
      </c>
      <c r="P45" s="191">
        <f t="shared" si="2"/>
        <v>16</v>
      </c>
    </row>
    <row r="46" spans="1:16" ht="12.75">
      <c r="A46" s="77" t="s">
        <v>413</v>
      </c>
      <c r="B46" s="253">
        <v>15000</v>
      </c>
      <c r="C46" s="284"/>
      <c r="D46" s="284">
        <v>8125</v>
      </c>
      <c r="E46" s="281">
        <f>D46/B46*100</f>
        <v>54.166666666666664</v>
      </c>
      <c r="F46" s="283">
        <f>D46-'[16]Marts'!D46</f>
        <v>3150</v>
      </c>
      <c r="G46" s="77" t="s">
        <v>413</v>
      </c>
      <c r="H46" s="253">
        <v>15</v>
      </c>
      <c r="I46" s="253"/>
      <c r="J46" s="284">
        <v>8</v>
      </c>
      <c r="K46" s="285">
        <v>53.333333333333336</v>
      </c>
      <c r="L46" s="283">
        <v>0</v>
      </c>
      <c r="N46" s="191">
        <f t="shared" si="4"/>
        <v>65</v>
      </c>
      <c r="O46" s="191">
        <v>5</v>
      </c>
      <c r="P46" s="191">
        <f t="shared" si="2"/>
        <v>60</v>
      </c>
    </row>
    <row r="47" spans="1:16" ht="12.75">
      <c r="A47" s="77" t="s">
        <v>414</v>
      </c>
      <c r="B47" s="253">
        <v>60000</v>
      </c>
      <c r="C47" s="284"/>
      <c r="D47" s="284">
        <v>49086</v>
      </c>
      <c r="E47" s="281">
        <f>D47/B47*100</f>
        <v>81.81</v>
      </c>
      <c r="F47" s="283">
        <f>D47-'[16]Marts'!D47</f>
        <v>4893</v>
      </c>
      <c r="G47" s="77" t="s">
        <v>414</v>
      </c>
      <c r="H47" s="253">
        <v>60</v>
      </c>
      <c r="I47" s="253"/>
      <c r="J47" s="284">
        <v>57</v>
      </c>
      <c r="K47" s="285">
        <v>95</v>
      </c>
      <c r="L47" s="283">
        <v>8</v>
      </c>
      <c r="N47" s="191">
        <f t="shared" si="4"/>
        <v>8</v>
      </c>
      <c r="O47" s="191">
        <v>44</v>
      </c>
      <c r="P47" s="191">
        <f t="shared" si="2"/>
        <v>-36</v>
      </c>
    </row>
    <row r="48" spans="1:16" ht="12.75" customHeight="1">
      <c r="A48" s="32" t="s">
        <v>256</v>
      </c>
      <c r="B48" s="283"/>
      <c r="C48" s="283"/>
      <c r="D48" s="283"/>
      <c r="E48" s="281"/>
      <c r="F48" s="283"/>
      <c r="G48" s="32" t="s">
        <v>256</v>
      </c>
      <c r="H48" s="253"/>
      <c r="I48" s="253"/>
      <c r="J48" s="284"/>
      <c r="K48" s="285"/>
      <c r="L48" s="283"/>
      <c r="N48" s="191">
        <f t="shared" si="4"/>
        <v>57</v>
      </c>
      <c r="P48" s="191">
        <f t="shared" si="2"/>
        <v>57</v>
      </c>
    </row>
    <row r="49" spans="1:16" ht="12.75" customHeight="1">
      <c r="A49" s="245" t="s">
        <v>415</v>
      </c>
      <c r="B49" s="283"/>
      <c r="C49" s="283"/>
      <c r="D49" s="283"/>
      <c r="E49" s="281"/>
      <c r="F49" s="283"/>
      <c r="G49" s="245" t="s">
        <v>415</v>
      </c>
      <c r="H49" s="253"/>
      <c r="I49" s="253"/>
      <c r="J49" s="284"/>
      <c r="K49" s="285"/>
      <c r="L49" s="283"/>
      <c r="N49" s="191">
        <f t="shared" si="4"/>
        <v>0</v>
      </c>
      <c r="P49" s="191">
        <f t="shared" si="2"/>
        <v>0</v>
      </c>
    </row>
    <row r="50" spans="1:16" ht="12.75" customHeight="1">
      <c r="A50" s="251" t="s">
        <v>396</v>
      </c>
      <c r="B50" s="283">
        <f>B51</f>
        <v>1508663</v>
      </c>
      <c r="C50" s="287">
        <v>758660</v>
      </c>
      <c r="D50" s="283">
        <f>D51</f>
        <v>758660</v>
      </c>
      <c r="E50" s="281">
        <f aca="true" t="shared" si="5" ref="E50:E55">D50/B50*100</f>
        <v>50.286909667699156</v>
      </c>
      <c r="F50" s="283">
        <f>D50-'[16]Marts'!D50</f>
        <v>105160</v>
      </c>
      <c r="G50" s="251" t="s">
        <v>396</v>
      </c>
      <c r="H50" s="253">
        <v>1509</v>
      </c>
      <c r="I50" s="253">
        <v>866</v>
      </c>
      <c r="J50" s="284">
        <v>866</v>
      </c>
      <c r="K50" s="285">
        <v>57.38899933730948</v>
      </c>
      <c r="L50" s="283">
        <v>107</v>
      </c>
      <c r="N50" s="191">
        <f t="shared" si="4"/>
        <v>0</v>
      </c>
      <c r="O50" s="191">
        <v>654</v>
      </c>
      <c r="P50" s="191">
        <f t="shared" si="2"/>
        <v>-654</v>
      </c>
    </row>
    <row r="51" spans="1:16" ht="12.75" customHeight="1">
      <c r="A51" s="69" t="s">
        <v>416</v>
      </c>
      <c r="B51" s="253">
        <v>1508663</v>
      </c>
      <c r="C51" s="284"/>
      <c r="D51" s="284">
        <f>'[17]Aprīlis'!$N$6</f>
        <v>758660</v>
      </c>
      <c r="E51" s="281">
        <f t="shared" si="5"/>
        <v>50.286909667699156</v>
      </c>
      <c r="F51" s="283">
        <f>D51-'[16]Marts'!D51</f>
        <v>105160</v>
      </c>
      <c r="G51" s="69" t="s">
        <v>416</v>
      </c>
      <c r="H51" s="253">
        <v>1509</v>
      </c>
      <c r="I51" s="253"/>
      <c r="J51" s="284">
        <v>866</v>
      </c>
      <c r="K51" s="285">
        <v>57.38899933730948</v>
      </c>
      <c r="L51" s="283">
        <v>107</v>
      </c>
      <c r="N51" s="191">
        <f t="shared" si="4"/>
        <v>866</v>
      </c>
      <c r="O51" s="191">
        <v>654</v>
      </c>
      <c r="P51" s="191">
        <f t="shared" si="2"/>
        <v>212</v>
      </c>
    </row>
    <row r="52" spans="1:16" ht="12.75" customHeight="1">
      <c r="A52" s="251" t="s">
        <v>398</v>
      </c>
      <c r="B52" s="283">
        <f>SUM(B53+B55)</f>
        <v>1508663</v>
      </c>
      <c r="C52" s="283">
        <f>SUM(C53+C55)</f>
        <v>758660</v>
      </c>
      <c r="D52" s="283">
        <f>SUM(D53+D55)</f>
        <v>669694</v>
      </c>
      <c r="E52" s="281">
        <f t="shared" si="5"/>
        <v>44.38990019639906</v>
      </c>
      <c r="F52" s="283">
        <f>D52-'[16]Marts'!D52</f>
        <v>21087</v>
      </c>
      <c r="G52" s="251" t="s">
        <v>398</v>
      </c>
      <c r="H52" s="253">
        <v>1509</v>
      </c>
      <c r="I52" s="253">
        <v>866</v>
      </c>
      <c r="J52" s="284">
        <v>740</v>
      </c>
      <c r="K52" s="285">
        <v>49.039098740888</v>
      </c>
      <c r="L52" s="283">
        <v>70</v>
      </c>
      <c r="N52" s="191">
        <f t="shared" si="4"/>
        <v>866</v>
      </c>
      <c r="O52" s="191">
        <v>649</v>
      </c>
      <c r="P52" s="191">
        <f t="shared" si="2"/>
        <v>217</v>
      </c>
    </row>
    <row r="53" spans="1:16" ht="12.75" customHeight="1">
      <c r="A53" s="251" t="s">
        <v>417</v>
      </c>
      <c r="B53" s="253">
        <v>1333663</v>
      </c>
      <c r="C53" s="284">
        <v>600660</v>
      </c>
      <c r="D53" s="284">
        <f>'[17]Aprīlis'!$N$8</f>
        <v>552324</v>
      </c>
      <c r="E53" s="281">
        <f t="shared" si="5"/>
        <v>41.41406037357264</v>
      </c>
      <c r="F53" s="283">
        <f>D53-'[16]Marts'!D53</f>
        <v>11682</v>
      </c>
      <c r="G53" s="251" t="s">
        <v>417</v>
      </c>
      <c r="H53" s="253">
        <v>1334</v>
      </c>
      <c r="I53" s="253">
        <v>691</v>
      </c>
      <c r="J53" s="284">
        <v>603</v>
      </c>
      <c r="K53" s="285">
        <v>45.2023988005997</v>
      </c>
      <c r="L53" s="283">
        <v>50</v>
      </c>
      <c r="N53" s="191">
        <f t="shared" si="4"/>
        <v>740</v>
      </c>
      <c r="O53" s="191">
        <v>541</v>
      </c>
      <c r="P53" s="191">
        <f t="shared" si="2"/>
        <v>199</v>
      </c>
    </row>
    <row r="54" spans="1:16" ht="12.75" customHeight="1">
      <c r="A54" s="286" t="s">
        <v>418</v>
      </c>
      <c r="B54" s="253">
        <v>300000</v>
      </c>
      <c r="C54" s="284"/>
      <c r="D54" s="284">
        <f>'[17]Aprīlis'!$N$15</f>
        <v>200000</v>
      </c>
      <c r="E54" s="281">
        <f t="shared" si="5"/>
        <v>66.66666666666666</v>
      </c>
      <c r="F54" s="283">
        <f>D54-'[16]Marts'!D54</f>
        <v>0</v>
      </c>
      <c r="G54" s="286" t="s">
        <v>418</v>
      </c>
      <c r="H54" s="253">
        <v>300</v>
      </c>
      <c r="I54" s="253"/>
      <c r="J54" s="284">
        <v>200</v>
      </c>
      <c r="K54" s="285">
        <v>66.66666666666666</v>
      </c>
      <c r="L54" s="283"/>
      <c r="N54" s="191">
        <f t="shared" si="4"/>
        <v>603</v>
      </c>
      <c r="O54" s="191">
        <v>200</v>
      </c>
      <c r="P54" s="191">
        <f t="shared" si="2"/>
        <v>403</v>
      </c>
    </row>
    <row r="55" spans="1:16" ht="12.75" customHeight="1">
      <c r="A55" s="251" t="s">
        <v>419</v>
      </c>
      <c r="B55" s="253">
        <v>175000</v>
      </c>
      <c r="C55" s="284">
        <v>158000</v>
      </c>
      <c r="D55" s="284">
        <f>'[17]Aprīlis'!$N$30</f>
        <v>117370</v>
      </c>
      <c r="E55" s="281">
        <f t="shared" si="5"/>
        <v>67.06857142857143</v>
      </c>
      <c r="F55" s="283">
        <f>D55-'[16]Marts'!D55</f>
        <v>9405</v>
      </c>
      <c r="G55" s="251" t="s">
        <v>419</v>
      </c>
      <c r="H55" s="253">
        <v>175</v>
      </c>
      <c r="I55" s="253">
        <v>175</v>
      </c>
      <c r="J55" s="284">
        <v>137</v>
      </c>
      <c r="K55" s="285">
        <v>78.28571428571428</v>
      </c>
      <c r="L55" s="283">
        <v>20</v>
      </c>
      <c r="N55" s="191">
        <f t="shared" si="4"/>
        <v>200</v>
      </c>
      <c r="O55" s="191">
        <v>108</v>
      </c>
      <c r="P55" s="191">
        <f t="shared" si="2"/>
        <v>92</v>
      </c>
    </row>
    <row r="56" spans="1:16" ht="12.75" customHeight="1">
      <c r="A56" s="94" t="s">
        <v>420</v>
      </c>
      <c r="B56" s="283"/>
      <c r="C56" s="283"/>
      <c r="D56" s="283"/>
      <c r="E56" s="281"/>
      <c r="F56" s="283"/>
      <c r="G56" s="94" t="s">
        <v>420</v>
      </c>
      <c r="H56" s="253"/>
      <c r="I56" s="253"/>
      <c r="J56" s="284"/>
      <c r="K56" s="285"/>
      <c r="L56" s="283"/>
      <c r="N56" s="191">
        <f t="shared" si="4"/>
        <v>137</v>
      </c>
      <c r="P56" s="191">
        <f t="shared" si="2"/>
        <v>137</v>
      </c>
    </row>
    <row r="57" spans="1:16" ht="12.75" customHeight="1">
      <c r="A57" s="251" t="s">
        <v>396</v>
      </c>
      <c r="B57" s="283">
        <f>B58</f>
        <v>1181502</v>
      </c>
      <c r="C57" s="287">
        <v>625980</v>
      </c>
      <c r="D57" s="283">
        <f>D58+D59</f>
        <v>625980</v>
      </c>
      <c r="E57" s="281">
        <f>D57/B57*100</f>
        <v>52.98171310755293</v>
      </c>
      <c r="F57" s="283">
        <f>D57-'[16]Marts'!D57</f>
        <v>321628</v>
      </c>
      <c r="G57" s="251" t="s">
        <v>396</v>
      </c>
      <c r="H57" s="253">
        <v>1182</v>
      </c>
      <c r="I57" s="253">
        <v>635</v>
      </c>
      <c r="J57" s="284">
        <v>635</v>
      </c>
      <c r="K57" s="285">
        <v>53.72250423011844</v>
      </c>
      <c r="L57" s="283">
        <v>9</v>
      </c>
      <c r="N57" s="191">
        <f t="shared" si="4"/>
        <v>0</v>
      </c>
      <c r="O57" s="191">
        <v>304</v>
      </c>
      <c r="P57" s="191">
        <f t="shared" si="2"/>
        <v>-304</v>
      </c>
    </row>
    <row r="58" spans="1:16" ht="12" customHeight="1">
      <c r="A58" s="69" t="s">
        <v>416</v>
      </c>
      <c r="B58" s="253">
        <v>1181502</v>
      </c>
      <c r="C58" s="284"/>
      <c r="D58" s="284">
        <v>625980</v>
      </c>
      <c r="E58" s="281">
        <f>D58/B58*100</f>
        <v>52.98171310755293</v>
      </c>
      <c r="F58" s="283">
        <f>D58-'[16]Marts'!D58</f>
        <v>321628</v>
      </c>
      <c r="G58" s="69" t="s">
        <v>416</v>
      </c>
      <c r="H58" s="253">
        <v>1182</v>
      </c>
      <c r="I58" s="253"/>
      <c r="J58" s="284">
        <v>635</v>
      </c>
      <c r="K58" s="285">
        <v>53.72250423011844</v>
      </c>
      <c r="L58" s="283">
        <v>9</v>
      </c>
      <c r="N58" s="191">
        <f t="shared" si="4"/>
        <v>635</v>
      </c>
      <c r="O58" s="191">
        <v>304</v>
      </c>
      <c r="P58" s="191">
        <f t="shared" si="2"/>
        <v>331</v>
      </c>
    </row>
    <row r="59" spans="1:16" ht="0.75" customHeight="1" hidden="1">
      <c r="A59" s="69" t="s">
        <v>421</v>
      </c>
      <c r="B59" s="253"/>
      <c r="C59" s="284"/>
      <c r="D59" s="284"/>
      <c r="E59" s="281"/>
      <c r="F59" s="283"/>
      <c r="G59" s="69" t="s">
        <v>422</v>
      </c>
      <c r="H59" s="253"/>
      <c r="I59" s="253"/>
      <c r="J59" s="284">
        <v>0</v>
      </c>
      <c r="K59" s="285"/>
      <c r="L59" s="283"/>
      <c r="N59" s="191">
        <f t="shared" si="4"/>
        <v>635</v>
      </c>
      <c r="O59" s="191">
        <v>0</v>
      </c>
      <c r="P59" s="191">
        <f t="shared" si="2"/>
        <v>635</v>
      </c>
    </row>
    <row r="60" spans="1:16" ht="12.75" customHeight="1">
      <c r="A60" s="251" t="s">
        <v>398</v>
      </c>
      <c r="B60" s="283">
        <f>B61+B63</f>
        <v>1238299</v>
      </c>
      <c r="C60" s="283">
        <f>C61+C63</f>
        <v>650477</v>
      </c>
      <c r="D60" s="283">
        <f>D61+D63</f>
        <v>567279</v>
      </c>
      <c r="E60" s="281">
        <f>D60/B60*100</f>
        <v>45.81114900359283</v>
      </c>
      <c r="F60" s="283">
        <f>D60-'[16]Marts'!D60</f>
        <v>291329</v>
      </c>
      <c r="G60" s="251" t="s">
        <v>398</v>
      </c>
      <c r="H60" s="253">
        <v>1238</v>
      </c>
      <c r="I60" s="253">
        <v>659</v>
      </c>
      <c r="J60" s="284">
        <v>570</v>
      </c>
      <c r="K60" s="285">
        <v>46.04200323101777</v>
      </c>
      <c r="L60" s="283">
        <v>3</v>
      </c>
      <c r="N60" s="191">
        <f t="shared" si="4"/>
        <v>0</v>
      </c>
      <c r="O60" s="191">
        <v>276</v>
      </c>
      <c r="P60" s="191">
        <f t="shared" si="2"/>
        <v>-276</v>
      </c>
    </row>
    <row r="61" spans="1:16" ht="12.75" customHeight="1">
      <c r="A61" s="251" t="s">
        <v>417</v>
      </c>
      <c r="B61" s="253">
        <v>1235299</v>
      </c>
      <c r="C61" s="284">
        <v>649777</v>
      </c>
      <c r="D61" s="284">
        <f>'[17]Aprīlis'!$O$8</f>
        <v>567279</v>
      </c>
      <c r="E61" s="281">
        <f>D61/B61*100</f>
        <v>45.92240421145002</v>
      </c>
      <c r="F61" s="283">
        <f>D61-'[16]Marts'!D61</f>
        <v>291329</v>
      </c>
      <c r="G61" s="251" t="s">
        <v>417</v>
      </c>
      <c r="H61" s="253">
        <v>1235</v>
      </c>
      <c r="I61" s="253">
        <v>659</v>
      </c>
      <c r="J61" s="284">
        <v>570</v>
      </c>
      <c r="K61" s="285">
        <v>46.15384615384615</v>
      </c>
      <c r="L61" s="283">
        <v>3</v>
      </c>
      <c r="N61" s="191">
        <f t="shared" si="4"/>
        <v>570</v>
      </c>
      <c r="O61" s="191">
        <v>276</v>
      </c>
      <c r="P61" s="191">
        <f t="shared" si="2"/>
        <v>294</v>
      </c>
    </row>
    <row r="62" spans="1:16" ht="12.75" customHeight="1">
      <c r="A62" s="286" t="s">
        <v>418</v>
      </c>
      <c r="B62" s="253">
        <f>115807+13080</f>
        <v>128887</v>
      </c>
      <c r="C62" s="284"/>
      <c r="D62" s="284">
        <v>8761</v>
      </c>
      <c r="E62" s="281">
        <f>D62/B62*100</f>
        <v>6.797427203674538</v>
      </c>
      <c r="F62" s="283">
        <f>D62-'[16]Marts'!D62</f>
        <v>0</v>
      </c>
      <c r="G62" s="286" t="s">
        <v>418</v>
      </c>
      <c r="H62" s="253">
        <v>129</v>
      </c>
      <c r="I62" s="253"/>
      <c r="J62" s="284">
        <v>29</v>
      </c>
      <c r="K62" s="285">
        <v>22.48062015503876</v>
      </c>
      <c r="L62" s="283">
        <v>20</v>
      </c>
      <c r="N62" s="191">
        <f t="shared" si="4"/>
        <v>570</v>
      </c>
      <c r="O62" s="191">
        <v>9</v>
      </c>
      <c r="P62" s="191">
        <f t="shared" si="2"/>
        <v>561</v>
      </c>
    </row>
    <row r="63" spans="1:16" ht="12.75" customHeight="1">
      <c r="A63" s="251" t="s">
        <v>419</v>
      </c>
      <c r="B63" s="253">
        <v>3000</v>
      </c>
      <c r="C63" s="284">
        <v>700</v>
      </c>
      <c r="D63" s="284"/>
      <c r="E63" s="281"/>
      <c r="F63" s="283" t="e">
        <f>D63-'[16]Marts'!D63</f>
        <v>#REF!</v>
      </c>
      <c r="G63" s="251" t="s">
        <v>419</v>
      </c>
      <c r="H63" s="253">
        <v>3</v>
      </c>
      <c r="I63" s="253"/>
      <c r="J63" s="284"/>
      <c r="K63" s="285"/>
      <c r="L63" s="291"/>
      <c r="N63" s="191">
        <f t="shared" si="4"/>
        <v>29</v>
      </c>
      <c r="P63" s="191">
        <f t="shared" si="2"/>
        <v>29</v>
      </c>
    </row>
    <row r="64" spans="1:16" ht="12.75" customHeight="1">
      <c r="A64" s="251" t="s">
        <v>236</v>
      </c>
      <c r="B64" s="253">
        <v>6699203</v>
      </c>
      <c r="C64" s="284">
        <v>3047903</v>
      </c>
      <c r="D64" s="284">
        <f>'[17]Aprīlis'!$O$33</f>
        <v>2569307</v>
      </c>
      <c r="E64" s="281">
        <f>D64/B64*100</f>
        <v>38.3524278932882</v>
      </c>
      <c r="F64" s="283">
        <f>D64-'[16]Marts'!D64</f>
        <v>595980</v>
      </c>
      <c r="G64" s="251" t="s">
        <v>236</v>
      </c>
      <c r="H64" s="253">
        <v>6699</v>
      </c>
      <c r="I64" s="253">
        <v>3475</v>
      </c>
      <c r="J64" s="284">
        <v>3162</v>
      </c>
      <c r="K64" s="285">
        <v>47.201074787281684</v>
      </c>
      <c r="L64" s="283">
        <v>593</v>
      </c>
      <c r="N64" s="191">
        <f t="shared" si="4"/>
        <v>0</v>
      </c>
      <c r="O64" s="191">
        <v>1973</v>
      </c>
      <c r="P64" s="191">
        <f t="shared" si="2"/>
        <v>-1973</v>
      </c>
    </row>
    <row r="65" spans="1:16" ht="12.75" customHeight="1">
      <c r="A65" s="251" t="s">
        <v>237</v>
      </c>
      <c r="B65" s="253">
        <f>B57-B60-B64</f>
        <v>-6756000</v>
      </c>
      <c r="C65" s="284">
        <f>C57-C60</f>
        <v>-24497</v>
      </c>
      <c r="D65" s="253">
        <f>D57-D60-D64</f>
        <v>-2510606</v>
      </c>
      <c r="E65" s="281">
        <f>D65/B65*100</f>
        <v>37.16113084665483</v>
      </c>
      <c r="F65" s="283">
        <f>D65-'[16]Marts'!D65</f>
        <v>-565681</v>
      </c>
      <c r="G65" s="251" t="s">
        <v>237</v>
      </c>
      <c r="H65" s="253">
        <v>-6756</v>
      </c>
      <c r="I65" s="253"/>
      <c r="J65" s="284">
        <v>-3097</v>
      </c>
      <c r="K65" s="285">
        <v>45.84073416222617</v>
      </c>
      <c r="L65" s="283">
        <v>-587</v>
      </c>
      <c r="N65" s="191">
        <f t="shared" si="4"/>
        <v>3162</v>
      </c>
      <c r="O65" s="191">
        <v>-1945</v>
      </c>
      <c r="P65" s="191">
        <f t="shared" si="2"/>
        <v>5107</v>
      </c>
    </row>
    <row r="66" spans="1:16" ht="12.75" customHeight="1">
      <c r="A66" s="251" t="s">
        <v>423</v>
      </c>
      <c r="B66" s="253">
        <v>6756000</v>
      </c>
      <c r="C66" s="284">
        <f>538100+848100+1058100+628100</f>
        <v>3072400</v>
      </c>
      <c r="D66" s="284">
        <f>'[17]Aprīlis'!$O$43</f>
        <v>2655227</v>
      </c>
      <c r="E66" s="281">
        <f>D66/B66*100</f>
        <v>39.30176139727649</v>
      </c>
      <c r="F66" s="283">
        <f>D66-'[16]Marts'!D66</f>
        <v>612072</v>
      </c>
      <c r="G66" s="251" t="s">
        <v>423</v>
      </c>
      <c r="H66" s="253">
        <v>6756</v>
      </c>
      <c r="I66" s="253">
        <v>3501</v>
      </c>
      <c r="J66" s="284">
        <v>3251</v>
      </c>
      <c r="K66" s="285">
        <v>48.12018946121966</v>
      </c>
      <c r="L66" s="283">
        <v>596</v>
      </c>
      <c r="N66" s="191">
        <f t="shared" si="4"/>
        <v>-3097</v>
      </c>
      <c r="O66" s="191">
        <v>2043</v>
      </c>
      <c r="P66" s="191">
        <f t="shared" si="2"/>
        <v>-5140</v>
      </c>
    </row>
    <row r="67" spans="1:16" ht="12.75" customHeight="1">
      <c r="A67" s="76" t="s">
        <v>258</v>
      </c>
      <c r="B67" s="283"/>
      <c r="C67" s="283"/>
      <c r="D67" s="283"/>
      <c r="E67" s="281"/>
      <c r="F67" s="283" t="e">
        <f>D67-'[16]Marts'!D67</f>
        <v>#REF!</v>
      </c>
      <c r="G67" s="76" t="s">
        <v>258</v>
      </c>
      <c r="H67" s="253"/>
      <c r="I67" s="253"/>
      <c r="J67" s="284"/>
      <c r="K67" s="285"/>
      <c r="L67" s="283"/>
      <c r="N67" s="191">
        <f t="shared" si="4"/>
        <v>3251</v>
      </c>
      <c r="P67" s="191">
        <f t="shared" si="2"/>
        <v>3251</v>
      </c>
    </row>
    <row r="68" spans="1:16" ht="12.75" customHeight="1">
      <c r="A68" s="245" t="s">
        <v>424</v>
      </c>
      <c r="B68" s="283"/>
      <c r="C68" s="283"/>
      <c r="D68" s="283"/>
      <c r="E68" s="281"/>
      <c r="F68" s="283" t="e">
        <f>D68-'[16]Marts'!D68</f>
        <v>#REF!</v>
      </c>
      <c r="G68" s="245" t="s">
        <v>424</v>
      </c>
      <c r="H68" s="253"/>
      <c r="I68" s="253"/>
      <c r="J68" s="284"/>
      <c r="K68" s="285"/>
      <c r="L68" s="283"/>
      <c r="N68" s="191">
        <f t="shared" si="4"/>
        <v>0</v>
      </c>
      <c r="P68" s="191">
        <f t="shared" si="2"/>
        <v>0</v>
      </c>
    </row>
    <row r="69" spans="1:16" ht="12.75" customHeight="1">
      <c r="A69" s="251" t="s">
        <v>396</v>
      </c>
      <c r="B69" s="283">
        <f>SUM(B70:B71)</f>
        <v>500000</v>
      </c>
      <c r="C69" s="287">
        <v>200000</v>
      </c>
      <c r="D69" s="283">
        <f>SUM(D70:D71)</f>
        <v>261250</v>
      </c>
      <c r="E69" s="281">
        <f>D69/B69*100</f>
        <v>52.25</v>
      </c>
      <c r="F69" s="283">
        <f>D69-'[16]Marts'!D69</f>
        <v>46720</v>
      </c>
      <c r="G69" s="251" t="s">
        <v>396</v>
      </c>
      <c r="H69" s="253">
        <v>500</v>
      </c>
      <c r="I69" s="253">
        <v>274</v>
      </c>
      <c r="J69" s="284">
        <v>302</v>
      </c>
      <c r="K69" s="285">
        <v>60.4</v>
      </c>
      <c r="L69" s="283">
        <v>41</v>
      </c>
      <c r="N69" s="191">
        <f t="shared" si="4"/>
        <v>0</v>
      </c>
      <c r="O69" s="191">
        <v>214</v>
      </c>
      <c r="P69" s="191">
        <f t="shared" si="2"/>
        <v>-214</v>
      </c>
    </row>
    <row r="70" spans="1:16" ht="12.75" customHeight="1">
      <c r="A70" s="69" t="s">
        <v>425</v>
      </c>
      <c r="B70" s="253">
        <v>300000</v>
      </c>
      <c r="C70" s="284"/>
      <c r="D70" s="284">
        <v>141244</v>
      </c>
      <c r="E70" s="281">
        <f>D70/B70*100</f>
        <v>47.08133333333333</v>
      </c>
      <c r="F70" s="283">
        <f>D70-'[16]Marts'!D70</f>
        <v>43083</v>
      </c>
      <c r="G70" s="69" t="s">
        <v>425</v>
      </c>
      <c r="H70" s="253">
        <v>300</v>
      </c>
      <c r="I70" s="253"/>
      <c r="J70" s="284">
        <v>181</v>
      </c>
      <c r="K70" s="285">
        <v>60.333333333333336</v>
      </c>
      <c r="L70" s="283">
        <v>40</v>
      </c>
      <c r="N70" s="191">
        <f t="shared" si="4"/>
        <v>302</v>
      </c>
      <c r="O70" s="191">
        <v>98</v>
      </c>
      <c r="P70" s="191">
        <f t="shared" si="2"/>
        <v>204</v>
      </c>
    </row>
    <row r="71" spans="1:16" ht="12.75" customHeight="1">
      <c r="A71" s="69" t="s">
        <v>426</v>
      </c>
      <c r="B71" s="253">
        <v>200000</v>
      </c>
      <c r="C71" s="284"/>
      <c r="D71" s="284">
        <f>261250-141244</f>
        <v>120006</v>
      </c>
      <c r="E71" s="281">
        <f>D71/B71*100</f>
        <v>60.00299999999999</v>
      </c>
      <c r="F71" s="283">
        <f>D71-'[16]Marts'!D71</f>
        <v>3637</v>
      </c>
      <c r="G71" s="69" t="s">
        <v>426</v>
      </c>
      <c r="H71" s="253">
        <v>200</v>
      </c>
      <c r="I71" s="253"/>
      <c r="J71" s="284">
        <v>121</v>
      </c>
      <c r="K71" s="285">
        <v>60.5</v>
      </c>
      <c r="L71" s="283">
        <v>1</v>
      </c>
      <c r="N71" s="191">
        <f t="shared" si="4"/>
        <v>181</v>
      </c>
      <c r="O71" s="191">
        <v>116</v>
      </c>
      <c r="P71" s="191">
        <f t="shared" si="2"/>
        <v>65</v>
      </c>
    </row>
    <row r="72" spans="1:16" ht="12.75" customHeight="1">
      <c r="A72" s="251" t="s">
        <v>398</v>
      </c>
      <c r="B72" s="283">
        <f>SUM(B73:B74)</f>
        <v>500000</v>
      </c>
      <c r="C72" s="283">
        <f>SUM(C73:C74)</f>
        <v>200000</v>
      </c>
      <c r="D72" s="283">
        <f>SUM(D73:D74)</f>
        <v>146467</v>
      </c>
      <c r="E72" s="281">
        <f>D72/B72*100</f>
        <v>29.293400000000002</v>
      </c>
      <c r="F72" s="283">
        <f>D72-'[16]Marts'!D72</f>
        <v>81437</v>
      </c>
      <c r="G72" s="251" t="s">
        <v>398</v>
      </c>
      <c r="H72" s="253">
        <v>500</v>
      </c>
      <c r="I72" s="253">
        <v>274</v>
      </c>
      <c r="J72" s="284">
        <v>209</v>
      </c>
      <c r="K72" s="285">
        <v>41.8</v>
      </c>
      <c r="L72" s="283">
        <v>64</v>
      </c>
      <c r="N72" s="191">
        <f t="shared" si="4"/>
        <v>121</v>
      </c>
      <c r="O72" s="191">
        <v>65</v>
      </c>
      <c r="P72" s="191">
        <f t="shared" si="2"/>
        <v>56</v>
      </c>
    </row>
    <row r="73" spans="1:16" ht="12.75" customHeight="1">
      <c r="A73" s="251" t="s">
        <v>399</v>
      </c>
      <c r="B73" s="253">
        <v>413000</v>
      </c>
      <c r="C73" s="284">
        <v>189000</v>
      </c>
      <c r="D73" s="284">
        <f>'[17]Aprīlis'!$L$8</f>
        <v>135467</v>
      </c>
      <c r="E73" s="281">
        <f>D73/B73*100</f>
        <v>32.80072639225182</v>
      </c>
      <c r="F73" s="283">
        <f>D73-'[16]Marts'!D73</f>
        <v>76166</v>
      </c>
      <c r="G73" s="251" t="s">
        <v>399</v>
      </c>
      <c r="H73" s="253">
        <v>413</v>
      </c>
      <c r="I73" s="253">
        <v>239</v>
      </c>
      <c r="J73" s="284">
        <v>175</v>
      </c>
      <c r="K73" s="285">
        <v>42.3728813559322</v>
      </c>
      <c r="L73" s="283">
        <v>40</v>
      </c>
      <c r="N73" s="191">
        <f t="shared" si="4"/>
        <v>209</v>
      </c>
      <c r="O73" s="191">
        <v>59</v>
      </c>
      <c r="P73" s="191">
        <f t="shared" si="2"/>
        <v>150</v>
      </c>
    </row>
    <row r="74" spans="1:16" ht="12.75" customHeight="1">
      <c r="A74" s="251" t="s">
        <v>393</v>
      </c>
      <c r="B74" s="253">
        <v>87000</v>
      </c>
      <c r="C74" s="284">
        <v>11000</v>
      </c>
      <c r="D74" s="284">
        <f>'[17]Aprīlis'!$L$30</f>
        <v>11000</v>
      </c>
      <c r="E74" s="281"/>
      <c r="F74" s="283">
        <f>D74-'[16]Marts'!D74</f>
        <v>5271</v>
      </c>
      <c r="G74" s="251" t="s">
        <v>393</v>
      </c>
      <c r="H74" s="253">
        <v>87</v>
      </c>
      <c r="I74" s="253">
        <v>35</v>
      </c>
      <c r="J74" s="284">
        <v>34</v>
      </c>
      <c r="K74" s="285">
        <v>39.08045977011494</v>
      </c>
      <c r="L74" s="283">
        <v>24</v>
      </c>
      <c r="N74" s="191">
        <f t="shared" si="4"/>
        <v>175</v>
      </c>
      <c r="O74" s="191">
        <v>6</v>
      </c>
      <c r="P74" s="191">
        <f aca="true" t="shared" si="6" ref="P74:P137">N74-O74</f>
        <v>169</v>
      </c>
    </row>
    <row r="75" spans="1:16" ht="12.75" customHeight="1">
      <c r="A75" s="32" t="s">
        <v>260</v>
      </c>
      <c r="B75" s="253"/>
      <c r="C75" s="253"/>
      <c r="D75" s="253"/>
      <c r="E75" s="281"/>
      <c r="F75" s="283" t="e">
        <f>D75-'[16]Marts'!D75</f>
        <v>#REF!</v>
      </c>
      <c r="G75" s="32" t="s">
        <v>260</v>
      </c>
      <c r="H75" s="253"/>
      <c r="I75" s="253"/>
      <c r="J75" s="284"/>
      <c r="K75" s="285"/>
      <c r="L75" s="283"/>
      <c r="N75" s="191">
        <f t="shared" si="4"/>
        <v>34</v>
      </c>
      <c r="P75" s="191">
        <f t="shared" si="6"/>
        <v>34</v>
      </c>
    </row>
    <row r="76" spans="1:16" ht="12.75" customHeight="1">
      <c r="A76" s="245" t="s">
        <v>427</v>
      </c>
      <c r="B76" s="283"/>
      <c r="C76" s="283"/>
      <c r="D76" s="283"/>
      <c r="E76" s="281"/>
      <c r="F76" s="283" t="e">
        <f>D76-'[16]Marts'!D76</f>
        <v>#REF!</v>
      </c>
      <c r="G76" s="245" t="s">
        <v>427</v>
      </c>
      <c r="H76" s="253"/>
      <c r="I76" s="253"/>
      <c r="J76" s="284"/>
      <c r="K76" s="285"/>
      <c r="L76" s="283"/>
      <c r="N76" s="191">
        <f t="shared" si="4"/>
        <v>0</v>
      </c>
      <c r="P76" s="191">
        <f t="shared" si="6"/>
        <v>0</v>
      </c>
    </row>
    <row r="77" spans="1:16" ht="12.75" customHeight="1">
      <c r="A77" s="251" t="s">
        <v>396</v>
      </c>
      <c r="B77" s="283">
        <f>SUM(B78:B81)</f>
        <v>59956437</v>
      </c>
      <c r="C77" s="287">
        <v>19674437</v>
      </c>
      <c r="D77" s="283">
        <f>SUM(D78:D81)</f>
        <v>15292557</v>
      </c>
      <c r="E77" s="281">
        <f aca="true" t="shared" si="7" ref="E77:E83">D77/B77*100</f>
        <v>25.50611371386195</v>
      </c>
      <c r="F77" s="283">
        <f>D77-'[16]Marts'!D77</f>
        <v>3410144</v>
      </c>
      <c r="G77" s="251" t="s">
        <v>396</v>
      </c>
      <c r="H77" s="253">
        <v>59956</v>
      </c>
      <c r="I77" s="253">
        <v>25128</v>
      </c>
      <c r="J77" s="284">
        <v>20608</v>
      </c>
      <c r="K77" s="285">
        <v>34.371872706651544</v>
      </c>
      <c r="L77" s="283">
        <v>5315</v>
      </c>
      <c r="N77" s="191">
        <f t="shared" si="4"/>
        <v>0</v>
      </c>
      <c r="O77" s="191">
        <v>11882</v>
      </c>
      <c r="P77" s="191">
        <f t="shared" si="6"/>
        <v>-11882</v>
      </c>
    </row>
    <row r="78" spans="1:16" ht="12.75" customHeight="1">
      <c r="A78" s="251" t="s">
        <v>428</v>
      </c>
      <c r="B78" s="253">
        <v>8300000</v>
      </c>
      <c r="C78" s="284"/>
      <c r="D78" s="284">
        <v>3141852</v>
      </c>
      <c r="E78" s="281">
        <f t="shared" si="7"/>
        <v>37.853638554216865</v>
      </c>
      <c r="F78" s="283">
        <f>D78-'[16]Marts'!D78</f>
        <v>848701</v>
      </c>
      <c r="G78" s="251" t="s">
        <v>428</v>
      </c>
      <c r="H78" s="253">
        <v>8300</v>
      </c>
      <c r="I78" s="253"/>
      <c r="J78" s="284">
        <v>4041</v>
      </c>
      <c r="K78" s="285">
        <v>48.68674698795181</v>
      </c>
      <c r="L78" s="283">
        <v>899</v>
      </c>
      <c r="N78" s="191">
        <f t="shared" si="4"/>
        <v>20608</v>
      </c>
      <c r="O78" s="191">
        <v>2293</v>
      </c>
      <c r="P78" s="191">
        <f t="shared" si="6"/>
        <v>18315</v>
      </c>
    </row>
    <row r="79" spans="1:16" ht="12.75" customHeight="1">
      <c r="A79" s="251" t="s">
        <v>429</v>
      </c>
      <c r="B79" s="253">
        <v>49067000</v>
      </c>
      <c r="C79" s="284"/>
      <c r="D79" s="284">
        <v>11413595</v>
      </c>
      <c r="E79" s="281">
        <f t="shared" si="7"/>
        <v>23.261244828499805</v>
      </c>
      <c r="F79" s="283">
        <f>D79-'[16]Marts'!D79</f>
        <v>2406990</v>
      </c>
      <c r="G79" s="251" t="s">
        <v>429</v>
      </c>
      <c r="H79" s="253">
        <v>49067</v>
      </c>
      <c r="I79" s="253"/>
      <c r="J79" s="284">
        <v>15646</v>
      </c>
      <c r="K79" s="285">
        <v>31.887011637149204</v>
      </c>
      <c r="L79" s="283">
        <v>4232</v>
      </c>
      <c r="N79" s="191">
        <f t="shared" si="4"/>
        <v>4041</v>
      </c>
      <c r="O79" s="191">
        <v>9007</v>
      </c>
      <c r="P79" s="191">
        <f t="shared" si="6"/>
        <v>-4966</v>
      </c>
    </row>
    <row r="80" spans="1:16" ht="12.75" customHeight="1">
      <c r="A80" s="127" t="s">
        <v>312</v>
      </c>
      <c r="B80" s="253">
        <v>50000</v>
      </c>
      <c r="C80" s="284"/>
      <c r="D80" s="284">
        <v>13872</v>
      </c>
      <c r="E80" s="281">
        <f t="shared" si="7"/>
        <v>27.744000000000003</v>
      </c>
      <c r="F80" s="283">
        <f>D80-'[16]Marts'!D80</f>
        <v>7505</v>
      </c>
      <c r="G80" s="127" t="s">
        <v>312</v>
      </c>
      <c r="H80" s="253">
        <v>50</v>
      </c>
      <c r="I80" s="253"/>
      <c r="J80" s="284">
        <v>30</v>
      </c>
      <c r="K80" s="285">
        <v>60</v>
      </c>
      <c r="L80" s="283">
        <v>16</v>
      </c>
      <c r="N80" s="191">
        <f t="shared" si="4"/>
        <v>15646</v>
      </c>
      <c r="O80" s="191">
        <v>6</v>
      </c>
      <c r="P80" s="191">
        <f t="shared" si="6"/>
        <v>15640</v>
      </c>
    </row>
    <row r="81" spans="1:16" ht="12.75" customHeight="1">
      <c r="A81" s="251" t="s">
        <v>313</v>
      </c>
      <c r="B81" s="253">
        <v>2539437</v>
      </c>
      <c r="C81" s="284"/>
      <c r="D81" s="284">
        <v>723238</v>
      </c>
      <c r="E81" s="281">
        <f t="shared" si="7"/>
        <v>28.480249756146737</v>
      </c>
      <c r="F81" s="283">
        <f>D81-'[16]Marts'!D81</f>
        <v>146948</v>
      </c>
      <c r="G81" s="251" t="s">
        <v>313</v>
      </c>
      <c r="H81" s="253">
        <v>2539</v>
      </c>
      <c r="I81" s="253"/>
      <c r="J81" s="284">
        <v>891</v>
      </c>
      <c r="K81" s="285">
        <v>35.09255612445845</v>
      </c>
      <c r="L81" s="283">
        <v>168</v>
      </c>
      <c r="N81" s="191">
        <f t="shared" si="4"/>
        <v>30</v>
      </c>
      <c r="O81" s="191">
        <v>576</v>
      </c>
      <c r="P81" s="191">
        <f t="shared" si="6"/>
        <v>-546</v>
      </c>
    </row>
    <row r="82" spans="1:16" ht="12.75" customHeight="1">
      <c r="A82" s="251" t="s">
        <v>398</v>
      </c>
      <c r="B82" s="283">
        <f>B83+B85</f>
        <v>69956437</v>
      </c>
      <c r="C82" s="283">
        <f>C83+C85</f>
        <v>25045437</v>
      </c>
      <c r="D82" s="283">
        <f>D83+D85</f>
        <v>20521165</v>
      </c>
      <c r="E82" s="281">
        <f t="shared" si="7"/>
        <v>29.334205514211654</v>
      </c>
      <c r="F82" s="283">
        <f>D82-'[16]Marts'!D82</f>
        <v>5134717</v>
      </c>
      <c r="G82" s="251" t="s">
        <v>398</v>
      </c>
      <c r="H82" s="253">
        <v>69956</v>
      </c>
      <c r="I82" s="253">
        <v>30770</v>
      </c>
      <c r="J82" s="284">
        <v>24998</v>
      </c>
      <c r="K82" s="285">
        <v>35.73388987363486</v>
      </c>
      <c r="L82" s="283">
        <v>4477</v>
      </c>
      <c r="N82" s="191">
        <f t="shared" si="4"/>
        <v>891</v>
      </c>
      <c r="O82" s="191">
        <v>15386</v>
      </c>
      <c r="P82" s="191">
        <f t="shared" si="6"/>
        <v>-14495</v>
      </c>
    </row>
    <row r="83" spans="1:16" ht="13.5" customHeight="1">
      <c r="A83" s="251" t="s">
        <v>399</v>
      </c>
      <c r="B83" s="253">
        <v>48836071</v>
      </c>
      <c r="C83" s="284">
        <v>19154437</v>
      </c>
      <c r="D83" s="284">
        <f>'[17]Aprīlis'!$I$8</f>
        <v>16383969</v>
      </c>
      <c r="E83" s="281">
        <f t="shared" si="7"/>
        <v>33.5489089611652</v>
      </c>
      <c r="F83" s="283">
        <f>D83-'[16]Marts'!D83</f>
        <v>4767872</v>
      </c>
      <c r="G83" s="251" t="s">
        <v>399</v>
      </c>
      <c r="H83" s="253">
        <v>48836</v>
      </c>
      <c r="I83" s="114">
        <v>23099</v>
      </c>
      <c r="J83" s="284">
        <v>19968</v>
      </c>
      <c r="K83" s="285">
        <v>40.887869604390204</v>
      </c>
      <c r="L83" s="283">
        <v>3584</v>
      </c>
      <c r="N83" s="191">
        <f t="shared" si="4"/>
        <v>24998</v>
      </c>
      <c r="O83" s="191">
        <v>11616</v>
      </c>
      <c r="P83" s="191">
        <f t="shared" si="6"/>
        <v>13382</v>
      </c>
    </row>
    <row r="84" spans="1:16" ht="12.75" customHeight="1">
      <c r="A84" s="286" t="s">
        <v>430</v>
      </c>
      <c r="B84" s="253">
        <v>3724139</v>
      </c>
      <c r="C84" s="284"/>
      <c r="D84" s="284">
        <f>'[17]Aprīlis'!$I$15</f>
        <v>1736363</v>
      </c>
      <c r="E84" s="281"/>
      <c r="F84" s="283">
        <f>D84-'[16]Marts'!D84</f>
        <v>1144067</v>
      </c>
      <c r="G84" s="286" t="s">
        <v>430</v>
      </c>
      <c r="H84" s="253">
        <v>3724</v>
      </c>
      <c r="I84" s="253"/>
      <c r="J84" s="284">
        <v>1736</v>
      </c>
      <c r="K84" s="285">
        <v>46.616541353383454</v>
      </c>
      <c r="L84" s="283">
        <v>0</v>
      </c>
      <c r="N84" s="191">
        <f t="shared" si="4"/>
        <v>19968</v>
      </c>
      <c r="O84" s="191">
        <v>592</v>
      </c>
      <c r="P84" s="191">
        <f t="shared" si="6"/>
        <v>19376</v>
      </c>
    </row>
    <row r="85" spans="1:16" ht="12.75" customHeight="1">
      <c r="A85" s="251" t="s">
        <v>393</v>
      </c>
      <c r="B85" s="253">
        <v>21120366</v>
      </c>
      <c r="C85" s="284">
        <v>5891000</v>
      </c>
      <c r="D85" s="284">
        <f>'[17]Aprīlis'!$I$30</f>
        <v>4137196</v>
      </c>
      <c r="E85" s="281">
        <f>D85/B85*100</f>
        <v>19.588656749603675</v>
      </c>
      <c r="F85" s="283">
        <f>D85-'[16]Marts'!D85</f>
        <v>366845</v>
      </c>
      <c r="G85" s="251" t="s">
        <v>393</v>
      </c>
      <c r="H85" s="253">
        <v>21120</v>
      </c>
      <c r="I85" s="253">
        <v>7671</v>
      </c>
      <c r="J85" s="284">
        <v>5030</v>
      </c>
      <c r="K85" s="285">
        <v>23.81628787878788</v>
      </c>
      <c r="L85" s="283">
        <v>893</v>
      </c>
      <c r="N85" s="191">
        <f t="shared" si="4"/>
        <v>1736</v>
      </c>
      <c r="O85" s="191">
        <v>3770</v>
      </c>
      <c r="P85" s="191">
        <f t="shared" si="6"/>
        <v>-2034</v>
      </c>
    </row>
    <row r="86" spans="1:16" ht="12.75" customHeight="1">
      <c r="A86" s="251" t="s">
        <v>237</v>
      </c>
      <c r="B86" s="283">
        <f>B77-B82</f>
        <v>-10000000</v>
      </c>
      <c r="C86" s="287">
        <f>C77-C82</f>
        <v>-5371000</v>
      </c>
      <c r="D86" s="283">
        <f>D77-D82</f>
        <v>-5228608</v>
      </c>
      <c r="E86" s="281">
        <f>D86/B86*100</f>
        <v>52.28608</v>
      </c>
      <c r="F86" s="283">
        <f>D86-'[16]Marts'!D86</f>
        <v>-1724573</v>
      </c>
      <c r="G86" s="251" t="s">
        <v>237</v>
      </c>
      <c r="H86" s="253">
        <v>-10000</v>
      </c>
      <c r="I86" s="253">
        <v>-5642</v>
      </c>
      <c r="J86" s="284">
        <v>-4390</v>
      </c>
      <c r="K86" s="285">
        <v>43.9</v>
      </c>
      <c r="L86" s="283">
        <v>838</v>
      </c>
      <c r="N86" s="191">
        <f t="shared" si="4"/>
        <v>5030</v>
      </c>
      <c r="O86" s="191">
        <v>-3504</v>
      </c>
      <c r="P86" s="191">
        <f t="shared" si="6"/>
        <v>8534</v>
      </c>
    </row>
    <row r="87" spans="1:16" ht="12.75" customHeight="1">
      <c r="A87" s="69" t="s">
        <v>394</v>
      </c>
      <c r="B87" s="253">
        <v>10000000</v>
      </c>
      <c r="C87" s="284">
        <f>2365000+745067+659000+1601933</f>
        <v>5371000</v>
      </c>
      <c r="D87" s="284">
        <f>'[17]Aprīlis'!$I$43</f>
        <v>4801066</v>
      </c>
      <c r="E87" s="281">
        <f>D87/B87*100</f>
        <v>48.01066</v>
      </c>
      <c r="F87" s="283">
        <f>D87-'[16]Marts'!D87</f>
        <v>1499999</v>
      </c>
      <c r="G87" s="69" t="s">
        <v>394</v>
      </c>
      <c r="H87" s="253">
        <v>10000</v>
      </c>
      <c r="I87" s="253">
        <v>5642</v>
      </c>
      <c r="J87" s="284">
        <v>5381</v>
      </c>
      <c r="K87" s="285">
        <v>53.81</v>
      </c>
      <c r="L87" s="283">
        <v>580</v>
      </c>
      <c r="N87" s="191">
        <f t="shared" si="4"/>
        <v>-4390</v>
      </c>
      <c r="O87" s="191">
        <v>3301</v>
      </c>
      <c r="P87" s="191">
        <f t="shared" si="6"/>
        <v>-7691</v>
      </c>
    </row>
    <row r="88" spans="1:16" ht="12.75" customHeight="1">
      <c r="A88" s="245" t="s">
        <v>431</v>
      </c>
      <c r="B88" s="283"/>
      <c r="C88" s="283"/>
      <c r="D88" s="283"/>
      <c r="E88" s="281"/>
      <c r="F88" s="283" t="e">
        <f>D88-'[16]Marts'!D88</f>
        <v>#REF!</v>
      </c>
      <c r="G88" s="245" t="s">
        <v>431</v>
      </c>
      <c r="H88" s="253"/>
      <c r="I88" s="253"/>
      <c r="J88" s="284"/>
      <c r="K88" s="285"/>
      <c r="L88" s="283"/>
      <c r="N88" s="191">
        <f t="shared" si="4"/>
        <v>5381</v>
      </c>
      <c r="P88" s="191">
        <f t="shared" si="6"/>
        <v>5381</v>
      </c>
    </row>
    <row r="89" spans="1:16" ht="12.75" customHeight="1">
      <c r="A89" s="251" t="s">
        <v>396</v>
      </c>
      <c r="B89" s="283">
        <f>B90</f>
        <v>700000</v>
      </c>
      <c r="C89" s="287">
        <v>110000</v>
      </c>
      <c r="D89" s="283">
        <f>D90</f>
        <v>195542</v>
      </c>
      <c r="E89" s="281">
        <f>D89/B89*100</f>
        <v>27.93457142857143</v>
      </c>
      <c r="F89" s="283">
        <f>D89-'[16]Marts'!D89</f>
        <v>40841</v>
      </c>
      <c r="G89" s="251" t="s">
        <v>396</v>
      </c>
      <c r="H89" s="253">
        <v>700</v>
      </c>
      <c r="I89" s="253">
        <v>145</v>
      </c>
      <c r="J89" s="284">
        <v>339</v>
      </c>
      <c r="K89" s="285">
        <v>48.42857142857142</v>
      </c>
      <c r="L89" s="283">
        <v>143</v>
      </c>
      <c r="N89" s="191">
        <f t="shared" si="4"/>
        <v>0</v>
      </c>
      <c r="O89" s="191">
        <v>155</v>
      </c>
      <c r="P89" s="191">
        <f t="shared" si="6"/>
        <v>-155</v>
      </c>
    </row>
    <row r="90" spans="1:16" ht="12.75" customHeight="1">
      <c r="A90" s="251" t="s">
        <v>432</v>
      </c>
      <c r="B90" s="253">
        <v>700000</v>
      </c>
      <c r="C90" s="284"/>
      <c r="D90" s="284">
        <f>'[17]Aprīlis'!$F$6</f>
        <v>195542</v>
      </c>
      <c r="E90" s="281">
        <f>D90/B90*100</f>
        <v>27.93457142857143</v>
      </c>
      <c r="F90" s="283">
        <f>D90-'[16]Marts'!D90</f>
        <v>40841</v>
      </c>
      <c r="G90" s="251" t="s">
        <v>432</v>
      </c>
      <c r="H90" s="253">
        <v>700</v>
      </c>
      <c r="I90" s="253"/>
      <c r="J90" s="284">
        <v>339</v>
      </c>
      <c r="K90" s="285">
        <v>48.42857142857142</v>
      </c>
      <c r="L90" s="283">
        <v>143</v>
      </c>
      <c r="N90" s="191">
        <f t="shared" si="4"/>
        <v>339</v>
      </c>
      <c r="O90" s="191">
        <v>155</v>
      </c>
      <c r="P90" s="191">
        <f t="shared" si="6"/>
        <v>184</v>
      </c>
    </row>
    <row r="91" spans="1:16" ht="12.75" customHeight="1">
      <c r="A91" s="251" t="s">
        <v>398</v>
      </c>
      <c r="B91" s="283">
        <f>SUM(B92:B93)</f>
        <v>700000</v>
      </c>
      <c r="C91" s="283">
        <f>SUM(C92:C93)</f>
        <v>110000</v>
      </c>
      <c r="D91" s="283">
        <f>SUM(D92:D93)</f>
        <v>48960</v>
      </c>
      <c r="E91" s="281">
        <f>D91/B91*100</f>
        <v>6.994285714285714</v>
      </c>
      <c r="F91" s="283">
        <f>D91-'[16]Marts'!D91</f>
        <v>22920</v>
      </c>
      <c r="G91" s="251" t="s">
        <v>398</v>
      </c>
      <c r="H91" s="253">
        <v>700</v>
      </c>
      <c r="I91" s="253">
        <v>145</v>
      </c>
      <c r="J91" s="284">
        <v>67</v>
      </c>
      <c r="K91" s="285">
        <v>9.571428571428571</v>
      </c>
      <c r="L91" s="283">
        <v>19</v>
      </c>
      <c r="N91" s="191">
        <f aca="true" t="shared" si="8" ref="N91:N154">J90</f>
        <v>339</v>
      </c>
      <c r="O91" s="191">
        <v>26</v>
      </c>
      <c r="P91" s="191">
        <f t="shared" si="6"/>
        <v>313</v>
      </c>
    </row>
    <row r="92" spans="1:16" ht="12.75" customHeight="1">
      <c r="A92" s="251" t="s">
        <v>399</v>
      </c>
      <c r="B92" s="253">
        <v>450000</v>
      </c>
      <c r="C92" s="284">
        <v>108000</v>
      </c>
      <c r="D92" s="284">
        <f>'[17]Aprīlis'!$F$8</f>
        <v>48490</v>
      </c>
      <c r="E92" s="281">
        <f>D92/B92*100</f>
        <v>10.775555555555554</v>
      </c>
      <c r="F92" s="283">
        <f>D92-'[16]Marts'!D92</f>
        <v>22920</v>
      </c>
      <c r="G92" s="251" t="s">
        <v>399</v>
      </c>
      <c r="H92" s="253">
        <v>450</v>
      </c>
      <c r="I92" s="253">
        <v>143</v>
      </c>
      <c r="J92" s="284">
        <v>66</v>
      </c>
      <c r="K92" s="285">
        <v>14.666666666666666</v>
      </c>
      <c r="L92" s="283">
        <v>18</v>
      </c>
      <c r="N92" s="191">
        <f t="shared" si="8"/>
        <v>67</v>
      </c>
      <c r="O92" s="191">
        <v>26</v>
      </c>
      <c r="P92" s="191">
        <f t="shared" si="6"/>
        <v>41</v>
      </c>
    </row>
    <row r="93" spans="1:16" ht="12.75" customHeight="1">
      <c r="A93" s="251" t="s">
        <v>393</v>
      </c>
      <c r="B93" s="253">
        <v>250000</v>
      </c>
      <c r="C93" s="284">
        <v>2000</v>
      </c>
      <c r="D93" s="284">
        <f>'[17]Aprīlis'!$F$30</f>
        <v>470</v>
      </c>
      <c r="E93" s="281"/>
      <c r="F93" s="283">
        <f>D93-'[16]Marts'!D93</f>
        <v>0</v>
      </c>
      <c r="G93" s="251" t="s">
        <v>393</v>
      </c>
      <c r="H93" s="253">
        <v>250</v>
      </c>
      <c r="I93" s="253">
        <v>2</v>
      </c>
      <c r="J93" s="284">
        <v>1</v>
      </c>
      <c r="K93" s="285">
        <v>0.4</v>
      </c>
      <c r="L93" s="283">
        <v>1</v>
      </c>
      <c r="N93" s="191">
        <f t="shared" si="8"/>
        <v>66</v>
      </c>
      <c r="P93" s="191">
        <f t="shared" si="6"/>
        <v>66</v>
      </c>
    </row>
    <row r="94" spans="1:16" ht="12.75" customHeight="1">
      <c r="A94" s="94" t="s">
        <v>433</v>
      </c>
      <c r="B94" s="283"/>
      <c r="C94" s="283"/>
      <c r="D94" s="283"/>
      <c r="E94" s="281"/>
      <c r="F94" s="283" t="e">
        <f>D94-'[16]Marts'!D94</f>
        <v>#REF!</v>
      </c>
      <c r="G94" s="94" t="s">
        <v>433</v>
      </c>
      <c r="H94" s="253"/>
      <c r="I94" s="253"/>
      <c r="J94" s="284"/>
      <c r="K94" s="285"/>
      <c r="L94" s="283"/>
      <c r="N94" s="191">
        <f t="shared" si="8"/>
        <v>1</v>
      </c>
      <c r="P94" s="191">
        <f t="shared" si="6"/>
        <v>1</v>
      </c>
    </row>
    <row r="95" spans="1:16" ht="12.75" customHeight="1">
      <c r="A95" s="251" t="s">
        <v>396</v>
      </c>
      <c r="B95" s="253">
        <f>B96</f>
        <v>2000000</v>
      </c>
      <c r="C95" s="284">
        <v>102000</v>
      </c>
      <c r="D95" s="253">
        <f>D96</f>
        <v>646233</v>
      </c>
      <c r="E95" s="281">
        <f>D95/B95*100</f>
        <v>32.31165</v>
      </c>
      <c r="F95" s="283">
        <f>D95-'[16]Marts'!D95</f>
        <v>157822</v>
      </c>
      <c r="G95" s="251" t="s">
        <v>396</v>
      </c>
      <c r="H95" s="253">
        <v>2000</v>
      </c>
      <c r="I95" s="253">
        <v>122</v>
      </c>
      <c r="J95" s="284">
        <v>798</v>
      </c>
      <c r="K95" s="285">
        <v>39.9</v>
      </c>
      <c r="L95" s="283">
        <v>152</v>
      </c>
      <c r="N95" s="191">
        <f t="shared" si="8"/>
        <v>0</v>
      </c>
      <c r="O95" s="191">
        <v>488</v>
      </c>
      <c r="P95" s="191">
        <f t="shared" si="6"/>
        <v>-488</v>
      </c>
    </row>
    <row r="96" spans="1:16" ht="12.75" customHeight="1">
      <c r="A96" s="251" t="s">
        <v>434</v>
      </c>
      <c r="B96" s="253">
        <v>2000000</v>
      </c>
      <c r="C96" s="284"/>
      <c r="D96" s="284">
        <f>'[17]Aprīlis'!$G$6</f>
        <v>646233</v>
      </c>
      <c r="E96" s="281">
        <f>D96/B96*100</f>
        <v>32.31165</v>
      </c>
      <c r="F96" s="283">
        <f>D96-'[16]Marts'!D96</f>
        <v>157822</v>
      </c>
      <c r="G96" s="251" t="s">
        <v>434</v>
      </c>
      <c r="H96" s="253">
        <v>2000</v>
      </c>
      <c r="I96" s="284"/>
      <c r="J96" s="284">
        <v>798</v>
      </c>
      <c r="K96" s="285">
        <v>39.9</v>
      </c>
      <c r="L96" s="283">
        <v>152</v>
      </c>
      <c r="N96" s="191">
        <f t="shared" si="8"/>
        <v>798</v>
      </c>
      <c r="O96" s="191">
        <v>488</v>
      </c>
      <c r="P96" s="191">
        <f t="shared" si="6"/>
        <v>310</v>
      </c>
    </row>
    <row r="97" spans="1:16" ht="12.75" customHeight="1">
      <c r="A97" s="251" t="s">
        <v>398</v>
      </c>
      <c r="B97" s="283">
        <f>SUM(B98:B99)</f>
        <v>2000000</v>
      </c>
      <c r="C97" s="283">
        <f>SUM(C98:C99)</f>
        <v>102000</v>
      </c>
      <c r="D97" s="283">
        <f>SUM(D98:D99)</f>
        <v>40195</v>
      </c>
      <c r="E97" s="281">
        <f>D97/B97*100</f>
        <v>2.00975</v>
      </c>
      <c r="F97" s="283">
        <f>D97-'[16]Marts'!D97</f>
        <v>6543</v>
      </c>
      <c r="G97" s="251" t="s">
        <v>398</v>
      </c>
      <c r="H97" s="253">
        <v>2000</v>
      </c>
      <c r="I97" s="253">
        <v>122</v>
      </c>
      <c r="J97" s="284">
        <v>46</v>
      </c>
      <c r="K97" s="285">
        <v>2.3</v>
      </c>
      <c r="L97" s="283">
        <v>6</v>
      </c>
      <c r="N97" s="191">
        <f t="shared" si="8"/>
        <v>798</v>
      </c>
      <c r="O97" s="191">
        <v>34</v>
      </c>
      <c r="P97" s="191">
        <f t="shared" si="6"/>
        <v>764</v>
      </c>
    </row>
    <row r="98" spans="1:16" ht="12.75" customHeight="1">
      <c r="A98" s="251" t="s">
        <v>399</v>
      </c>
      <c r="B98" s="253">
        <v>1000000</v>
      </c>
      <c r="C98" s="284">
        <v>22000</v>
      </c>
      <c r="D98" s="284"/>
      <c r="E98" s="281"/>
      <c r="F98" s="283" t="e">
        <f>D98-'[16]Marts'!D98</f>
        <v>#REF!</v>
      </c>
      <c r="G98" s="251" t="s">
        <v>399</v>
      </c>
      <c r="H98" s="253">
        <v>1000</v>
      </c>
      <c r="I98" s="253">
        <v>22</v>
      </c>
      <c r="J98" s="284"/>
      <c r="K98" s="285"/>
      <c r="L98" s="283"/>
      <c r="N98" s="191">
        <f t="shared" si="8"/>
        <v>46</v>
      </c>
      <c r="P98" s="191">
        <f t="shared" si="6"/>
        <v>46</v>
      </c>
    </row>
    <row r="99" spans="1:16" ht="12.75" customHeight="1">
      <c r="A99" s="251" t="s">
        <v>393</v>
      </c>
      <c r="B99" s="253">
        <v>1000000</v>
      </c>
      <c r="C99" s="284">
        <v>80000</v>
      </c>
      <c r="D99" s="284">
        <f>'[17]Aprīlis'!$G$30</f>
        <v>40195</v>
      </c>
      <c r="E99" s="281">
        <f>D99/B99*100</f>
        <v>4.0195</v>
      </c>
      <c r="F99" s="283">
        <f>D99-'[16]Marts'!D99</f>
        <v>6543</v>
      </c>
      <c r="G99" s="251" t="s">
        <v>393</v>
      </c>
      <c r="H99" s="251">
        <v>1000</v>
      </c>
      <c r="I99" s="251">
        <v>100</v>
      </c>
      <c r="J99" s="292">
        <v>46</v>
      </c>
      <c r="K99" s="285">
        <v>4.6</v>
      </c>
      <c r="L99" s="283">
        <v>6</v>
      </c>
      <c r="M99" s="140"/>
      <c r="N99" s="191">
        <f t="shared" si="8"/>
        <v>0</v>
      </c>
      <c r="O99" s="191">
        <v>34</v>
      </c>
      <c r="P99" s="191">
        <f t="shared" si="6"/>
        <v>-34</v>
      </c>
    </row>
    <row r="100" spans="1:16" ht="12.75" customHeight="1">
      <c r="A100" s="32" t="s">
        <v>262</v>
      </c>
      <c r="B100" s="283"/>
      <c r="C100" s="283"/>
      <c r="D100" s="251"/>
      <c r="E100" s="281"/>
      <c r="F100" s="283" t="e">
        <f>D100-'[16]Marts'!D100</f>
        <v>#REF!</v>
      </c>
      <c r="G100" s="32" t="s">
        <v>262</v>
      </c>
      <c r="H100" s="251"/>
      <c r="I100" s="251"/>
      <c r="J100" s="292"/>
      <c r="K100" s="285"/>
      <c r="L100" s="283"/>
      <c r="M100" s="86"/>
      <c r="N100" s="191">
        <f t="shared" si="8"/>
        <v>46</v>
      </c>
      <c r="P100" s="191">
        <f t="shared" si="6"/>
        <v>46</v>
      </c>
    </row>
    <row r="101" spans="1:16" ht="12.75" customHeight="1">
      <c r="A101" s="288" t="s">
        <v>435</v>
      </c>
      <c r="B101" s="283"/>
      <c r="C101" s="283"/>
      <c r="D101" s="251"/>
      <c r="E101" s="281"/>
      <c r="F101" s="283" t="e">
        <f>D101-'[16]Marts'!D101</f>
        <v>#REF!</v>
      </c>
      <c r="G101" s="32" t="s">
        <v>435</v>
      </c>
      <c r="H101" s="253"/>
      <c r="I101" s="253"/>
      <c r="J101" s="284"/>
      <c r="K101" s="285"/>
      <c r="L101" s="283"/>
      <c r="M101" s="86"/>
      <c r="N101" s="191">
        <f t="shared" si="8"/>
        <v>0</v>
      </c>
      <c r="P101" s="191">
        <f t="shared" si="6"/>
        <v>0</v>
      </c>
    </row>
    <row r="102" spans="1:16" ht="12.75" customHeight="1">
      <c r="A102" s="251" t="s">
        <v>396</v>
      </c>
      <c r="B102" s="283">
        <f>SUM(B103:B106)</f>
        <v>138355904</v>
      </c>
      <c r="C102" s="287">
        <f>38346701+4873482+863636+199640+514680+259535+247907+9750+7080</f>
        <v>45322411</v>
      </c>
      <c r="D102" s="283">
        <f>SUM(D103:D106)</f>
        <v>43826587</v>
      </c>
      <c r="E102" s="281">
        <f aca="true" t="shared" si="9" ref="E102:E112">D102/B102*100</f>
        <v>31.676701704034254</v>
      </c>
      <c r="F102" s="283">
        <f>D102-'[16]Marts'!D102</f>
        <v>13213418</v>
      </c>
      <c r="G102" s="251" t="s">
        <v>396</v>
      </c>
      <c r="H102" s="253">
        <v>138356</v>
      </c>
      <c r="I102" s="253">
        <v>57746</v>
      </c>
      <c r="J102" s="284">
        <v>56935</v>
      </c>
      <c r="K102" s="285">
        <v>41.151088496342766</v>
      </c>
      <c r="L102" s="283">
        <v>13108</v>
      </c>
      <c r="N102" s="191">
        <f t="shared" si="8"/>
        <v>0</v>
      </c>
      <c r="O102" s="191">
        <v>30613</v>
      </c>
      <c r="P102" s="191">
        <f t="shared" si="6"/>
        <v>-30613</v>
      </c>
    </row>
    <row r="103" spans="1:16" ht="12.75" customHeight="1">
      <c r="A103" s="251" t="s">
        <v>436</v>
      </c>
      <c r="B103" s="283">
        <v>80619197</v>
      </c>
      <c r="C103" s="287"/>
      <c r="D103" s="287">
        <v>24442747</v>
      </c>
      <c r="E103" s="281">
        <f t="shared" si="9"/>
        <v>30.318767625532168</v>
      </c>
      <c r="F103" s="283">
        <f>D103-'[16]Marts'!D103</f>
        <v>6281977</v>
      </c>
      <c r="G103" s="251" t="s">
        <v>436</v>
      </c>
      <c r="H103" s="253">
        <v>80619</v>
      </c>
      <c r="I103" s="253"/>
      <c r="J103" s="284">
        <v>31442</v>
      </c>
      <c r="K103" s="285">
        <v>39.000731837408054</v>
      </c>
      <c r="L103" s="283">
        <v>6999</v>
      </c>
      <c r="N103" s="191">
        <f t="shared" si="8"/>
        <v>56935</v>
      </c>
      <c r="O103" s="191">
        <v>18161</v>
      </c>
      <c r="P103" s="191">
        <f t="shared" si="6"/>
        <v>38774</v>
      </c>
    </row>
    <row r="104" spans="1:16" ht="12.75" customHeight="1">
      <c r="A104" s="251" t="s">
        <v>437</v>
      </c>
      <c r="B104" s="283">
        <v>54461193</v>
      </c>
      <c r="C104" s="287"/>
      <c r="D104" s="287">
        <f>19246253-647252</f>
        <v>18599001</v>
      </c>
      <c r="E104" s="281">
        <f t="shared" si="9"/>
        <v>34.15092467768746</v>
      </c>
      <c r="F104" s="283">
        <f>D104-'[16]Marts'!D104</f>
        <v>6543637</v>
      </c>
      <c r="G104" s="251" t="s">
        <v>437</v>
      </c>
      <c r="H104" s="253">
        <v>54461</v>
      </c>
      <c r="I104" s="253"/>
      <c r="J104" s="284">
        <v>24265</v>
      </c>
      <c r="K104" s="285">
        <v>44.554819044821066</v>
      </c>
      <c r="L104" s="283">
        <v>5666</v>
      </c>
      <c r="N104" s="191">
        <f t="shared" si="8"/>
        <v>31442</v>
      </c>
      <c r="O104" s="191">
        <v>12055</v>
      </c>
      <c r="P104" s="191">
        <f t="shared" si="6"/>
        <v>19387</v>
      </c>
    </row>
    <row r="105" spans="1:16" ht="12.75" customHeight="1">
      <c r="A105" s="293" t="s">
        <v>312</v>
      </c>
      <c r="B105" s="283">
        <v>3209846</v>
      </c>
      <c r="C105" s="287"/>
      <c r="D105" s="287">
        <v>784839</v>
      </c>
      <c r="E105" s="281">
        <f t="shared" si="9"/>
        <v>24.450986122075637</v>
      </c>
      <c r="F105" s="283">
        <f>D105-'[16]Marts'!D105</f>
        <v>387804</v>
      </c>
      <c r="G105" s="127" t="s">
        <v>312</v>
      </c>
      <c r="H105" s="253">
        <v>3210</v>
      </c>
      <c r="I105" s="253"/>
      <c r="J105" s="284">
        <v>1228</v>
      </c>
      <c r="K105" s="285">
        <v>38.25545171339564</v>
      </c>
      <c r="L105" s="283">
        <v>443</v>
      </c>
      <c r="N105" s="191">
        <f t="shared" si="8"/>
        <v>24265</v>
      </c>
      <c r="O105" s="191">
        <v>397</v>
      </c>
      <c r="P105" s="191">
        <f t="shared" si="6"/>
        <v>23868</v>
      </c>
    </row>
    <row r="106" spans="1:16" ht="12.75" customHeight="1">
      <c r="A106" s="251" t="s">
        <v>313</v>
      </c>
      <c r="B106" s="283">
        <v>65668</v>
      </c>
      <c r="C106" s="287"/>
      <c r="D106" s="287"/>
      <c r="E106" s="281">
        <f t="shared" si="9"/>
        <v>0</v>
      </c>
      <c r="F106" s="283" t="e">
        <f>D106-'[16]Marts'!D106</f>
        <v>#REF!</v>
      </c>
      <c r="G106" s="251" t="s">
        <v>313</v>
      </c>
      <c r="H106" s="253">
        <v>66</v>
      </c>
      <c r="I106" s="284"/>
      <c r="J106" s="284"/>
      <c r="K106" s="285"/>
      <c r="L106" s="283"/>
      <c r="N106" s="191">
        <f t="shared" si="8"/>
        <v>1228</v>
      </c>
      <c r="P106" s="191">
        <f t="shared" si="6"/>
        <v>1228</v>
      </c>
    </row>
    <row r="107" spans="1:16" ht="12.75" customHeight="1">
      <c r="A107" s="251" t="s">
        <v>398</v>
      </c>
      <c r="B107" s="283">
        <f>B108+B110</f>
        <v>141458002</v>
      </c>
      <c r="C107" s="283">
        <f>C108+C110</f>
        <v>48893593</v>
      </c>
      <c r="D107" s="283">
        <f>D108+D110</f>
        <v>44529691</v>
      </c>
      <c r="E107" s="281">
        <f t="shared" si="9"/>
        <v>31.479089461478466</v>
      </c>
      <c r="F107" s="283">
        <f>D107-'[16]Marts'!D107</f>
        <v>12466347</v>
      </c>
      <c r="G107" s="251" t="s">
        <v>398</v>
      </c>
      <c r="H107" s="253">
        <v>141458</v>
      </c>
      <c r="I107" s="253">
        <v>61414</v>
      </c>
      <c r="J107" s="284">
        <v>58444</v>
      </c>
      <c r="K107" s="285">
        <v>41.31544345318045</v>
      </c>
      <c r="L107" s="283">
        <v>13913</v>
      </c>
      <c r="N107" s="191">
        <f t="shared" si="8"/>
        <v>0</v>
      </c>
      <c r="O107" s="191">
        <v>32063</v>
      </c>
      <c r="P107" s="191">
        <f t="shared" si="6"/>
        <v>-32063</v>
      </c>
    </row>
    <row r="108" spans="1:16" ht="12.75" customHeight="1">
      <c r="A108" s="251" t="s">
        <v>399</v>
      </c>
      <c r="B108" s="283">
        <v>137124381</v>
      </c>
      <c r="C108" s="287">
        <f>40107285+4586482+863636+199640+472272+49535+247907+9750</f>
        <v>46536507</v>
      </c>
      <c r="D108" s="287">
        <f>'[17]Aprīlis'!$D$8</f>
        <v>43616068</v>
      </c>
      <c r="E108" s="281">
        <f t="shared" si="9"/>
        <v>31.807668105353198</v>
      </c>
      <c r="F108" s="283">
        <f>D108-'[16]Marts'!D108</f>
        <v>12243505</v>
      </c>
      <c r="G108" s="251" t="s">
        <v>399</v>
      </c>
      <c r="H108" s="253">
        <v>137124</v>
      </c>
      <c r="I108" s="253">
        <v>58916</v>
      </c>
      <c r="J108" s="284">
        <v>57390</v>
      </c>
      <c r="K108" s="285">
        <v>41.85262973658878</v>
      </c>
      <c r="L108" s="283">
        <v>13773</v>
      </c>
      <c r="N108" s="191">
        <f t="shared" si="8"/>
        <v>58444</v>
      </c>
      <c r="O108" s="191">
        <v>31372</v>
      </c>
      <c r="P108" s="191">
        <f t="shared" si="6"/>
        <v>27072</v>
      </c>
    </row>
    <row r="109" spans="1:16" ht="12.75" customHeight="1">
      <c r="A109" s="286" t="s">
        <v>430</v>
      </c>
      <c r="B109" s="283">
        <v>1288396</v>
      </c>
      <c r="C109" s="287"/>
      <c r="D109" s="287" t="e">
        <f>'[17]Aprīlis'!$D$15</f>
        <v>#REF!</v>
      </c>
      <c r="E109" s="281" t="e">
        <f t="shared" si="9"/>
        <v>#REF!</v>
      </c>
      <c r="F109" s="283" t="e">
        <f>D109-'[16]Marts'!D109</f>
        <v>#REF!</v>
      </c>
      <c r="G109" s="286" t="s">
        <v>430</v>
      </c>
      <c r="H109" s="253">
        <v>1288</v>
      </c>
      <c r="I109" s="253"/>
      <c r="J109" s="284">
        <v>511</v>
      </c>
      <c r="K109" s="285">
        <v>39.67391304347826</v>
      </c>
      <c r="L109" s="283">
        <v>511</v>
      </c>
      <c r="N109" s="191">
        <f t="shared" si="8"/>
        <v>57390</v>
      </c>
      <c r="P109" s="191">
        <f t="shared" si="6"/>
        <v>57390</v>
      </c>
    </row>
    <row r="110" spans="1:16" ht="12.75" customHeight="1">
      <c r="A110" s="251" t="s">
        <v>393</v>
      </c>
      <c r="B110" s="283">
        <v>4333621</v>
      </c>
      <c r="C110" s="287">
        <f>1387000+42408+920598+7080</f>
        <v>2357086</v>
      </c>
      <c r="D110" s="287">
        <f>'[17]Aprīlis'!$D$30</f>
        <v>913623</v>
      </c>
      <c r="E110" s="281">
        <f t="shared" si="9"/>
        <v>21.08220815802766</v>
      </c>
      <c r="F110" s="283">
        <f>D110-'[16]Marts'!D110</f>
        <v>222842</v>
      </c>
      <c r="G110" s="251" t="s">
        <v>393</v>
      </c>
      <c r="H110" s="253">
        <v>4334</v>
      </c>
      <c r="I110" s="253">
        <v>2498</v>
      </c>
      <c r="J110" s="284">
        <v>1054</v>
      </c>
      <c r="K110" s="285">
        <v>24.319335486848175</v>
      </c>
      <c r="L110" s="283">
        <v>140</v>
      </c>
      <c r="N110" s="191">
        <f t="shared" si="8"/>
        <v>511</v>
      </c>
      <c r="O110" s="191">
        <v>691</v>
      </c>
      <c r="P110" s="191">
        <f t="shared" si="6"/>
        <v>-180</v>
      </c>
    </row>
    <row r="111" spans="1:16" ht="12.75" customHeight="1">
      <c r="A111" s="251" t="s">
        <v>237</v>
      </c>
      <c r="B111" s="283">
        <f>B102-B107</f>
        <v>-3102098</v>
      </c>
      <c r="C111" s="283">
        <f>C102-C107</f>
        <v>-3571182</v>
      </c>
      <c r="D111" s="283">
        <f>D102-D107</f>
        <v>-703104</v>
      </c>
      <c r="E111" s="281">
        <f t="shared" si="9"/>
        <v>22.66543481218195</v>
      </c>
      <c r="F111" s="283">
        <f>D111-'[16]Marts'!D111</f>
        <v>747071</v>
      </c>
      <c r="G111" s="251" t="s">
        <v>237</v>
      </c>
      <c r="H111" s="253">
        <v>-3102</v>
      </c>
      <c r="I111" s="253">
        <v>-3668</v>
      </c>
      <c r="J111" s="284">
        <v>-1509</v>
      </c>
      <c r="K111" s="285">
        <v>48.64603481624758</v>
      </c>
      <c r="L111" s="283">
        <v>-805</v>
      </c>
      <c r="N111" s="191">
        <f t="shared" si="8"/>
        <v>1054</v>
      </c>
      <c r="O111" s="191">
        <v>-1450</v>
      </c>
      <c r="P111" s="191">
        <f t="shared" si="6"/>
        <v>2504</v>
      </c>
    </row>
    <row r="112" spans="1:16" ht="12.75" customHeight="1">
      <c r="A112" s="293" t="s">
        <v>423</v>
      </c>
      <c r="B112" s="283">
        <v>3102098</v>
      </c>
      <c r="C112" s="287">
        <f>80000+383300+157298+90000</f>
        <v>710598</v>
      </c>
      <c r="D112" s="287">
        <f>'[17]Aprīlis'!$D$43</f>
        <v>647252</v>
      </c>
      <c r="E112" s="281">
        <f t="shared" si="9"/>
        <v>20.86497589695748</v>
      </c>
      <c r="F112" s="283">
        <f>D112-'[16]Marts'!D112</f>
        <v>111781</v>
      </c>
      <c r="G112" s="251" t="s">
        <v>423</v>
      </c>
      <c r="H112" s="253">
        <v>3102</v>
      </c>
      <c r="I112" s="253">
        <v>807</v>
      </c>
      <c r="J112" s="284">
        <v>702</v>
      </c>
      <c r="K112" s="285">
        <v>22.63056092843327</v>
      </c>
      <c r="L112" s="283">
        <v>55</v>
      </c>
      <c r="N112" s="191">
        <f t="shared" si="8"/>
        <v>-1509</v>
      </c>
      <c r="O112" s="191">
        <v>536</v>
      </c>
      <c r="P112" s="191">
        <f t="shared" si="6"/>
        <v>-2045</v>
      </c>
    </row>
    <row r="113" spans="1:16" ht="12.75" customHeight="1">
      <c r="A113" s="245" t="s">
        <v>438</v>
      </c>
      <c r="B113" s="283"/>
      <c r="C113" s="283"/>
      <c r="D113" s="283"/>
      <c r="E113" s="281"/>
      <c r="F113" s="283" t="e">
        <f>D113-'[16]Marts'!D113</f>
        <v>#REF!</v>
      </c>
      <c r="G113" s="245" t="s">
        <v>438</v>
      </c>
      <c r="H113" s="253"/>
      <c r="I113" s="253"/>
      <c r="J113" s="284"/>
      <c r="K113" s="285"/>
      <c r="L113" s="283"/>
      <c r="N113" s="191">
        <f t="shared" si="8"/>
        <v>702</v>
      </c>
      <c r="P113" s="191">
        <f t="shared" si="6"/>
        <v>702</v>
      </c>
    </row>
    <row r="114" spans="1:16" ht="12.75" customHeight="1">
      <c r="A114" s="251" t="s">
        <v>396</v>
      </c>
      <c r="B114" s="283">
        <f>SUM(B115:B117)</f>
        <v>503125370</v>
      </c>
      <c r="C114" s="287">
        <f>37020270+37889203+39825423+40449323</f>
        <v>155184219</v>
      </c>
      <c r="D114" s="283">
        <f>SUM(D115:D117)</f>
        <v>155724822</v>
      </c>
      <c r="E114" s="281">
        <f aca="true" t="shared" si="10" ref="E114:E119">D114/B114*100</f>
        <v>30.95149465430455</v>
      </c>
      <c r="F114" s="283">
        <f>D114-'[16]Marts'!D114</f>
        <v>39636905</v>
      </c>
      <c r="G114" s="251" t="s">
        <v>396</v>
      </c>
      <c r="H114" s="253">
        <v>503125</v>
      </c>
      <c r="I114" s="253">
        <v>197804</v>
      </c>
      <c r="J114" s="284">
        <v>200028</v>
      </c>
      <c r="K114" s="285">
        <v>39.75711801242236</v>
      </c>
      <c r="L114" s="283">
        <v>44304</v>
      </c>
      <c r="N114" s="191">
        <f t="shared" si="8"/>
        <v>0</v>
      </c>
      <c r="O114" s="191">
        <v>116088</v>
      </c>
      <c r="P114" s="191">
        <f t="shared" si="6"/>
        <v>-116088</v>
      </c>
    </row>
    <row r="115" spans="1:16" ht="12.75" customHeight="1">
      <c r="A115" s="251" t="s">
        <v>439</v>
      </c>
      <c r="B115" s="253">
        <v>495585390</v>
      </c>
      <c r="C115" s="284"/>
      <c r="D115" s="284">
        <v>152737205</v>
      </c>
      <c r="E115" s="281">
        <f t="shared" si="10"/>
        <v>30.819553619205763</v>
      </c>
      <c r="F115" s="283">
        <f>D115-'[16]Marts'!D115</f>
        <v>38520053</v>
      </c>
      <c r="G115" s="251" t="s">
        <v>439</v>
      </c>
      <c r="H115" s="253">
        <v>495585</v>
      </c>
      <c r="I115" s="253">
        <v>0</v>
      </c>
      <c r="J115" s="284">
        <v>196410</v>
      </c>
      <c r="K115" s="285">
        <v>39.631950119555675</v>
      </c>
      <c r="L115" s="283">
        <v>43673</v>
      </c>
      <c r="N115" s="191">
        <f t="shared" si="8"/>
        <v>200028</v>
      </c>
      <c r="O115" s="191">
        <v>114217</v>
      </c>
      <c r="P115" s="191">
        <f t="shared" si="6"/>
        <v>85811</v>
      </c>
    </row>
    <row r="116" spans="1:16" ht="12.75" customHeight="1">
      <c r="A116" s="251" t="s">
        <v>440</v>
      </c>
      <c r="B116" s="253">
        <v>6592694</v>
      </c>
      <c r="C116" s="284"/>
      <c r="D116" s="284">
        <v>1988330</v>
      </c>
      <c r="E116" s="281">
        <f t="shared" si="10"/>
        <v>30.159597882140442</v>
      </c>
      <c r="F116" s="283">
        <f>D116-'[16]Marts'!D116</f>
        <v>578433</v>
      </c>
      <c r="G116" s="251" t="s">
        <v>440</v>
      </c>
      <c r="H116" s="253">
        <v>6593</v>
      </c>
      <c r="I116" s="253">
        <v>0</v>
      </c>
      <c r="J116" s="284">
        <v>2578</v>
      </c>
      <c r="K116" s="285">
        <v>39.10207796147429</v>
      </c>
      <c r="L116" s="283">
        <v>589</v>
      </c>
      <c r="N116" s="191">
        <f t="shared" si="8"/>
        <v>196410</v>
      </c>
      <c r="O116" s="191">
        <v>1410</v>
      </c>
      <c r="P116" s="191">
        <f t="shared" si="6"/>
        <v>195000</v>
      </c>
    </row>
    <row r="117" spans="1:16" ht="12.75" customHeight="1">
      <c r="A117" s="251" t="s">
        <v>441</v>
      </c>
      <c r="B117" s="253">
        <f>7539980-B116</f>
        <v>947286</v>
      </c>
      <c r="C117" s="284"/>
      <c r="D117" s="284">
        <f>2987617-D116</f>
        <v>999287</v>
      </c>
      <c r="E117" s="281">
        <f t="shared" si="10"/>
        <v>105.48947202851093</v>
      </c>
      <c r="F117" s="283">
        <f>D117-'[16]Marts'!D117</f>
        <v>538419</v>
      </c>
      <c r="G117" s="251" t="s">
        <v>441</v>
      </c>
      <c r="H117" s="253">
        <v>947</v>
      </c>
      <c r="I117" s="284">
        <v>0</v>
      </c>
      <c r="J117" s="284">
        <v>1040</v>
      </c>
      <c r="K117" s="285">
        <v>109.82048574445618</v>
      </c>
      <c r="L117" s="283">
        <v>42</v>
      </c>
      <c r="N117" s="191">
        <f t="shared" si="8"/>
        <v>2578</v>
      </c>
      <c r="O117" s="191">
        <v>461</v>
      </c>
      <c r="P117" s="191">
        <f t="shared" si="6"/>
        <v>2117</v>
      </c>
    </row>
    <row r="118" spans="1:16" ht="12.75" customHeight="1">
      <c r="A118" s="251" t="s">
        <v>442</v>
      </c>
      <c r="B118" s="283">
        <f>B119+B121</f>
        <v>531273828</v>
      </c>
      <c r="C118" s="283">
        <f>C119+C121</f>
        <v>177272362</v>
      </c>
      <c r="D118" s="283">
        <f>D119+D121</f>
        <v>168118746</v>
      </c>
      <c r="E118" s="281">
        <f t="shared" si="10"/>
        <v>31.644462260241436</v>
      </c>
      <c r="F118" s="283">
        <f>D118-'[16]Marts'!D118</f>
        <v>46167056</v>
      </c>
      <c r="G118" s="251" t="s">
        <v>443</v>
      </c>
      <c r="H118" s="253">
        <v>531274</v>
      </c>
      <c r="I118" s="253">
        <v>221884</v>
      </c>
      <c r="J118" s="284">
        <v>209549</v>
      </c>
      <c r="K118" s="285">
        <v>39.442735763466686</v>
      </c>
      <c r="L118" s="283">
        <v>41430</v>
      </c>
      <c r="N118" s="191">
        <f t="shared" si="8"/>
        <v>1040</v>
      </c>
      <c r="O118" s="191">
        <v>121952</v>
      </c>
      <c r="P118" s="191">
        <f t="shared" si="6"/>
        <v>-120912</v>
      </c>
    </row>
    <row r="119" spans="1:16" ht="12.75" customHeight="1">
      <c r="A119" s="251" t="s">
        <v>399</v>
      </c>
      <c r="B119" s="253">
        <v>527848828</v>
      </c>
      <c r="C119" s="284">
        <f>45260560+43818270+42609997+44770545</f>
        <v>176459372</v>
      </c>
      <c r="D119" s="284">
        <f>'[17]Aprīlis'!$C$8</f>
        <v>167878213</v>
      </c>
      <c r="E119" s="281">
        <f t="shared" si="10"/>
        <v>31.804221984556534</v>
      </c>
      <c r="F119" s="283">
        <f>D119-'[16]Marts'!D119</f>
        <v>46063285</v>
      </c>
      <c r="G119" s="251" t="s">
        <v>399</v>
      </c>
      <c r="H119" s="253">
        <v>527849</v>
      </c>
      <c r="I119" s="253">
        <v>220848</v>
      </c>
      <c r="J119" s="284">
        <v>209253</v>
      </c>
      <c r="K119" s="285">
        <v>39.642587179288014</v>
      </c>
      <c r="L119" s="283">
        <v>41375</v>
      </c>
      <c r="N119" s="191">
        <f t="shared" si="8"/>
        <v>209549</v>
      </c>
      <c r="O119" s="191">
        <v>121815</v>
      </c>
      <c r="P119" s="191">
        <f t="shared" si="6"/>
        <v>87734</v>
      </c>
    </row>
    <row r="120" spans="1:16" ht="12.75" customHeight="1">
      <c r="A120" s="286" t="s">
        <v>430</v>
      </c>
      <c r="B120" s="253">
        <v>10782</v>
      </c>
      <c r="C120" s="284"/>
      <c r="D120" s="284" t="e">
        <f>'[17]Aprīlis'!$C$15</f>
        <v>#REF!</v>
      </c>
      <c r="E120" s="281"/>
      <c r="F120" s="283" t="e">
        <f>D120-'[16]Marts'!D120</f>
        <v>#REF!</v>
      </c>
      <c r="G120" s="286" t="s">
        <v>430</v>
      </c>
      <c r="H120" s="253">
        <v>11</v>
      </c>
      <c r="I120" s="253"/>
      <c r="J120" s="284"/>
      <c r="K120" s="285"/>
      <c r="L120" s="283"/>
      <c r="N120" s="191">
        <f t="shared" si="8"/>
        <v>209253</v>
      </c>
      <c r="P120" s="191">
        <f t="shared" si="6"/>
        <v>209253</v>
      </c>
    </row>
    <row r="121" spans="1:16" ht="12.75" customHeight="1">
      <c r="A121" s="251" t="s">
        <v>393</v>
      </c>
      <c r="B121" s="253">
        <v>3425000</v>
      </c>
      <c r="C121" s="284">
        <f>234780+215420+194320+168470</f>
        <v>812990</v>
      </c>
      <c r="D121" s="284">
        <f>'[17]Aprīlis'!$C$30</f>
        <v>240533</v>
      </c>
      <c r="E121" s="281">
        <f>D121/B121*100</f>
        <v>7.022861313868613</v>
      </c>
      <c r="F121" s="283">
        <f>D121-'[16]Marts'!D121</f>
        <v>103771</v>
      </c>
      <c r="G121" s="251" t="s">
        <v>393</v>
      </c>
      <c r="H121" s="253">
        <v>3425</v>
      </c>
      <c r="I121" s="253">
        <v>1036</v>
      </c>
      <c r="J121" s="284">
        <v>296</v>
      </c>
      <c r="K121" s="285">
        <v>8.642335766423358</v>
      </c>
      <c r="L121" s="283">
        <v>55</v>
      </c>
      <c r="N121" s="191">
        <f t="shared" si="8"/>
        <v>0</v>
      </c>
      <c r="O121" s="191">
        <v>137</v>
      </c>
      <c r="P121" s="191">
        <f t="shared" si="6"/>
        <v>-137</v>
      </c>
    </row>
    <row r="122" spans="1:16" ht="12.75" customHeight="1">
      <c r="A122" s="251" t="s">
        <v>237</v>
      </c>
      <c r="B122" s="253">
        <f>B114-B118</f>
        <v>-28148458</v>
      </c>
      <c r="C122" s="253">
        <f>C114-C118</f>
        <v>-22088143</v>
      </c>
      <c r="D122" s="253">
        <f>D114-D118</f>
        <v>-12393924</v>
      </c>
      <c r="E122" s="281">
        <f>D122/B122*100</f>
        <v>44.03056110569183</v>
      </c>
      <c r="F122" s="283">
        <f>D122-'[16]Marts'!D122</f>
        <v>-6530151</v>
      </c>
      <c r="G122" s="251" t="s">
        <v>237</v>
      </c>
      <c r="H122" s="253">
        <v>-28148</v>
      </c>
      <c r="I122" s="253"/>
      <c r="J122" s="284">
        <v>-9521</v>
      </c>
      <c r="K122" s="285"/>
      <c r="L122" s="283">
        <v>2874</v>
      </c>
      <c r="N122" s="191">
        <f t="shared" si="8"/>
        <v>296</v>
      </c>
      <c r="O122" s="191">
        <v>-5864</v>
      </c>
      <c r="P122" s="191">
        <f t="shared" si="6"/>
        <v>6160</v>
      </c>
    </row>
    <row r="123" spans="1:16" ht="12.75" customHeight="1">
      <c r="A123" s="251" t="s">
        <v>423</v>
      </c>
      <c r="B123" s="253">
        <v>28211768</v>
      </c>
      <c r="C123" s="284">
        <f>C132+C141+C156+C166</f>
        <v>22136160</v>
      </c>
      <c r="D123" s="284">
        <f>'[17]Aprīlis'!$C$39+'[17]Aprīlis'!$C$43</f>
        <v>15323395</v>
      </c>
      <c r="E123" s="281">
        <f>D123/B123*100</f>
        <v>54.31561396648378</v>
      </c>
      <c r="F123" s="283">
        <f>D123-'[16]Marts'!D123</f>
        <v>6564127</v>
      </c>
      <c r="G123" s="251" t="s">
        <v>423</v>
      </c>
      <c r="H123" s="253">
        <v>28212</v>
      </c>
      <c r="I123" s="253"/>
      <c r="J123" s="284">
        <v>12668</v>
      </c>
      <c r="K123" s="285">
        <v>44.90287820785481</v>
      </c>
      <c r="L123" s="283">
        <v>-2655</v>
      </c>
      <c r="N123" s="191">
        <f t="shared" si="8"/>
        <v>-9521</v>
      </c>
      <c r="O123" s="191">
        <v>8759</v>
      </c>
      <c r="P123" s="191">
        <f t="shared" si="6"/>
        <v>-18280</v>
      </c>
    </row>
    <row r="124" spans="1:16" ht="12.75" customHeight="1">
      <c r="A124" s="245" t="s">
        <v>444</v>
      </c>
      <c r="B124" s="283"/>
      <c r="C124" s="283"/>
      <c r="D124" s="283"/>
      <c r="E124" s="281"/>
      <c r="F124" s="283" t="e">
        <f>D124-'[16]Marts'!D124</f>
        <v>#REF!</v>
      </c>
      <c r="G124" s="245" t="s">
        <v>444</v>
      </c>
      <c r="H124" s="253"/>
      <c r="I124" s="253"/>
      <c r="J124" s="284"/>
      <c r="K124" s="285"/>
      <c r="L124" s="283"/>
      <c r="N124" s="191">
        <f t="shared" si="8"/>
        <v>12668</v>
      </c>
      <c r="P124" s="191">
        <f t="shared" si="6"/>
        <v>12668</v>
      </c>
    </row>
    <row r="125" spans="1:16" ht="12.75" customHeight="1">
      <c r="A125" s="251" t="s">
        <v>396</v>
      </c>
      <c r="B125" s="283">
        <f>SUM(B126:B128)</f>
        <v>404005990</v>
      </c>
      <c r="C125" s="287">
        <f>29912540+30602264+32086097+32550828</f>
        <v>125151729</v>
      </c>
      <c r="D125" s="283">
        <f>SUM(D126:D128)</f>
        <v>126001567</v>
      </c>
      <c r="E125" s="281">
        <f aca="true" t="shared" si="11" ref="E125:E132">D125/B125*100</f>
        <v>31.188044266373378</v>
      </c>
      <c r="F125" s="283">
        <f>D125-'[16]Marts'!D125</f>
        <v>32049975</v>
      </c>
      <c r="G125" s="251" t="s">
        <v>396</v>
      </c>
      <c r="H125" s="253">
        <v>404006</v>
      </c>
      <c r="I125" s="253">
        <v>159328</v>
      </c>
      <c r="J125" s="284">
        <v>161592</v>
      </c>
      <c r="K125" s="285">
        <v>39.99742578080524</v>
      </c>
      <c r="L125" s="283">
        <v>35590</v>
      </c>
      <c r="N125" s="191">
        <f t="shared" si="8"/>
        <v>0</v>
      </c>
      <c r="O125" s="191">
        <v>93952</v>
      </c>
      <c r="P125" s="191">
        <f t="shared" si="6"/>
        <v>-93952</v>
      </c>
    </row>
    <row r="126" spans="1:16" ht="12.75" customHeight="1">
      <c r="A126" s="286" t="s">
        <v>439</v>
      </c>
      <c r="B126" s="294">
        <v>381116067</v>
      </c>
      <c r="C126" s="295"/>
      <c r="D126" s="295">
        <v>117856387</v>
      </c>
      <c r="E126" s="281">
        <f t="shared" si="11"/>
        <v>30.92401428460375</v>
      </c>
      <c r="F126" s="283">
        <f>D126-'[16]Marts'!D126</f>
        <v>29722295</v>
      </c>
      <c r="G126" s="286" t="s">
        <v>439</v>
      </c>
      <c r="H126" s="253">
        <v>381116</v>
      </c>
      <c r="I126" s="253"/>
      <c r="J126" s="284">
        <v>151555</v>
      </c>
      <c r="K126" s="285">
        <v>39.766107956632624</v>
      </c>
      <c r="L126" s="283">
        <v>33699</v>
      </c>
      <c r="N126" s="191">
        <f t="shared" si="8"/>
        <v>161592</v>
      </c>
      <c r="O126" s="191">
        <v>88134</v>
      </c>
      <c r="P126" s="191">
        <f t="shared" si="6"/>
        <v>73458</v>
      </c>
    </row>
    <row r="127" spans="1:16" ht="12.75" customHeight="1">
      <c r="A127" s="286" t="s">
        <v>440</v>
      </c>
      <c r="B127" s="294">
        <v>3958763</v>
      </c>
      <c r="C127" s="295"/>
      <c r="D127" s="295">
        <v>1181608</v>
      </c>
      <c r="E127" s="281">
        <f t="shared" si="11"/>
        <v>29.84790956164842</v>
      </c>
      <c r="F127" s="283">
        <f>D127-'[16]Marts'!D127</f>
        <v>346178</v>
      </c>
      <c r="G127" s="286" t="s">
        <v>440</v>
      </c>
      <c r="H127" s="253">
        <v>3959</v>
      </c>
      <c r="I127" s="253"/>
      <c r="J127" s="284">
        <v>1528</v>
      </c>
      <c r="K127" s="285">
        <v>38.59560495074514</v>
      </c>
      <c r="L127" s="283">
        <v>346</v>
      </c>
      <c r="N127" s="191">
        <f t="shared" si="8"/>
        <v>151555</v>
      </c>
      <c r="O127" s="191">
        <v>835</v>
      </c>
      <c r="P127" s="191">
        <f t="shared" si="6"/>
        <v>150720</v>
      </c>
    </row>
    <row r="128" spans="1:16" ht="12.75" customHeight="1">
      <c r="A128" s="286" t="s">
        <v>441</v>
      </c>
      <c r="B128" s="294">
        <f>22889923-B127</f>
        <v>18931160</v>
      </c>
      <c r="C128" s="295"/>
      <c r="D128" s="295">
        <f>8145180-D127</f>
        <v>6963572</v>
      </c>
      <c r="E128" s="281">
        <f t="shared" si="11"/>
        <v>36.783651926242236</v>
      </c>
      <c r="F128" s="283">
        <f>D128-'[16]Marts'!D128</f>
        <v>1981502</v>
      </c>
      <c r="G128" s="286" t="s">
        <v>441</v>
      </c>
      <c r="H128" s="253">
        <v>18931</v>
      </c>
      <c r="I128" s="284"/>
      <c r="J128" s="284">
        <v>8509</v>
      </c>
      <c r="K128" s="285">
        <v>44.94744070572077</v>
      </c>
      <c r="L128" s="283">
        <v>1545</v>
      </c>
      <c r="N128" s="191">
        <f t="shared" si="8"/>
        <v>1528</v>
      </c>
      <c r="O128" s="191">
        <v>4983</v>
      </c>
      <c r="P128" s="191">
        <f t="shared" si="6"/>
        <v>-3455</v>
      </c>
    </row>
    <row r="129" spans="1:16" ht="12.75" customHeight="1">
      <c r="A129" s="251" t="s">
        <v>398</v>
      </c>
      <c r="B129" s="283">
        <f>B130</f>
        <v>420523274</v>
      </c>
      <c r="C129" s="283">
        <f>C130</f>
        <v>141428513</v>
      </c>
      <c r="D129" s="283">
        <f>D130</f>
        <v>136794936</v>
      </c>
      <c r="E129" s="281">
        <f t="shared" si="11"/>
        <v>32.52969442067076</v>
      </c>
      <c r="F129" s="283">
        <f>D129-'[16]Marts'!D129</f>
        <v>37006142</v>
      </c>
      <c r="G129" s="251" t="s">
        <v>398</v>
      </c>
      <c r="H129" s="253">
        <v>420523</v>
      </c>
      <c r="I129" s="253">
        <v>176783</v>
      </c>
      <c r="J129" s="284">
        <v>169683</v>
      </c>
      <c r="K129" s="285">
        <v>40.35046834536993</v>
      </c>
      <c r="L129" s="283">
        <v>32888</v>
      </c>
      <c r="N129" s="191">
        <f t="shared" si="8"/>
        <v>8509</v>
      </c>
      <c r="O129" s="191">
        <v>99789</v>
      </c>
      <c r="P129" s="191">
        <f t="shared" si="6"/>
        <v>-91280</v>
      </c>
    </row>
    <row r="130" spans="1:16" ht="12.75" customHeight="1">
      <c r="A130" s="286" t="s">
        <v>445</v>
      </c>
      <c r="B130" s="294">
        <v>420523274</v>
      </c>
      <c r="C130" s="295">
        <f>37274115+35396966+33400791+35356641</f>
        <v>141428513</v>
      </c>
      <c r="D130" s="295">
        <v>136794936</v>
      </c>
      <c r="E130" s="281">
        <f t="shared" si="11"/>
        <v>32.52969442067076</v>
      </c>
      <c r="F130" s="283">
        <f>D130-'[16]Marts'!D130</f>
        <v>37006142</v>
      </c>
      <c r="G130" s="286" t="s">
        <v>445</v>
      </c>
      <c r="H130" s="253">
        <v>420523</v>
      </c>
      <c r="I130" s="253">
        <v>176783</v>
      </c>
      <c r="J130" s="284">
        <v>169683</v>
      </c>
      <c r="K130" s="285">
        <v>40.35046834536993</v>
      </c>
      <c r="L130" s="283">
        <v>32888</v>
      </c>
      <c r="N130" s="191">
        <f t="shared" si="8"/>
        <v>169683</v>
      </c>
      <c r="O130" s="191">
        <v>99789</v>
      </c>
      <c r="P130" s="191">
        <f t="shared" si="6"/>
        <v>69894</v>
      </c>
    </row>
    <row r="131" spans="1:16" ht="12.75" customHeight="1">
      <c r="A131" s="251" t="s">
        <v>237</v>
      </c>
      <c r="B131" s="253">
        <f>B125-B129</f>
        <v>-16517284</v>
      </c>
      <c r="C131" s="253">
        <f>C125-C129</f>
        <v>-16276784</v>
      </c>
      <c r="D131" s="253">
        <f>D125-D129</f>
        <v>-10793369</v>
      </c>
      <c r="E131" s="281">
        <f t="shared" si="11"/>
        <v>65.34590674834918</v>
      </c>
      <c r="F131" s="283">
        <f>D131-'[16]Marts'!D131</f>
        <v>-4956167</v>
      </c>
      <c r="G131" s="251" t="s">
        <v>237</v>
      </c>
      <c r="H131" s="253">
        <v>-16517</v>
      </c>
      <c r="I131" s="253">
        <v>-17455</v>
      </c>
      <c r="J131" s="284">
        <v>-8091</v>
      </c>
      <c r="K131" s="285"/>
      <c r="L131" s="283">
        <v>2702</v>
      </c>
      <c r="N131" s="191">
        <f t="shared" si="8"/>
        <v>169683</v>
      </c>
      <c r="O131" s="191">
        <v>-5837</v>
      </c>
      <c r="P131" s="191">
        <f t="shared" si="6"/>
        <v>175520</v>
      </c>
    </row>
    <row r="132" spans="1:16" ht="12.75" customHeight="1">
      <c r="A132" s="251" t="s">
        <v>423</v>
      </c>
      <c r="B132" s="253">
        <v>16517284</v>
      </c>
      <c r="C132" s="284">
        <f>7361575+4794702+1314694+2805813</f>
        <v>16276784</v>
      </c>
      <c r="D132" s="284">
        <v>10793617</v>
      </c>
      <c r="E132" s="281">
        <f t="shared" si="11"/>
        <v>65.34740820585273</v>
      </c>
      <c r="F132" s="283">
        <f>D132-'[16]Marts'!D132</f>
        <v>4954964</v>
      </c>
      <c r="G132" s="251" t="s">
        <v>423</v>
      </c>
      <c r="H132" s="253">
        <v>16517</v>
      </c>
      <c r="I132" s="253">
        <v>17455</v>
      </c>
      <c r="J132" s="284">
        <v>8105</v>
      </c>
      <c r="K132" s="285">
        <v>49.0706544772053</v>
      </c>
      <c r="L132" s="283">
        <v>-2689</v>
      </c>
      <c r="N132" s="191">
        <f t="shared" si="8"/>
        <v>-8091</v>
      </c>
      <c r="O132" s="191">
        <v>5838</v>
      </c>
      <c r="P132" s="191">
        <f t="shared" si="6"/>
        <v>-13929</v>
      </c>
    </row>
    <row r="133" spans="1:16" ht="12.75" customHeight="1">
      <c r="A133" s="245" t="s">
        <v>446</v>
      </c>
      <c r="B133" s="283"/>
      <c r="C133" s="283"/>
      <c r="D133" s="283"/>
      <c r="E133" s="281"/>
      <c r="F133" s="283" t="e">
        <f>D133-'[16]Marts'!D133</f>
        <v>#REF!</v>
      </c>
      <c r="G133" s="245" t="s">
        <v>446</v>
      </c>
      <c r="H133" s="253"/>
      <c r="I133" s="253"/>
      <c r="J133" s="284"/>
      <c r="K133" s="285"/>
      <c r="L133" s="283"/>
      <c r="N133" s="191">
        <f t="shared" si="8"/>
        <v>8105</v>
      </c>
      <c r="P133" s="191">
        <f t="shared" si="6"/>
        <v>8105</v>
      </c>
    </row>
    <row r="134" spans="1:16" ht="12.75" customHeight="1">
      <c r="A134" s="251" t="s">
        <v>396</v>
      </c>
      <c r="B134" s="283">
        <f>SUM(B135:B137)</f>
        <v>33701584</v>
      </c>
      <c r="C134" s="287">
        <f>3339472+3396859+2514169+2553669</f>
        <v>11804169</v>
      </c>
      <c r="D134" s="283">
        <f>SUM(D135:D137)</f>
        <v>11675161</v>
      </c>
      <c r="E134" s="281">
        <f aca="true" t="shared" si="12" ref="E134:E140">D134/B134*100</f>
        <v>34.64276634593793</v>
      </c>
      <c r="F134" s="283">
        <f>D134-'[16]Marts'!D134</f>
        <v>2467165</v>
      </c>
      <c r="G134" s="251" t="s">
        <v>396</v>
      </c>
      <c r="H134" s="253">
        <v>33702</v>
      </c>
      <c r="I134" s="253">
        <v>14487</v>
      </c>
      <c r="J134" s="284">
        <v>14415</v>
      </c>
      <c r="K134" s="285">
        <v>42.77194231796332</v>
      </c>
      <c r="L134" s="283">
        <v>2739</v>
      </c>
      <c r="N134" s="191">
        <f t="shared" si="8"/>
        <v>0</v>
      </c>
      <c r="O134" s="191">
        <v>9208</v>
      </c>
      <c r="P134" s="191">
        <f t="shared" si="6"/>
        <v>-9208</v>
      </c>
    </row>
    <row r="135" spans="1:16" ht="12.75" customHeight="1">
      <c r="A135" s="286" t="s">
        <v>439</v>
      </c>
      <c r="B135" s="294">
        <v>30619372</v>
      </c>
      <c r="C135" s="295"/>
      <c r="D135" s="295">
        <v>9331077</v>
      </c>
      <c r="E135" s="281">
        <f t="shared" si="12"/>
        <v>30.474423185426534</v>
      </c>
      <c r="F135" s="283">
        <f>D135-'[16]Marts'!D135</f>
        <v>2353516</v>
      </c>
      <c r="G135" s="286" t="s">
        <v>439</v>
      </c>
      <c r="H135" s="253">
        <v>30619</v>
      </c>
      <c r="I135" s="253"/>
      <c r="J135" s="284">
        <v>11999</v>
      </c>
      <c r="K135" s="285">
        <v>39.188085829060384</v>
      </c>
      <c r="L135" s="283">
        <v>2668</v>
      </c>
      <c r="N135" s="191">
        <f t="shared" si="8"/>
        <v>14415</v>
      </c>
      <c r="O135" s="191">
        <v>6978</v>
      </c>
      <c r="P135" s="191">
        <f t="shared" si="6"/>
        <v>7437</v>
      </c>
    </row>
    <row r="136" spans="1:16" ht="12.75" customHeight="1">
      <c r="A136" s="286" t="s">
        <v>440</v>
      </c>
      <c r="B136" s="294">
        <v>443931</v>
      </c>
      <c r="C136" s="295"/>
      <c r="D136" s="295">
        <v>124562</v>
      </c>
      <c r="E136" s="281">
        <f t="shared" si="12"/>
        <v>28.058865003795635</v>
      </c>
      <c r="F136" s="283">
        <f>D136-'[16]Marts'!D136</f>
        <v>38935</v>
      </c>
      <c r="G136" s="286" t="s">
        <v>440</v>
      </c>
      <c r="H136" s="253">
        <v>444</v>
      </c>
      <c r="I136" s="253"/>
      <c r="J136" s="284">
        <v>163</v>
      </c>
      <c r="K136" s="285">
        <v>36.711711711711715</v>
      </c>
      <c r="L136" s="283">
        <v>38</v>
      </c>
      <c r="N136" s="191">
        <f t="shared" si="8"/>
        <v>11999</v>
      </c>
      <c r="O136" s="191">
        <v>86</v>
      </c>
      <c r="P136" s="191">
        <f t="shared" si="6"/>
        <v>11913</v>
      </c>
    </row>
    <row r="137" spans="1:16" ht="12.75" customHeight="1">
      <c r="A137" s="286" t="s">
        <v>441</v>
      </c>
      <c r="B137" s="294">
        <f>3082212-B136</f>
        <v>2638281</v>
      </c>
      <c r="C137" s="295"/>
      <c r="D137" s="295">
        <f>2344084-D136</f>
        <v>2219522</v>
      </c>
      <c r="E137" s="281">
        <f t="shared" si="12"/>
        <v>84.12758155784013</v>
      </c>
      <c r="F137" s="283">
        <f>D137-'[16]Marts'!D137</f>
        <v>74714</v>
      </c>
      <c r="G137" s="286" t="s">
        <v>441</v>
      </c>
      <c r="H137" s="253">
        <v>2638</v>
      </c>
      <c r="I137" s="253"/>
      <c r="J137" s="284">
        <v>2253</v>
      </c>
      <c r="K137" s="285">
        <v>85.40561031084155</v>
      </c>
      <c r="L137" s="283">
        <v>33</v>
      </c>
      <c r="N137" s="191">
        <f t="shared" si="8"/>
        <v>163</v>
      </c>
      <c r="O137" s="191">
        <v>2144</v>
      </c>
      <c r="P137" s="191">
        <f t="shared" si="6"/>
        <v>-1981</v>
      </c>
    </row>
    <row r="138" spans="1:16" ht="12.75" customHeight="1">
      <c r="A138" s="251" t="s">
        <v>398</v>
      </c>
      <c r="B138" s="283">
        <f>B139</f>
        <v>34352435</v>
      </c>
      <c r="C138" s="283">
        <f>C139</f>
        <v>11334517</v>
      </c>
      <c r="D138" s="283">
        <f>D139</f>
        <v>9165930</v>
      </c>
      <c r="E138" s="281">
        <f t="shared" si="12"/>
        <v>26.682038696820182</v>
      </c>
      <c r="F138" s="283">
        <f>D138-'[16]Marts'!D138</f>
        <v>2523964</v>
      </c>
      <c r="G138" s="251" t="s">
        <v>398</v>
      </c>
      <c r="H138" s="253">
        <v>34352</v>
      </c>
      <c r="I138" s="253">
        <v>14222</v>
      </c>
      <c r="J138" s="284">
        <v>11839</v>
      </c>
      <c r="K138" s="285">
        <v>34.4637866790871</v>
      </c>
      <c r="L138" s="283">
        <v>2673</v>
      </c>
      <c r="N138" s="191">
        <f t="shared" si="8"/>
        <v>2253</v>
      </c>
      <c r="O138" s="191">
        <v>6642</v>
      </c>
      <c r="P138" s="191">
        <f aca="true" t="shared" si="13" ref="P138:P191">N138-O138</f>
        <v>-4389</v>
      </c>
    </row>
    <row r="139" spans="1:16" ht="12.75" customHeight="1">
      <c r="A139" s="286" t="s">
        <v>445</v>
      </c>
      <c r="B139" s="294">
        <v>34352435</v>
      </c>
      <c r="C139" s="295">
        <f>2584412+2945732+2933079+2871294</f>
        <v>11334517</v>
      </c>
      <c r="D139" s="295">
        <v>9165930</v>
      </c>
      <c r="E139" s="281">
        <f t="shared" si="12"/>
        <v>26.682038696820182</v>
      </c>
      <c r="F139" s="283">
        <f>D139-'[16]Marts'!D139</f>
        <v>2523964</v>
      </c>
      <c r="G139" s="286" t="s">
        <v>445</v>
      </c>
      <c r="H139" s="253">
        <v>34352</v>
      </c>
      <c r="I139" s="253">
        <v>14222</v>
      </c>
      <c r="J139" s="284">
        <v>11839</v>
      </c>
      <c r="K139" s="285">
        <v>34.4637866790871</v>
      </c>
      <c r="L139" s="283">
        <v>2673</v>
      </c>
      <c r="N139" s="191">
        <f t="shared" si="8"/>
        <v>11839</v>
      </c>
      <c r="O139" s="191">
        <v>6642</v>
      </c>
      <c r="P139" s="191">
        <f t="shared" si="13"/>
        <v>5197</v>
      </c>
    </row>
    <row r="140" spans="1:16" ht="12.75" customHeight="1">
      <c r="A140" s="251" t="s">
        <v>237</v>
      </c>
      <c r="B140" s="283">
        <f>B134-B138</f>
        <v>-650851</v>
      </c>
      <c r="C140" s="283">
        <f>C134-C138</f>
        <v>469652</v>
      </c>
      <c r="D140" s="283">
        <f>D134-D138</f>
        <v>2509231</v>
      </c>
      <c r="E140" s="281">
        <f t="shared" si="12"/>
        <v>-385.5307896891915</v>
      </c>
      <c r="F140" s="283">
        <f>D140-'[16]Marts'!D140</f>
        <v>-56799</v>
      </c>
      <c r="G140" s="251" t="s">
        <v>237</v>
      </c>
      <c r="H140" s="253">
        <v>-651</v>
      </c>
      <c r="I140" s="253">
        <v>266</v>
      </c>
      <c r="J140" s="284">
        <v>2576</v>
      </c>
      <c r="K140" s="285"/>
      <c r="L140" s="283">
        <v>66</v>
      </c>
      <c r="N140" s="191">
        <f t="shared" si="8"/>
        <v>11839</v>
      </c>
      <c r="O140" s="191">
        <v>2566</v>
      </c>
      <c r="P140" s="191">
        <f t="shared" si="13"/>
        <v>9273</v>
      </c>
    </row>
    <row r="141" spans="1:16" ht="12.75" customHeight="1">
      <c r="A141" s="251" t="s">
        <v>423</v>
      </c>
      <c r="B141" s="283">
        <v>650851</v>
      </c>
      <c r="C141" s="287">
        <f>-755060-451127+418910+317625</f>
        <v>-469652</v>
      </c>
      <c r="D141" s="287"/>
      <c r="E141" s="281"/>
      <c r="F141" s="283" t="e">
        <f>D141-'[16]Marts'!D141</f>
        <v>#REF!</v>
      </c>
      <c r="G141" s="251" t="s">
        <v>423</v>
      </c>
      <c r="H141" s="253">
        <v>651</v>
      </c>
      <c r="I141" s="253">
        <v>-266</v>
      </c>
      <c r="J141" s="284"/>
      <c r="K141" s="285"/>
      <c r="L141" s="283"/>
      <c r="N141" s="191">
        <f t="shared" si="8"/>
        <v>2576</v>
      </c>
      <c r="P141" s="191">
        <f t="shared" si="13"/>
        <v>2576</v>
      </c>
    </row>
    <row r="142" spans="1:16" ht="12.75" customHeight="1">
      <c r="A142" s="245" t="s">
        <v>447</v>
      </c>
      <c r="B142" s="283"/>
      <c r="C142" s="283"/>
      <c r="D142" s="283"/>
      <c r="E142" s="281"/>
      <c r="F142" s="283" t="e">
        <f>D142-'[16]Marts'!D142</f>
        <v>#REF!</v>
      </c>
      <c r="G142" s="245" t="s">
        <v>447</v>
      </c>
      <c r="H142" s="253"/>
      <c r="I142" s="253"/>
      <c r="J142" s="284"/>
      <c r="K142" s="285"/>
      <c r="L142" s="283"/>
      <c r="N142" s="191">
        <f t="shared" si="8"/>
        <v>0</v>
      </c>
      <c r="P142" s="191">
        <f t="shared" si="13"/>
        <v>0</v>
      </c>
    </row>
    <row r="143" spans="1:16" ht="12.75" customHeight="1">
      <c r="A143" s="251" t="s">
        <v>396</v>
      </c>
      <c r="B143" s="283">
        <f>SUM(B144:B145)</f>
        <v>1323732</v>
      </c>
      <c r="C143" s="287">
        <f>97688+99893+105015+106335</f>
        <v>408931</v>
      </c>
      <c r="D143" s="283">
        <f>SUM(D144:D145)</f>
        <v>403291</v>
      </c>
      <c r="E143" s="281">
        <f aca="true" t="shared" si="14" ref="E143:E148">D143/B143*100</f>
        <v>30.466212194009056</v>
      </c>
      <c r="F143" s="283">
        <f>D143-'[16]Marts'!D143</f>
        <v>103468</v>
      </c>
      <c r="G143" s="251" t="s">
        <v>396</v>
      </c>
      <c r="H143" s="253">
        <v>1324</v>
      </c>
      <c r="I143" s="253">
        <v>521</v>
      </c>
      <c r="J143" s="284">
        <v>517</v>
      </c>
      <c r="K143" s="285">
        <v>39.04833836858006</v>
      </c>
      <c r="L143" s="283">
        <v>114</v>
      </c>
      <c r="N143" s="191">
        <f t="shared" si="8"/>
        <v>0</v>
      </c>
      <c r="O143" s="191">
        <v>300</v>
      </c>
      <c r="P143" s="191">
        <f t="shared" si="13"/>
        <v>-300</v>
      </c>
    </row>
    <row r="144" spans="1:16" ht="12.75" customHeight="1">
      <c r="A144" s="286" t="s">
        <v>439</v>
      </c>
      <c r="B144" s="294">
        <v>1302952</v>
      </c>
      <c r="C144" s="295"/>
      <c r="D144" s="295">
        <v>397067</v>
      </c>
      <c r="E144" s="281">
        <f t="shared" si="14"/>
        <v>30.47441502066078</v>
      </c>
      <c r="F144" s="283">
        <f>D144-'[16]Marts'!D144</f>
        <v>100149</v>
      </c>
      <c r="G144" s="286" t="s">
        <v>439</v>
      </c>
      <c r="H144" s="253">
        <v>1303</v>
      </c>
      <c r="I144" s="253"/>
      <c r="J144" s="284">
        <v>511</v>
      </c>
      <c r="K144" s="285">
        <v>39.217191097467385</v>
      </c>
      <c r="L144" s="283">
        <v>114</v>
      </c>
      <c r="N144" s="191">
        <f t="shared" si="8"/>
        <v>517</v>
      </c>
      <c r="O144" s="191">
        <v>297</v>
      </c>
      <c r="P144" s="191">
        <f t="shared" si="13"/>
        <v>220</v>
      </c>
    </row>
    <row r="145" spans="1:16" ht="12.75" customHeight="1">
      <c r="A145" s="286" t="s">
        <v>441</v>
      </c>
      <c r="B145" s="294">
        <v>20780</v>
      </c>
      <c r="C145" s="295"/>
      <c r="D145" s="295">
        <v>6224</v>
      </c>
      <c r="E145" s="281">
        <f t="shared" si="14"/>
        <v>29.951876804619825</v>
      </c>
      <c r="F145" s="283">
        <f>D145-'[16]Marts'!D145</f>
        <v>3319</v>
      </c>
      <c r="G145" s="286" t="s">
        <v>441</v>
      </c>
      <c r="H145" s="253">
        <v>21</v>
      </c>
      <c r="I145" s="284"/>
      <c r="J145" s="284">
        <v>6</v>
      </c>
      <c r="K145" s="285">
        <v>28.57142857142857</v>
      </c>
      <c r="L145" s="283">
        <v>0</v>
      </c>
      <c r="N145" s="191">
        <f t="shared" si="8"/>
        <v>511</v>
      </c>
      <c r="O145" s="191">
        <v>3</v>
      </c>
      <c r="P145" s="191">
        <f t="shared" si="13"/>
        <v>508</v>
      </c>
    </row>
    <row r="146" spans="1:16" ht="12.75" customHeight="1">
      <c r="A146" s="251" t="s">
        <v>398</v>
      </c>
      <c r="B146" s="283">
        <f>B147</f>
        <v>1260422</v>
      </c>
      <c r="C146" s="283">
        <f>C147</f>
        <v>360914</v>
      </c>
      <c r="D146" s="283">
        <f>D147</f>
        <v>268848</v>
      </c>
      <c r="E146" s="281">
        <f t="shared" si="14"/>
        <v>21.32999900033481</v>
      </c>
      <c r="F146" s="283">
        <f>D146-'[16]Marts'!D146</f>
        <v>68866</v>
      </c>
      <c r="G146" s="251" t="s">
        <v>398</v>
      </c>
      <c r="H146" s="253">
        <v>1260</v>
      </c>
      <c r="I146" s="253">
        <v>452</v>
      </c>
      <c r="J146" s="284">
        <v>367</v>
      </c>
      <c r="K146" s="285">
        <v>29.12698412698413</v>
      </c>
      <c r="L146" s="283">
        <v>98</v>
      </c>
      <c r="N146" s="191">
        <f t="shared" si="8"/>
        <v>6</v>
      </c>
      <c r="O146" s="191">
        <v>200</v>
      </c>
      <c r="P146" s="191">
        <f t="shared" si="13"/>
        <v>-194</v>
      </c>
    </row>
    <row r="147" spans="1:16" ht="12.75" customHeight="1">
      <c r="A147" s="286" t="s">
        <v>445</v>
      </c>
      <c r="B147" s="294">
        <v>1260422</v>
      </c>
      <c r="C147" s="295">
        <f>93302+96381+85502+85729</f>
        <v>360914</v>
      </c>
      <c r="D147" s="295">
        <v>268848</v>
      </c>
      <c r="E147" s="281">
        <f t="shared" si="14"/>
        <v>21.32999900033481</v>
      </c>
      <c r="F147" s="283">
        <f>D147-'[16]Marts'!D147</f>
        <v>68866</v>
      </c>
      <c r="G147" s="286" t="s">
        <v>445</v>
      </c>
      <c r="H147" s="253">
        <v>1260</v>
      </c>
      <c r="I147" s="253">
        <v>452</v>
      </c>
      <c r="J147" s="284">
        <v>367</v>
      </c>
      <c r="K147" s="285">
        <v>29.12698412698413</v>
      </c>
      <c r="L147" s="283">
        <v>98</v>
      </c>
      <c r="N147" s="191">
        <f t="shared" si="8"/>
        <v>367</v>
      </c>
      <c r="O147" s="191">
        <v>200</v>
      </c>
      <c r="P147" s="191">
        <f t="shared" si="13"/>
        <v>167</v>
      </c>
    </row>
    <row r="148" spans="1:16" ht="12.75" customHeight="1">
      <c r="A148" s="251" t="s">
        <v>237</v>
      </c>
      <c r="B148" s="283">
        <f>B143-B146</f>
        <v>63310</v>
      </c>
      <c r="C148" s="283">
        <f>C143-C146</f>
        <v>48017</v>
      </c>
      <c r="D148" s="283">
        <f>D143-D146</f>
        <v>134443</v>
      </c>
      <c r="E148" s="281">
        <f t="shared" si="14"/>
        <v>212.35665771600063</v>
      </c>
      <c r="F148" s="283">
        <f>D148-'[16]Marts'!D148</f>
        <v>34602</v>
      </c>
      <c r="G148" s="251" t="s">
        <v>237</v>
      </c>
      <c r="H148" s="253">
        <v>63</v>
      </c>
      <c r="I148" s="253">
        <v>69</v>
      </c>
      <c r="J148" s="284">
        <v>150</v>
      </c>
      <c r="K148" s="285"/>
      <c r="L148" s="283">
        <v>16</v>
      </c>
      <c r="N148" s="191">
        <f t="shared" si="8"/>
        <v>367</v>
      </c>
      <c r="O148" s="191">
        <v>100</v>
      </c>
      <c r="P148" s="191">
        <f t="shared" si="13"/>
        <v>267</v>
      </c>
    </row>
    <row r="149" spans="1:16" ht="25.5">
      <c r="A149" s="94" t="s">
        <v>448</v>
      </c>
      <c r="B149" s="283"/>
      <c r="C149" s="283"/>
      <c r="D149" s="283"/>
      <c r="E149" s="281"/>
      <c r="F149" s="283" t="e">
        <f>D149-'[16]Marts'!D149</f>
        <v>#REF!</v>
      </c>
      <c r="G149" s="94" t="s">
        <v>448</v>
      </c>
      <c r="H149" s="253"/>
      <c r="I149" s="253"/>
      <c r="J149" s="284"/>
      <c r="K149" s="285"/>
      <c r="L149" s="283"/>
      <c r="N149" s="191">
        <f t="shared" si="8"/>
        <v>150</v>
      </c>
      <c r="P149" s="191">
        <f t="shared" si="13"/>
        <v>150</v>
      </c>
    </row>
    <row r="150" spans="1:16" ht="12.75" customHeight="1">
      <c r="A150" s="251" t="s">
        <v>396</v>
      </c>
      <c r="B150" s="283">
        <f>SUM(B151:B152)</f>
        <v>82726409</v>
      </c>
      <c r="C150" s="287">
        <f>6094293+6233924+6558403+6641974</f>
        <v>25528594</v>
      </c>
      <c r="D150" s="283">
        <f>SUM(D151:D152)</f>
        <v>25354007</v>
      </c>
      <c r="E150" s="281">
        <f aca="true" t="shared" si="15" ref="E150:E156">D150/B150*100</f>
        <v>30.648020754774937</v>
      </c>
      <c r="F150" s="283">
        <f>D150-'[16]Marts'!D150</f>
        <v>6419780</v>
      </c>
      <c r="G150" s="251" t="s">
        <v>396</v>
      </c>
      <c r="H150" s="253">
        <v>82726</v>
      </c>
      <c r="I150" s="253">
        <v>32531</v>
      </c>
      <c r="J150" s="284">
        <v>32567</v>
      </c>
      <c r="K150" s="285">
        <v>39.367308947610184</v>
      </c>
      <c r="L150" s="283">
        <v>7213</v>
      </c>
      <c r="N150" s="191">
        <f t="shared" si="8"/>
        <v>0</v>
      </c>
      <c r="O150" s="191">
        <v>18934</v>
      </c>
      <c r="P150" s="191">
        <f t="shared" si="13"/>
        <v>-18934</v>
      </c>
    </row>
    <row r="151" spans="1:16" ht="12.75" customHeight="1">
      <c r="A151" s="286" t="s">
        <v>439</v>
      </c>
      <c r="B151" s="294">
        <v>82546999</v>
      </c>
      <c r="C151" s="295"/>
      <c r="D151" s="295">
        <v>25152674</v>
      </c>
      <c r="E151" s="281">
        <f t="shared" si="15"/>
        <v>30.470730983206305</v>
      </c>
      <c r="F151" s="283">
        <f>D151-'[16]Marts'!D151</f>
        <v>6344093</v>
      </c>
      <c r="G151" s="286" t="s">
        <v>439</v>
      </c>
      <c r="H151" s="253">
        <v>82547</v>
      </c>
      <c r="I151" s="253"/>
      <c r="J151" s="284">
        <v>32346</v>
      </c>
      <c r="K151" s="285">
        <v>39.18494918046689</v>
      </c>
      <c r="L151" s="283">
        <v>7193</v>
      </c>
      <c r="N151" s="191">
        <f t="shared" si="8"/>
        <v>32567</v>
      </c>
      <c r="O151" s="191">
        <v>18808</v>
      </c>
      <c r="P151" s="191">
        <f t="shared" si="13"/>
        <v>13759</v>
      </c>
    </row>
    <row r="152" spans="1:16" ht="12.75" customHeight="1">
      <c r="A152" s="286" t="s">
        <v>441</v>
      </c>
      <c r="B152" s="294">
        <v>179410</v>
      </c>
      <c r="C152" s="295"/>
      <c r="D152" s="295">
        <v>201333</v>
      </c>
      <c r="E152" s="281">
        <f t="shared" si="15"/>
        <v>112.21949724095649</v>
      </c>
      <c r="F152" s="283">
        <f>D152-'[16]Marts'!D152</f>
        <v>75687</v>
      </c>
      <c r="G152" s="286" t="s">
        <v>441</v>
      </c>
      <c r="H152" s="253">
        <v>179</v>
      </c>
      <c r="I152" s="253"/>
      <c r="J152" s="284">
        <v>221</v>
      </c>
      <c r="K152" s="285">
        <v>123.463687150838</v>
      </c>
      <c r="L152" s="283">
        <v>20</v>
      </c>
      <c r="N152" s="191">
        <f t="shared" si="8"/>
        <v>32346</v>
      </c>
      <c r="O152" s="191">
        <v>126</v>
      </c>
      <c r="P152" s="191">
        <f t="shared" si="13"/>
        <v>32220</v>
      </c>
    </row>
    <row r="153" spans="1:16" ht="12.75" customHeight="1">
      <c r="A153" s="251" t="s">
        <v>398</v>
      </c>
      <c r="B153" s="283">
        <f>B154</f>
        <v>91505042</v>
      </c>
      <c r="C153" s="283">
        <f>C154</f>
        <v>31406732</v>
      </c>
      <c r="D153" s="283">
        <f>D154</f>
        <v>29736073</v>
      </c>
      <c r="E153" s="281">
        <f t="shared" si="15"/>
        <v>32.49664974745326</v>
      </c>
      <c r="F153" s="283">
        <f>D153-'[16]Marts'!D153</f>
        <v>7936517</v>
      </c>
      <c r="G153" s="251" t="s">
        <v>398</v>
      </c>
      <c r="H153" s="253">
        <v>91505</v>
      </c>
      <c r="I153" s="253">
        <v>38928</v>
      </c>
      <c r="J153" s="284">
        <v>36946</v>
      </c>
      <c r="K153" s="285">
        <v>40.37593574121633</v>
      </c>
      <c r="L153" s="283">
        <v>7210</v>
      </c>
      <c r="N153" s="191">
        <f t="shared" si="8"/>
        <v>221</v>
      </c>
      <c r="O153" s="191">
        <v>21800</v>
      </c>
      <c r="P153" s="191">
        <f t="shared" si="13"/>
        <v>-21579</v>
      </c>
    </row>
    <row r="154" spans="1:16" ht="12.75" customHeight="1">
      <c r="A154" s="286" t="s">
        <v>445</v>
      </c>
      <c r="B154" s="294">
        <v>91505042</v>
      </c>
      <c r="C154" s="295">
        <f>7788524+7918298+7754776+7945134</f>
        <v>31406732</v>
      </c>
      <c r="D154" s="295">
        <v>29736073</v>
      </c>
      <c r="E154" s="281">
        <f t="shared" si="15"/>
        <v>32.49664974745326</v>
      </c>
      <c r="F154" s="283">
        <f>D154-'[16]Marts'!D154</f>
        <v>7936517</v>
      </c>
      <c r="G154" s="286" t="s">
        <v>445</v>
      </c>
      <c r="H154" s="253">
        <v>91505</v>
      </c>
      <c r="I154" s="253">
        <v>38928</v>
      </c>
      <c r="J154" s="284">
        <v>36946</v>
      </c>
      <c r="K154" s="285">
        <v>40.37593574121633</v>
      </c>
      <c r="L154" s="283">
        <v>7210</v>
      </c>
      <c r="N154" s="191">
        <f t="shared" si="8"/>
        <v>36946</v>
      </c>
      <c r="O154" s="191">
        <v>21800</v>
      </c>
      <c r="P154" s="191">
        <f t="shared" si="13"/>
        <v>15146</v>
      </c>
    </row>
    <row r="155" spans="1:16" ht="12.75" customHeight="1">
      <c r="A155" s="251" t="s">
        <v>237</v>
      </c>
      <c r="B155" s="283">
        <f>B150-B153</f>
        <v>-8778633</v>
      </c>
      <c r="C155" s="283">
        <f>C150-C153</f>
        <v>-5878138</v>
      </c>
      <c r="D155" s="283">
        <f>D150-D153</f>
        <v>-4382066</v>
      </c>
      <c r="E155" s="281">
        <f t="shared" si="15"/>
        <v>49.917407414115615</v>
      </c>
      <c r="F155" s="283">
        <f>D155-'[16]Marts'!D155</f>
        <v>-1516737</v>
      </c>
      <c r="G155" s="251" t="s">
        <v>237</v>
      </c>
      <c r="H155" s="253">
        <v>-8779</v>
      </c>
      <c r="I155" s="253">
        <v>-6398</v>
      </c>
      <c r="J155" s="284">
        <v>-4379</v>
      </c>
      <c r="K155" s="285"/>
      <c r="L155" s="283">
        <v>3</v>
      </c>
      <c r="N155" s="191">
        <f aca="true" t="shared" si="16" ref="N155:N191">J154</f>
        <v>36946</v>
      </c>
      <c r="O155" s="191">
        <v>-2866</v>
      </c>
      <c r="P155" s="191">
        <f t="shared" si="13"/>
        <v>39812</v>
      </c>
    </row>
    <row r="156" spans="1:16" ht="12.75" customHeight="1">
      <c r="A156" s="251" t="s">
        <v>423</v>
      </c>
      <c r="B156" s="253">
        <v>8778633</v>
      </c>
      <c r="C156" s="284">
        <f>1694231+1684374+1196373+1303160</f>
        <v>5878138</v>
      </c>
      <c r="D156" s="284">
        <v>4382162</v>
      </c>
      <c r="E156" s="281">
        <f t="shared" si="15"/>
        <v>49.9185009784553</v>
      </c>
      <c r="F156" s="283">
        <f>D156-'[16]Marts'!D156</f>
        <v>1516645</v>
      </c>
      <c r="G156" s="251" t="s">
        <v>423</v>
      </c>
      <c r="H156" s="253">
        <v>8779</v>
      </c>
      <c r="I156" s="253">
        <v>6398</v>
      </c>
      <c r="J156" s="284">
        <v>4380</v>
      </c>
      <c r="K156" s="285">
        <v>49.89178721950108</v>
      </c>
      <c r="L156" s="283">
        <v>-2</v>
      </c>
      <c r="N156" s="191">
        <f t="shared" si="16"/>
        <v>-4379</v>
      </c>
      <c r="O156" s="191">
        <v>2866</v>
      </c>
      <c r="P156" s="191">
        <f t="shared" si="13"/>
        <v>-7245</v>
      </c>
    </row>
    <row r="157" spans="1:16" ht="25.5">
      <c r="A157" s="130" t="s">
        <v>449</v>
      </c>
      <c r="B157" s="283"/>
      <c r="C157" s="283"/>
      <c r="D157" s="283"/>
      <c r="E157" s="281"/>
      <c r="F157" s="283"/>
      <c r="G157" s="94" t="s">
        <v>449</v>
      </c>
      <c r="H157" s="253"/>
      <c r="I157" s="253"/>
      <c r="J157" s="284"/>
      <c r="K157" s="285"/>
      <c r="L157" s="283"/>
      <c r="N157" s="191">
        <f t="shared" si="16"/>
        <v>4380</v>
      </c>
      <c r="P157" s="191">
        <f t="shared" si="13"/>
        <v>4380</v>
      </c>
    </row>
    <row r="158" spans="1:16" ht="12.75" customHeight="1">
      <c r="A158" s="251" t="s">
        <v>396</v>
      </c>
      <c r="B158" s="283">
        <f>SUM(B159:B160)</f>
        <v>9843296</v>
      </c>
      <c r="C158" s="287">
        <f>591852+775370+827390+788270</f>
        <v>2982882</v>
      </c>
      <c r="D158" s="283">
        <f>SUM(D159:D160)</f>
        <v>2982882</v>
      </c>
      <c r="E158" s="281">
        <f aca="true" t="shared" si="17" ref="E158:E166">D158/B158*100</f>
        <v>30.303690958800793</v>
      </c>
      <c r="F158" s="283">
        <f>D158-'[16]Marts'!D158</f>
        <v>788270</v>
      </c>
      <c r="G158" s="251" t="s">
        <v>396</v>
      </c>
      <c r="H158" s="253">
        <v>9843</v>
      </c>
      <c r="I158" s="253">
        <v>3922</v>
      </c>
      <c r="J158" s="284">
        <v>3922</v>
      </c>
      <c r="K158" s="285">
        <v>39.845575535913845</v>
      </c>
      <c r="L158" s="283">
        <v>939</v>
      </c>
      <c r="N158" s="191">
        <f t="shared" si="16"/>
        <v>0</v>
      </c>
      <c r="O158" s="191">
        <v>2195</v>
      </c>
      <c r="P158" s="191">
        <f t="shared" si="13"/>
        <v>-2195</v>
      </c>
    </row>
    <row r="159" spans="1:16" ht="12.75" customHeight="1">
      <c r="A159" s="286" t="s">
        <v>440</v>
      </c>
      <c r="B159" s="294">
        <f>300000+1890000</f>
        <v>2190000</v>
      </c>
      <c r="C159" s="295"/>
      <c r="D159" s="295">
        <v>682160</v>
      </c>
      <c r="E159" s="281">
        <f t="shared" si="17"/>
        <v>31.148858447488585</v>
      </c>
      <c r="F159" s="283">
        <f>D159-'[16]Marts'!D159</f>
        <v>193320</v>
      </c>
      <c r="G159" s="286" t="s">
        <v>440</v>
      </c>
      <c r="H159" s="253">
        <v>2190</v>
      </c>
      <c r="I159" s="253"/>
      <c r="J159" s="284">
        <v>886</v>
      </c>
      <c r="K159" s="285">
        <v>40.45662100456621</v>
      </c>
      <c r="L159" s="283">
        <v>204</v>
      </c>
      <c r="N159" s="191">
        <f t="shared" si="16"/>
        <v>3922</v>
      </c>
      <c r="O159" s="191">
        <v>489</v>
      </c>
      <c r="P159" s="191">
        <f t="shared" si="13"/>
        <v>3433</v>
      </c>
    </row>
    <row r="160" spans="1:16" ht="12.75" customHeight="1">
      <c r="A160" s="286" t="s">
        <v>441</v>
      </c>
      <c r="B160" s="294">
        <f>9843296-B159</f>
        <v>7653296</v>
      </c>
      <c r="C160" s="295"/>
      <c r="D160" s="295">
        <f>2982882-D159</f>
        <v>2300722</v>
      </c>
      <c r="E160" s="281">
        <f t="shared" si="17"/>
        <v>30.061845249419335</v>
      </c>
      <c r="F160" s="283">
        <f>D160-'[16]Marts'!D160</f>
        <v>594950</v>
      </c>
      <c r="G160" s="286" t="s">
        <v>441</v>
      </c>
      <c r="H160" s="253">
        <v>7653</v>
      </c>
      <c r="I160" s="284"/>
      <c r="J160" s="284">
        <v>3036</v>
      </c>
      <c r="K160" s="285">
        <v>39.67071736573893</v>
      </c>
      <c r="L160" s="283">
        <v>735</v>
      </c>
      <c r="N160" s="191">
        <f t="shared" si="16"/>
        <v>886</v>
      </c>
      <c r="O160" s="191">
        <v>1706</v>
      </c>
      <c r="P160" s="191">
        <f t="shared" si="13"/>
        <v>-820</v>
      </c>
    </row>
    <row r="161" spans="1:16" ht="12.75" customHeight="1">
      <c r="A161" s="251" t="s">
        <v>398</v>
      </c>
      <c r="B161" s="283">
        <f>B162+B164</f>
        <v>12108296</v>
      </c>
      <c r="C161" s="283">
        <f>C162+C164</f>
        <v>3433772</v>
      </c>
      <c r="D161" s="283">
        <f>D162+D164</f>
        <v>2845040</v>
      </c>
      <c r="E161" s="281">
        <f t="shared" si="17"/>
        <v>23.49661752570304</v>
      </c>
      <c r="F161" s="283">
        <f>D161-'[16]Marts'!D161</f>
        <v>823317</v>
      </c>
      <c r="G161" s="251" t="s">
        <v>398</v>
      </c>
      <c r="H161" s="253">
        <v>12108</v>
      </c>
      <c r="I161" s="253">
        <v>4483</v>
      </c>
      <c r="J161" s="284">
        <v>3698</v>
      </c>
      <c r="K161" s="285">
        <v>30.541790551701354</v>
      </c>
      <c r="L161" s="283">
        <v>853</v>
      </c>
      <c r="N161" s="191">
        <f t="shared" si="16"/>
        <v>3036</v>
      </c>
      <c r="O161" s="191">
        <v>2022</v>
      </c>
      <c r="P161" s="191">
        <f t="shared" si="13"/>
        <v>1014</v>
      </c>
    </row>
    <row r="162" spans="1:16" ht="12.75" customHeight="1">
      <c r="A162" s="77" t="s">
        <v>445</v>
      </c>
      <c r="B162" s="294">
        <v>8683296</v>
      </c>
      <c r="C162" s="295">
        <f>535782+680000+701500+703500</f>
        <v>2620782</v>
      </c>
      <c r="D162" s="295">
        <v>2604507</v>
      </c>
      <c r="E162" s="281">
        <f t="shared" si="17"/>
        <v>29.99445141568363</v>
      </c>
      <c r="F162" s="283">
        <f>D162-'[16]Marts'!D162</f>
        <v>719546</v>
      </c>
      <c r="G162" s="77" t="s">
        <v>445</v>
      </c>
      <c r="H162" s="253">
        <v>8683</v>
      </c>
      <c r="I162" s="253">
        <v>3447</v>
      </c>
      <c r="J162" s="284">
        <v>3402</v>
      </c>
      <c r="K162" s="285">
        <v>39.180006910054125</v>
      </c>
      <c r="L162" s="283">
        <v>798</v>
      </c>
      <c r="N162" s="191">
        <f t="shared" si="16"/>
        <v>3698</v>
      </c>
      <c r="O162" s="191">
        <v>1885</v>
      </c>
      <c r="P162" s="191">
        <f t="shared" si="13"/>
        <v>1813</v>
      </c>
    </row>
    <row r="163" spans="1:16" ht="12.75" customHeight="1">
      <c r="A163" s="286" t="s">
        <v>430</v>
      </c>
      <c r="B163" s="294">
        <v>10782</v>
      </c>
      <c r="C163" s="295"/>
      <c r="D163" s="295"/>
      <c r="E163" s="281">
        <f t="shared" si="17"/>
        <v>0</v>
      </c>
      <c r="F163" s="283" t="e">
        <f>D163-'[16]Marts'!D163</f>
        <v>#REF!</v>
      </c>
      <c r="G163" s="286" t="s">
        <v>430</v>
      </c>
      <c r="H163" s="253">
        <v>11</v>
      </c>
      <c r="I163" s="253"/>
      <c r="J163" s="284"/>
      <c r="K163" s="285"/>
      <c r="L163" s="283"/>
      <c r="N163" s="191">
        <f t="shared" si="16"/>
        <v>3402</v>
      </c>
      <c r="P163" s="191">
        <f t="shared" si="13"/>
        <v>3402</v>
      </c>
    </row>
    <row r="164" spans="1:16" ht="12.75" customHeight="1">
      <c r="A164" s="77" t="s">
        <v>450</v>
      </c>
      <c r="B164" s="294">
        <v>3425000</v>
      </c>
      <c r="C164" s="295">
        <f>234780+215420+194320+168470</f>
        <v>812990</v>
      </c>
      <c r="D164" s="295">
        <v>240533</v>
      </c>
      <c r="E164" s="281">
        <f t="shared" si="17"/>
        <v>7.022861313868613</v>
      </c>
      <c r="F164" s="283">
        <f>D164-'[16]Marts'!D164</f>
        <v>103771</v>
      </c>
      <c r="G164" s="77" t="s">
        <v>450</v>
      </c>
      <c r="H164" s="253">
        <v>3425</v>
      </c>
      <c r="I164" s="253">
        <v>1036</v>
      </c>
      <c r="J164" s="284">
        <v>296</v>
      </c>
      <c r="K164" s="285">
        <v>8.642335766423358</v>
      </c>
      <c r="L164" s="283">
        <v>55</v>
      </c>
      <c r="N164" s="191">
        <f t="shared" si="16"/>
        <v>0</v>
      </c>
      <c r="O164" s="191">
        <v>137</v>
      </c>
      <c r="P164" s="191">
        <f t="shared" si="13"/>
        <v>-137</v>
      </c>
    </row>
    <row r="165" spans="1:16" ht="12.75" customHeight="1">
      <c r="A165" s="251" t="s">
        <v>237</v>
      </c>
      <c r="B165" s="283">
        <f>B158-B161</f>
        <v>-2265000</v>
      </c>
      <c r="C165" s="283">
        <f>C158-C161</f>
        <v>-450890</v>
      </c>
      <c r="D165" s="283">
        <f>D158-D161</f>
        <v>137842</v>
      </c>
      <c r="E165" s="281">
        <f t="shared" si="17"/>
        <v>-6.085739514348786</v>
      </c>
      <c r="F165" s="283">
        <f>D165-'[16]Marts'!D165</f>
        <v>-35047</v>
      </c>
      <c r="G165" s="251" t="s">
        <v>237</v>
      </c>
      <c r="H165" s="253">
        <v>-2265</v>
      </c>
      <c r="I165" s="253">
        <v>-561</v>
      </c>
      <c r="J165" s="284">
        <v>224</v>
      </c>
      <c r="K165" s="285"/>
      <c r="L165" s="283">
        <v>86</v>
      </c>
      <c r="N165" s="191">
        <f t="shared" si="16"/>
        <v>296</v>
      </c>
      <c r="O165" s="191">
        <v>173</v>
      </c>
      <c r="P165" s="191">
        <f t="shared" si="13"/>
        <v>123</v>
      </c>
    </row>
    <row r="166" spans="1:16" ht="12.75" customHeight="1">
      <c r="A166" s="251" t="s">
        <v>423</v>
      </c>
      <c r="B166" s="253">
        <v>2265000</v>
      </c>
      <c r="C166" s="284">
        <f>178710+120050+68430+83700</f>
        <v>450890</v>
      </c>
      <c r="D166" s="284">
        <v>147716</v>
      </c>
      <c r="E166" s="281">
        <f t="shared" si="17"/>
        <v>6.521677704194261</v>
      </c>
      <c r="F166" s="283">
        <f>D166-'[16]Marts'!D166</f>
        <v>92618</v>
      </c>
      <c r="G166" s="251" t="s">
        <v>423</v>
      </c>
      <c r="H166" s="253">
        <v>2265</v>
      </c>
      <c r="I166" s="253">
        <v>561</v>
      </c>
      <c r="J166" s="284">
        <v>183</v>
      </c>
      <c r="K166" s="285">
        <v>8.079470198675496</v>
      </c>
      <c r="L166" s="283">
        <v>35</v>
      </c>
      <c r="N166" s="191">
        <f t="shared" si="16"/>
        <v>224</v>
      </c>
      <c r="O166" s="191">
        <v>55</v>
      </c>
      <c r="P166" s="191">
        <f t="shared" si="13"/>
        <v>169</v>
      </c>
    </row>
    <row r="167" spans="1:16" ht="24" customHeight="1">
      <c r="A167" s="76" t="s">
        <v>266</v>
      </c>
      <c r="B167" s="283"/>
      <c r="C167" s="283"/>
      <c r="D167" s="283"/>
      <c r="E167" s="281"/>
      <c r="F167" s="283"/>
      <c r="G167" s="76" t="s">
        <v>266</v>
      </c>
      <c r="H167" s="253"/>
      <c r="I167" s="253"/>
      <c r="J167" s="284"/>
      <c r="K167" s="285"/>
      <c r="L167" s="283"/>
      <c r="N167" s="191">
        <f t="shared" si="16"/>
        <v>183</v>
      </c>
      <c r="P167" s="191">
        <f t="shared" si="13"/>
        <v>183</v>
      </c>
    </row>
    <row r="168" spans="1:16" ht="12.75" customHeight="1">
      <c r="A168" s="245" t="s">
        <v>451</v>
      </c>
      <c r="B168" s="283"/>
      <c r="C168" s="283"/>
      <c r="D168" s="283"/>
      <c r="E168" s="281"/>
      <c r="F168" s="283" t="e">
        <f>D168-'[16]Marts'!D168</f>
        <v>#REF!</v>
      </c>
      <c r="G168" s="245" t="s">
        <v>451</v>
      </c>
      <c r="H168" s="253"/>
      <c r="I168" s="253"/>
      <c r="J168" s="284"/>
      <c r="K168" s="285"/>
      <c r="L168" s="283"/>
      <c r="N168" s="191">
        <f t="shared" si="16"/>
        <v>0</v>
      </c>
      <c r="P168" s="191">
        <f t="shared" si="13"/>
        <v>0</v>
      </c>
    </row>
    <row r="169" spans="1:16" ht="12.75" customHeight="1">
      <c r="A169" s="251" t="s">
        <v>396</v>
      </c>
      <c r="B169" s="283">
        <f>SUM(B170:B172)</f>
        <v>9519100</v>
      </c>
      <c r="C169" s="287">
        <v>2599565</v>
      </c>
      <c r="D169" s="283">
        <f>SUM(D170:D172)</f>
        <v>2221993</v>
      </c>
      <c r="E169" s="281">
        <f aca="true" t="shared" si="18" ref="E169:E175">D169/B169*100</f>
        <v>23.342469351094117</v>
      </c>
      <c r="F169" s="283">
        <f>D169-'[16]Marts'!D169</f>
        <v>578366</v>
      </c>
      <c r="G169" s="251" t="s">
        <v>396</v>
      </c>
      <c r="H169" s="253">
        <v>9519</v>
      </c>
      <c r="I169" s="253">
        <v>3498</v>
      </c>
      <c r="J169" s="284">
        <v>3220</v>
      </c>
      <c r="K169" s="285">
        <v>33.82708267675176</v>
      </c>
      <c r="L169" s="283">
        <v>998</v>
      </c>
      <c r="N169" s="191">
        <f t="shared" si="16"/>
        <v>0</v>
      </c>
      <c r="O169" s="191">
        <v>1644</v>
      </c>
      <c r="P169" s="191">
        <f t="shared" si="13"/>
        <v>-1644</v>
      </c>
    </row>
    <row r="170" spans="1:16" ht="12.75" customHeight="1">
      <c r="A170" s="251" t="s">
        <v>452</v>
      </c>
      <c r="B170" s="253">
        <v>8951000</v>
      </c>
      <c r="C170" s="284"/>
      <c r="D170" s="284">
        <v>2030585</v>
      </c>
      <c r="E170" s="281">
        <f t="shared" si="18"/>
        <v>22.68556585856329</v>
      </c>
      <c r="F170" s="283">
        <f>D170-'[16]Marts'!D170</f>
        <v>553354</v>
      </c>
      <c r="G170" s="251" t="s">
        <v>452</v>
      </c>
      <c r="H170" s="253">
        <v>8951</v>
      </c>
      <c r="I170" s="253"/>
      <c r="J170" s="284">
        <v>2990</v>
      </c>
      <c r="K170" s="285">
        <v>33.40408892861133</v>
      </c>
      <c r="L170" s="283">
        <v>959</v>
      </c>
      <c r="N170" s="191">
        <f t="shared" si="16"/>
        <v>3220</v>
      </c>
      <c r="O170" s="191">
        <v>1477</v>
      </c>
      <c r="P170" s="191">
        <f t="shared" si="13"/>
        <v>1743</v>
      </c>
    </row>
    <row r="171" spans="1:16" ht="24.75" customHeight="1">
      <c r="A171" s="69" t="s">
        <v>453</v>
      </c>
      <c r="B171" s="253">
        <v>350000</v>
      </c>
      <c r="C171" s="284"/>
      <c r="D171" s="284">
        <v>158132</v>
      </c>
      <c r="E171" s="281">
        <f t="shared" si="18"/>
        <v>45.18057142857143</v>
      </c>
      <c r="F171" s="283">
        <f>D171-'[16]Marts'!D171</f>
        <v>18094</v>
      </c>
      <c r="G171" s="69" t="s">
        <v>453</v>
      </c>
      <c r="H171" s="253">
        <v>350</v>
      </c>
      <c r="I171" s="253"/>
      <c r="J171" s="284">
        <v>185</v>
      </c>
      <c r="K171" s="285">
        <v>52.85714285714286</v>
      </c>
      <c r="L171" s="283">
        <v>27</v>
      </c>
      <c r="N171" s="191">
        <f t="shared" si="16"/>
        <v>2990</v>
      </c>
      <c r="O171" s="191">
        <v>140</v>
      </c>
      <c r="P171" s="191">
        <f t="shared" si="13"/>
        <v>2850</v>
      </c>
    </row>
    <row r="172" spans="1:16" ht="12.75" customHeight="1">
      <c r="A172" s="293" t="s">
        <v>312</v>
      </c>
      <c r="B172" s="253">
        <f>150000+68100</f>
        <v>218100</v>
      </c>
      <c r="C172" s="284"/>
      <c r="D172" s="284">
        <f>10421+22916-61</f>
        <v>33276</v>
      </c>
      <c r="E172" s="281">
        <f t="shared" si="18"/>
        <v>15.257221458046768</v>
      </c>
      <c r="F172" s="283">
        <f>D172-'[16]Marts'!D172</f>
        <v>6918</v>
      </c>
      <c r="G172" s="127" t="s">
        <v>312</v>
      </c>
      <c r="H172" s="253">
        <v>218</v>
      </c>
      <c r="I172" s="284"/>
      <c r="J172" s="284">
        <v>45</v>
      </c>
      <c r="K172" s="285">
        <v>20.642201834862387</v>
      </c>
      <c r="L172" s="283">
        <v>12</v>
      </c>
      <c r="N172" s="191">
        <f t="shared" si="16"/>
        <v>185</v>
      </c>
      <c r="O172" s="191">
        <v>27</v>
      </c>
      <c r="P172" s="191">
        <f t="shared" si="13"/>
        <v>158</v>
      </c>
    </row>
    <row r="173" spans="1:16" ht="12.75" customHeight="1">
      <c r="A173" s="251" t="s">
        <v>398</v>
      </c>
      <c r="B173" s="283">
        <f>SUM(B174:B175)</f>
        <v>9370924</v>
      </c>
      <c r="C173" s="283">
        <f>SUM(C174:C175)</f>
        <v>2592889</v>
      </c>
      <c r="D173" s="283">
        <f>SUM(D174:D175)</f>
        <v>787889</v>
      </c>
      <c r="E173" s="281">
        <f t="shared" si="18"/>
        <v>8.407804822662099</v>
      </c>
      <c r="F173" s="283">
        <f>D173-'[16]Marts'!D173</f>
        <v>274981</v>
      </c>
      <c r="G173" s="251" t="s">
        <v>398</v>
      </c>
      <c r="H173" s="253">
        <v>9371</v>
      </c>
      <c r="I173" s="253">
        <v>3491</v>
      </c>
      <c r="J173" s="284">
        <v>1273</v>
      </c>
      <c r="K173" s="285">
        <v>13.584462704087077</v>
      </c>
      <c r="L173" s="283">
        <v>486</v>
      </c>
      <c r="N173" s="191">
        <f t="shared" si="16"/>
        <v>45</v>
      </c>
      <c r="O173" s="191">
        <v>513</v>
      </c>
      <c r="P173" s="191">
        <f t="shared" si="13"/>
        <v>-468</v>
      </c>
    </row>
    <row r="174" spans="1:16" ht="12.75" customHeight="1">
      <c r="A174" s="251" t="s">
        <v>399</v>
      </c>
      <c r="B174" s="253">
        <v>6547804</v>
      </c>
      <c r="C174" s="284">
        <v>1983839</v>
      </c>
      <c r="D174" s="284">
        <f>'[17]Aprīlis'!$E$8</f>
        <v>772249</v>
      </c>
      <c r="E174" s="281">
        <f t="shared" si="18"/>
        <v>11.794015214872038</v>
      </c>
      <c r="F174" s="283">
        <f>D174-'[16]Marts'!D174</f>
        <v>273299</v>
      </c>
      <c r="G174" s="251" t="s">
        <v>399</v>
      </c>
      <c r="H174" s="253">
        <v>6548</v>
      </c>
      <c r="I174" s="253">
        <v>2546</v>
      </c>
      <c r="J174" s="284">
        <v>1242</v>
      </c>
      <c r="K174" s="285">
        <v>18.967623701893707</v>
      </c>
      <c r="L174" s="283">
        <v>470</v>
      </c>
      <c r="N174" s="191">
        <f t="shared" si="16"/>
        <v>1273</v>
      </c>
      <c r="O174" s="191">
        <v>499</v>
      </c>
      <c r="P174" s="191">
        <f t="shared" si="13"/>
        <v>774</v>
      </c>
    </row>
    <row r="175" spans="1:16" ht="12.75" customHeight="1">
      <c r="A175" s="251" t="s">
        <v>393</v>
      </c>
      <c r="B175" s="253">
        <v>2823120</v>
      </c>
      <c r="C175" s="284">
        <v>609050</v>
      </c>
      <c r="D175" s="284">
        <f>'[17]Aprīlis'!$E$30</f>
        <v>15640</v>
      </c>
      <c r="E175" s="281">
        <f t="shared" si="18"/>
        <v>0.5539969962311202</v>
      </c>
      <c r="F175" s="283">
        <f>D175-'[16]Marts'!D175</f>
        <v>1682</v>
      </c>
      <c r="G175" s="251" t="s">
        <v>393</v>
      </c>
      <c r="H175" s="253">
        <v>2823</v>
      </c>
      <c r="I175" s="253">
        <v>945</v>
      </c>
      <c r="J175" s="284">
        <v>31</v>
      </c>
      <c r="K175" s="285">
        <v>1.098122564647538</v>
      </c>
      <c r="L175" s="283">
        <v>16</v>
      </c>
      <c r="N175" s="191">
        <f t="shared" si="16"/>
        <v>1242</v>
      </c>
      <c r="O175" s="191">
        <v>14</v>
      </c>
      <c r="P175" s="191">
        <f t="shared" si="13"/>
        <v>1228</v>
      </c>
    </row>
    <row r="176" spans="1:16" ht="12.75" customHeight="1">
      <c r="A176" s="32" t="s">
        <v>268</v>
      </c>
      <c r="B176" s="283"/>
      <c r="C176" s="283"/>
      <c r="D176" s="283"/>
      <c r="E176" s="281"/>
      <c r="F176" s="283" t="e">
        <f>D176-'[16]Marts'!D176</f>
        <v>#REF!</v>
      </c>
      <c r="G176" s="32" t="s">
        <v>268</v>
      </c>
      <c r="H176" s="253"/>
      <c r="I176" s="253"/>
      <c r="J176" s="284"/>
      <c r="K176" s="285"/>
      <c r="L176" s="283"/>
      <c r="N176" s="191">
        <f t="shared" si="16"/>
        <v>31</v>
      </c>
      <c r="P176" s="191">
        <f t="shared" si="13"/>
        <v>31</v>
      </c>
    </row>
    <row r="177" spans="1:16" ht="12.75" customHeight="1">
      <c r="A177" s="245" t="s">
        <v>454</v>
      </c>
      <c r="B177" s="283"/>
      <c r="C177" s="283"/>
      <c r="D177" s="283"/>
      <c r="E177" s="281"/>
      <c r="F177" s="283" t="e">
        <f>D177-'[16]Marts'!D177</f>
        <v>#REF!</v>
      </c>
      <c r="G177" s="245" t="s">
        <v>454</v>
      </c>
      <c r="H177" s="253"/>
      <c r="I177" s="253"/>
      <c r="J177" s="284"/>
      <c r="K177" s="285"/>
      <c r="L177" s="283"/>
      <c r="N177" s="191">
        <f t="shared" si="16"/>
        <v>0</v>
      </c>
      <c r="P177" s="191">
        <f t="shared" si="13"/>
        <v>0</v>
      </c>
    </row>
    <row r="178" spans="1:16" ht="12.75" customHeight="1">
      <c r="A178" s="251" t="s">
        <v>396</v>
      </c>
      <c r="B178" s="283">
        <f>SUM(B179:B180)</f>
        <v>2272860</v>
      </c>
      <c r="C178" s="287">
        <v>730000</v>
      </c>
      <c r="D178" s="283">
        <f>SUM(D179:D180)</f>
        <v>587847</v>
      </c>
      <c r="E178" s="281">
        <f>D178/B178*100</f>
        <v>25.863757556558696</v>
      </c>
      <c r="F178" s="283">
        <f>D178-'[16]Marts'!D178</f>
        <v>132854</v>
      </c>
      <c r="G178" s="251" t="s">
        <v>396</v>
      </c>
      <c r="H178" s="253">
        <v>2273</v>
      </c>
      <c r="I178" s="253">
        <v>919</v>
      </c>
      <c r="J178" s="284">
        <v>730</v>
      </c>
      <c r="K178" s="285">
        <v>32.11614606247251</v>
      </c>
      <c r="L178" s="283">
        <v>142</v>
      </c>
      <c r="N178" s="191">
        <f t="shared" si="16"/>
        <v>0</v>
      </c>
      <c r="O178" s="191">
        <v>455</v>
      </c>
      <c r="P178" s="191">
        <f t="shared" si="13"/>
        <v>-455</v>
      </c>
    </row>
    <row r="179" spans="1:16" ht="24.75" customHeight="1">
      <c r="A179" s="69" t="s">
        <v>455</v>
      </c>
      <c r="B179" s="253">
        <v>1608660</v>
      </c>
      <c r="C179" s="284"/>
      <c r="D179" s="284">
        <v>386767</v>
      </c>
      <c r="E179" s="281">
        <f>D179/B179*100</f>
        <v>24.042805813534248</v>
      </c>
      <c r="F179" s="283">
        <f>D179-'[16]Marts'!D179</f>
        <v>79576</v>
      </c>
      <c r="G179" s="69" t="s">
        <v>455</v>
      </c>
      <c r="H179" s="253">
        <v>1609</v>
      </c>
      <c r="I179" s="253"/>
      <c r="J179" s="284">
        <v>473</v>
      </c>
      <c r="K179" s="285">
        <v>29.39714108141703</v>
      </c>
      <c r="L179" s="283">
        <v>86</v>
      </c>
      <c r="N179" s="191">
        <f t="shared" si="16"/>
        <v>730</v>
      </c>
      <c r="O179" s="191">
        <v>307</v>
      </c>
      <c r="P179" s="191">
        <f t="shared" si="13"/>
        <v>423</v>
      </c>
    </row>
    <row r="180" spans="1:16" ht="24" customHeight="1">
      <c r="A180" s="69" t="s">
        <v>456</v>
      </c>
      <c r="B180" s="253">
        <v>664200</v>
      </c>
      <c r="C180" s="284"/>
      <c r="D180" s="284">
        <v>201080</v>
      </c>
      <c r="E180" s="281">
        <f>D180/B180*100</f>
        <v>30.274013851249627</v>
      </c>
      <c r="F180" s="283">
        <f>D180-'[16]Marts'!D180</f>
        <v>53278</v>
      </c>
      <c r="G180" s="69" t="s">
        <v>456</v>
      </c>
      <c r="H180" s="253">
        <v>664</v>
      </c>
      <c r="I180" s="284"/>
      <c r="J180" s="284">
        <v>257</v>
      </c>
      <c r="K180" s="285">
        <v>38.704819277108435</v>
      </c>
      <c r="L180" s="283">
        <v>56</v>
      </c>
      <c r="N180" s="191">
        <f t="shared" si="16"/>
        <v>473</v>
      </c>
      <c r="O180" s="191">
        <v>148</v>
      </c>
      <c r="P180" s="191">
        <f t="shared" si="13"/>
        <v>325</v>
      </c>
    </row>
    <row r="181" spans="1:16" ht="12.75" customHeight="1">
      <c r="A181" s="251" t="s">
        <v>398</v>
      </c>
      <c r="B181" s="283">
        <f>B182</f>
        <v>2272860</v>
      </c>
      <c r="C181" s="283">
        <f>C182</f>
        <v>730000</v>
      </c>
      <c r="D181" s="283">
        <f>D182</f>
        <v>595260</v>
      </c>
      <c r="E181" s="281">
        <f>D181/B181*100</f>
        <v>26.189910509226262</v>
      </c>
      <c r="F181" s="283">
        <f>D181-'[16]Marts'!D181</f>
        <v>138020</v>
      </c>
      <c r="G181" s="251" t="s">
        <v>398</v>
      </c>
      <c r="H181" s="253">
        <v>2273</v>
      </c>
      <c r="I181" s="253">
        <v>919</v>
      </c>
      <c r="J181" s="284">
        <v>732</v>
      </c>
      <c r="K181" s="285">
        <v>32.20413550373955</v>
      </c>
      <c r="L181" s="283">
        <v>137</v>
      </c>
      <c r="N181" s="191">
        <f t="shared" si="16"/>
        <v>257</v>
      </c>
      <c r="O181" s="191">
        <v>457</v>
      </c>
      <c r="P181" s="191">
        <f t="shared" si="13"/>
        <v>-200</v>
      </c>
    </row>
    <row r="182" spans="1:16" ht="12.75" customHeight="1">
      <c r="A182" s="251" t="s">
        <v>399</v>
      </c>
      <c r="B182" s="253">
        <v>2272860</v>
      </c>
      <c r="C182" s="284">
        <v>730000</v>
      </c>
      <c r="D182" s="284">
        <f>'[17]Aprīlis'!$Q$8</f>
        <v>595260</v>
      </c>
      <c r="E182" s="281">
        <f>D182/B182*100</f>
        <v>26.189910509226262</v>
      </c>
      <c r="F182" s="283">
        <f>D182-'[16]Marts'!D182</f>
        <v>138020</v>
      </c>
      <c r="G182" s="251" t="s">
        <v>399</v>
      </c>
      <c r="H182" s="253">
        <v>2273</v>
      </c>
      <c r="I182" s="253">
        <v>919</v>
      </c>
      <c r="J182" s="284">
        <v>732</v>
      </c>
      <c r="K182" s="285">
        <v>32.20413550373955</v>
      </c>
      <c r="L182" s="283">
        <v>137</v>
      </c>
      <c r="N182" s="191">
        <f t="shared" si="16"/>
        <v>732</v>
      </c>
      <c r="O182" s="191">
        <v>457</v>
      </c>
      <c r="P182" s="191">
        <f t="shared" si="13"/>
        <v>275</v>
      </c>
    </row>
    <row r="183" spans="1:16" ht="25.5" customHeight="1">
      <c r="A183" s="76" t="s">
        <v>457</v>
      </c>
      <c r="B183" s="283"/>
      <c r="C183" s="283"/>
      <c r="D183" s="283"/>
      <c r="E183" s="281"/>
      <c r="F183" s="283" t="e">
        <f>D183-'[16]Marts'!D183</f>
        <v>#REF!</v>
      </c>
      <c r="G183" s="76" t="s">
        <v>457</v>
      </c>
      <c r="H183" s="253"/>
      <c r="I183" s="253"/>
      <c r="J183" s="284"/>
      <c r="K183" s="285"/>
      <c r="L183" s="283"/>
      <c r="N183" s="191">
        <f t="shared" si="16"/>
        <v>732</v>
      </c>
      <c r="P183" s="191">
        <f t="shared" si="13"/>
        <v>732</v>
      </c>
    </row>
    <row r="184" spans="1:16" ht="12.75" customHeight="1">
      <c r="A184" s="293" t="s">
        <v>396</v>
      </c>
      <c r="B184" s="283">
        <f>B185</f>
        <v>129565</v>
      </c>
      <c r="C184" s="287">
        <v>37423</v>
      </c>
      <c r="D184" s="283">
        <f>D185</f>
        <v>15385</v>
      </c>
      <c r="E184" s="281">
        <f>D184/B184*100</f>
        <v>11.8743487824644</v>
      </c>
      <c r="F184" s="283">
        <f>D184-'[16]Marts'!D184</f>
        <v>-381</v>
      </c>
      <c r="G184" s="127" t="s">
        <v>396</v>
      </c>
      <c r="H184" s="253">
        <v>129</v>
      </c>
      <c r="I184" s="253">
        <v>55</v>
      </c>
      <c r="J184" s="284">
        <v>54</v>
      </c>
      <c r="K184" s="285">
        <v>41.86046511627907</v>
      </c>
      <c r="L184" s="283">
        <v>38</v>
      </c>
      <c r="N184" s="191">
        <f t="shared" si="16"/>
        <v>0</v>
      </c>
      <c r="O184" s="191">
        <v>16</v>
      </c>
      <c r="P184" s="191">
        <f t="shared" si="13"/>
        <v>-16</v>
      </c>
    </row>
    <row r="185" spans="1:16" ht="12.75" customHeight="1">
      <c r="A185" s="69" t="s">
        <v>312</v>
      </c>
      <c r="B185" s="253">
        <v>129565</v>
      </c>
      <c r="C185" s="284"/>
      <c r="D185" s="284">
        <f>'[17]Aprīlis'!$P$6</f>
        <v>15385</v>
      </c>
      <c r="E185" s="281">
        <f>D185/B185*100</f>
        <v>11.8743487824644</v>
      </c>
      <c r="F185" s="283">
        <f>D185-'[16]Marts'!D185</f>
        <v>-381</v>
      </c>
      <c r="G185" s="69" t="s">
        <v>312</v>
      </c>
      <c r="H185" s="253">
        <v>129</v>
      </c>
      <c r="I185" s="284"/>
      <c r="J185" s="284">
        <v>54</v>
      </c>
      <c r="K185" s="285">
        <v>41.86046511627907</v>
      </c>
      <c r="L185" s="283">
        <v>38</v>
      </c>
      <c r="N185" s="191">
        <f t="shared" si="16"/>
        <v>54</v>
      </c>
      <c r="O185" s="191">
        <v>16</v>
      </c>
      <c r="P185" s="191">
        <f t="shared" si="13"/>
        <v>38</v>
      </c>
    </row>
    <row r="186" spans="1:16" ht="12.75" customHeight="1">
      <c r="A186" s="251" t="s">
        <v>398</v>
      </c>
      <c r="B186" s="283">
        <f>B187+B189</f>
        <v>756987</v>
      </c>
      <c r="C186" s="283">
        <f>C187+C189</f>
        <v>56340</v>
      </c>
      <c r="D186" s="283">
        <f>D187+D189</f>
        <v>38566</v>
      </c>
      <c r="E186" s="281">
        <f>D186/B186*100</f>
        <v>5.094671374805644</v>
      </c>
      <c r="F186" s="283">
        <f>D186-'[16]Marts'!D186</f>
        <v>10673</v>
      </c>
      <c r="G186" s="251" t="s">
        <v>398</v>
      </c>
      <c r="H186" s="253">
        <v>757</v>
      </c>
      <c r="I186" s="253">
        <v>78</v>
      </c>
      <c r="J186" s="284">
        <v>54</v>
      </c>
      <c r="K186" s="285">
        <v>7.133421400264201</v>
      </c>
      <c r="L186" s="283">
        <v>16</v>
      </c>
      <c r="N186" s="191">
        <f t="shared" si="16"/>
        <v>54</v>
      </c>
      <c r="O186" s="191">
        <v>28</v>
      </c>
      <c r="P186" s="191">
        <f t="shared" si="13"/>
        <v>26</v>
      </c>
    </row>
    <row r="187" spans="1:16" ht="12.75" customHeight="1">
      <c r="A187" s="251" t="s">
        <v>399</v>
      </c>
      <c r="B187" s="253">
        <v>753987</v>
      </c>
      <c r="C187" s="284">
        <v>53340</v>
      </c>
      <c r="D187" s="284">
        <f>'[17]Aprīlis'!$P$8</f>
        <v>38396</v>
      </c>
      <c r="E187" s="281">
        <f>D187/B187*100</f>
        <v>5.092395492229972</v>
      </c>
      <c r="F187" s="283">
        <f>D187-'[16]Marts'!D187</f>
        <v>10673</v>
      </c>
      <c r="G187" s="251" t="s">
        <v>399</v>
      </c>
      <c r="H187" s="253">
        <v>754</v>
      </c>
      <c r="I187" s="253">
        <v>75</v>
      </c>
      <c r="J187" s="284">
        <v>54</v>
      </c>
      <c r="K187" s="285">
        <v>7.161803713527852</v>
      </c>
      <c r="L187" s="283">
        <v>16</v>
      </c>
      <c r="N187" s="191">
        <f t="shared" si="16"/>
        <v>54</v>
      </c>
      <c r="O187" s="191">
        <v>28</v>
      </c>
      <c r="P187" s="191">
        <f t="shared" si="13"/>
        <v>26</v>
      </c>
    </row>
    <row r="188" spans="1:16" ht="12.75" customHeight="1">
      <c r="A188" s="286" t="s">
        <v>430</v>
      </c>
      <c r="B188" s="253">
        <v>20897</v>
      </c>
      <c r="C188" s="284"/>
      <c r="D188" s="284" t="e">
        <f>'[17]Aprīlis'!$P$15</f>
        <v>#REF!</v>
      </c>
      <c r="E188" s="281"/>
      <c r="F188" s="283" t="e">
        <f>D188-'[16]Marts'!D188</f>
        <v>#REF!</v>
      </c>
      <c r="G188" s="286" t="s">
        <v>430</v>
      </c>
      <c r="H188" s="253">
        <v>21</v>
      </c>
      <c r="I188" s="253"/>
      <c r="J188" s="284">
        <v>5</v>
      </c>
      <c r="K188" s="285">
        <v>23.809523809523807</v>
      </c>
      <c r="L188" s="283">
        <v>5</v>
      </c>
      <c r="N188" s="191">
        <f t="shared" si="16"/>
        <v>54</v>
      </c>
      <c r="P188" s="191">
        <f t="shared" si="13"/>
        <v>54</v>
      </c>
    </row>
    <row r="189" spans="1:16" ht="12.75" customHeight="1">
      <c r="A189" s="251" t="s">
        <v>393</v>
      </c>
      <c r="B189" s="253">
        <v>3000</v>
      </c>
      <c r="C189" s="284">
        <v>3000</v>
      </c>
      <c r="D189" s="284">
        <f>'[17]Aprīlis'!$P$30</f>
        <v>170</v>
      </c>
      <c r="E189" s="281"/>
      <c r="F189" s="283">
        <f>D189-'[16]Marts'!D189</f>
        <v>0</v>
      </c>
      <c r="G189" s="251" t="s">
        <v>393</v>
      </c>
      <c r="H189" s="253">
        <v>3</v>
      </c>
      <c r="I189" s="253">
        <v>3</v>
      </c>
      <c r="J189" s="253"/>
      <c r="K189" s="285"/>
      <c r="L189" s="283"/>
      <c r="N189" s="191">
        <f t="shared" si="16"/>
        <v>5</v>
      </c>
      <c r="O189" s="191">
        <v>0</v>
      </c>
      <c r="P189" s="191">
        <f t="shared" si="13"/>
        <v>5</v>
      </c>
    </row>
    <row r="190" spans="1:16" ht="12.75" customHeight="1">
      <c r="A190" s="251" t="s">
        <v>237</v>
      </c>
      <c r="B190" s="283">
        <f>B184-B186</f>
        <v>-627422</v>
      </c>
      <c r="C190" s="287">
        <f>C184-C186</f>
        <v>-18917</v>
      </c>
      <c r="D190" s="283">
        <f>D184-D186</f>
        <v>-23181</v>
      </c>
      <c r="E190" s="281">
        <f>-D190/B190*100</f>
        <v>-3.6946425213014527</v>
      </c>
      <c r="F190" s="283">
        <f>D190-'[16]Marts'!D190</f>
        <v>-11054</v>
      </c>
      <c r="G190" s="251" t="s">
        <v>237</v>
      </c>
      <c r="H190" s="253">
        <v>-627</v>
      </c>
      <c r="I190" s="253">
        <v>-23</v>
      </c>
      <c r="J190" s="284">
        <v>0</v>
      </c>
      <c r="K190" s="285">
        <v>0</v>
      </c>
      <c r="L190" s="283">
        <v>23</v>
      </c>
      <c r="N190" s="191">
        <f t="shared" si="16"/>
        <v>0</v>
      </c>
      <c r="O190" s="191">
        <v>-12</v>
      </c>
      <c r="P190" s="191">
        <f t="shared" si="13"/>
        <v>12</v>
      </c>
    </row>
    <row r="191" spans="1:16" ht="12.75" customHeight="1">
      <c r="A191" s="251" t="s">
        <v>423</v>
      </c>
      <c r="B191" s="283">
        <v>628375</v>
      </c>
      <c r="C191" s="287">
        <f>4730+4729+4729+4729</f>
        <v>18917</v>
      </c>
      <c r="D191" s="287">
        <f>'[17]Aprīlis'!$P$43</f>
        <v>18917</v>
      </c>
      <c r="E191" s="281"/>
      <c r="F191" s="283">
        <f>D191-'[16]Marts'!D191</f>
        <v>4729</v>
      </c>
      <c r="G191" s="251" t="s">
        <v>423</v>
      </c>
      <c r="H191" s="86">
        <v>628</v>
      </c>
      <c r="I191" s="86">
        <v>24</v>
      </c>
      <c r="J191" s="86">
        <v>24</v>
      </c>
      <c r="K191" s="297">
        <v>3.821656050955414</v>
      </c>
      <c r="L191" s="86">
        <v>5</v>
      </c>
      <c r="N191" s="191">
        <f t="shared" si="16"/>
        <v>0</v>
      </c>
      <c r="O191" s="191">
        <v>14</v>
      </c>
      <c r="P191" s="191">
        <f t="shared" si="13"/>
        <v>-14</v>
      </c>
    </row>
    <row r="192" spans="2:12" ht="17.25" customHeight="1">
      <c r="B192" s="86"/>
      <c r="C192" s="86"/>
      <c r="D192" s="86"/>
      <c r="E192" s="296"/>
      <c r="F192" s="86"/>
      <c r="H192" s="86"/>
      <c r="I192" s="86"/>
      <c r="J192" s="86"/>
      <c r="K192" s="297"/>
      <c r="L192" s="86"/>
    </row>
    <row r="193" spans="1:12" ht="17.25" customHeight="1">
      <c r="A193" s="773"/>
      <c r="B193" s="773"/>
      <c r="C193" s="773"/>
      <c r="D193" s="773"/>
      <c r="E193" s="773"/>
      <c r="F193" s="265"/>
      <c r="G193" s="729" t="s">
        <v>23</v>
      </c>
      <c r="H193" s="734"/>
      <c r="I193" s="734"/>
      <c r="J193" s="298">
        <v>12984</v>
      </c>
      <c r="K193" s="774" t="s">
        <v>458</v>
      </c>
      <c r="L193" s="774"/>
    </row>
    <row r="194" spans="3:12" ht="17.25" customHeight="1">
      <c r="C194" s="299"/>
      <c r="D194" s="299"/>
      <c r="E194" s="296"/>
      <c r="F194" s="265"/>
      <c r="G194" s="734" t="s">
        <v>24</v>
      </c>
      <c r="K194" s="301"/>
      <c r="L194" s="265"/>
    </row>
    <row r="195" spans="3:12" ht="17.25" customHeight="1">
      <c r="C195" s="265"/>
      <c r="D195" s="265"/>
      <c r="E195" s="300"/>
      <c r="F195" s="265"/>
      <c r="H195" s="52"/>
      <c r="I195" s="89"/>
      <c r="K195" s="303"/>
      <c r="L195" s="265"/>
    </row>
    <row r="196" spans="1:12" ht="17.25" customHeight="1">
      <c r="A196" s="41" t="s">
        <v>298</v>
      </c>
      <c r="B196" s="39"/>
      <c r="C196" s="39"/>
      <c r="D196" s="39" t="s">
        <v>299</v>
      </c>
      <c r="E196" s="302"/>
      <c r="F196" s="265"/>
      <c r="G196" s="88" t="s">
        <v>21</v>
      </c>
      <c r="H196" s="52"/>
      <c r="I196" s="89"/>
      <c r="J196" s="89"/>
      <c r="K196" s="305"/>
      <c r="L196" s="265"/>
    </row>
    <row r="197" spans="5:12" ht="17.25" customHeight="1">
      <c r="E197" s="304"/>
      <c r="F197" s="265"/>
      <c r="G197" s="88"/>
      <c r="H197" s="50"/>
      <c r="K197" s="305"/>
      <c r="L197" s="265"/>
    </row>
    <row r="198" spans="2:12" ht="17.25" customHeight="1">
      <c r="B198" s="265"/>
      <c r="C198" s="265"/>
      <c r="D198" s="265"/>
      <c r="E198" s="304"/>
      <c r="F198" s="265"/>
      <c r="G198" s="1"/>
      <c r="H198" s="50"/>
      <c r="I198" s="38"/>
      <c r="J198" s="38"/>
      <c r="K198" s="305"/>
      <c r="L198" s="265"/>
    </row>
    <row r="199" spans="1:12" ht="17.25" customHeight="1">
      <c r="A199" s="265"/>
      <c r="B199" s="265"/>
      <c r="C199" s="265"/>
      <c r="D199" s="265"/>
      <c r="E199" s="304"/>
      <c r="F199" s="265"/>
      <c r="G199" s="1"/>
      <c r="H199" s="50"/>
      <c r="K199" s="305"/>
      <c r="L199" s="265"/>
    </row>
    <row r="200" spans="1:12" ht="17.25" customHeight="1">
      <c r="A200" s="306" t="s">
        <v>459</v>
      </c>
      <c r="D200" s="265"/>
      <c r="E200" s="304"/>
      <c r="F200" s="265"/>
      <c r="G200"/>
      <c r="H200" s="50"/>
      <c r="K200" s="305"/>
      <c r="L200" s="265"/>
    </row>
    <row r="201" spans="1:12" ht="17.25" customHeight="1">
      <c r="A201" s="306" t="s">
        <v>460</v>
      </c>
      <c r="B201" s="265"/>
      <c r="C201" s="265"/>
      <c r="D201" s="265"/>
      <c r="E201" s="304"/>
      <c r="F201" s="265"/>
      <c r="G201"/>
      <c r="H201"/>
      <c r="I201"/>
      <c r="K201" s="305"/>
      <c r="L201" s="265"/>
    </row>
    <row r="202" spans="5:12" ht="17.25" customHeight="1">
      <c r="E202" s="304"/>
      <c r="F202" s="265"/>
      <c r="G202"/>
      <c r="H202" s="52"/>
      <c r="I202" s="89"/>
      <c r="K202" s="305"/>
      <c r="L202" s="265"/>
    </row>
    <row r="203" spans="1:12" ht="17.25" customHeight="1">
      <c r="A203" s="265"/>
      <c r="B203" s="265"/>
      <c r="C203" s="265"/>
      <c r="D203" s="265"/>
      <c r="E203" s="304"/>
      <c r="F203" s="265"/>
      <c r="G203"/>
      <c r="H203" s="50"/>
      <c r="K203" s="305"/>
      <c r="L203" s="265"/>
    </row>
    <row r="204" spans="2:8" ht="17.25" customHeight="1">
      <c r="B204" s="265"/>
      <c r="C204" s="265"/>
      <c r="D204" s="265"/>
      <c r="E204" s="304"/>
      <c r="F204" s="265"/>
      <c r="G204" s="1" t="s">
        <v>171</v>
      </c>
      <c r="H204" s="50"/>
    </row>
    <row r="205" spans="4:7" ht="17.25" customHeight="1">
      <c r="D205" s="265"/>
      <c r="G205" s="1" t="s">
        <v>19</v>
      </c>
    </row>
  </sheetData>
  <mergeCells count="8">
    <mergeCell ref="A5:F5"/>
    <mergeCell ref="G5:L5"/>
    <mergeCell ref="A193:E193"/>
    <mergeCell ref="K193:L193"/>
    <mergeCell ref="A2:F2"/>
    <mergeCell ref="G2:L2"/>
    <mergeCell ref="A4:F4"/>
    <mergeCell ref="G4:L4"/>
  </mergeCells>
  <printOptions/>
  <pageMargins left="0.43" right="0.27" top="0.37" bottom="0.36" header="0.5" footer="0.19"/>
  <pageSetup firstPageNumber="16" useFirstPageNumber="1" horizontalDpi="600" verticalDpi="600" orientation="portrait" paperSize="9" r:id="rId1"/>
  <headerFooter alignWithMargins="0">
    <oddFooter>&amp;R&amp;9&amp;P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2"/>
  <sheetViews>
    <sheetView workbookViewId="0" topLeftCell="F1">
      <selection activeCell="K52" sqref="K52"/>
    </sheetView>
  </sheetViews>
  <sheetFormatPr defaultColWidth="9.140625" defaultRowHeight="17.25" customHeight="1"/>
  <cols>
    <col min="1" max="1" width="40.00390625" style="5" hidden="1" customWidth="1"/>
    <col min="2" max="3" width="13.57421875" style="5" hidden="1" customWidth="1"/>
    <col min="4" max="4" width="13.140625" style="5" hidden="1" customWidth="1"/>
    <col min="5" max="5" width="11.28125" style="311" hidden="1" customWidth="1"/>
    <col min="6" max="6" width="0.13671875" style="312" customWidth="1"/>
    <col min="7" max="7" width="14.28125" style="5" hidden="1" customWidth="1"/>
    <col min="8" max="8" width="35.57421875" style="5" customWidth="1"/>
    <col min="9" max="9" width="12.421875" style="5" customWidth="1"/>
    <col min="10" max="10" width="12.140625" style="5" customWidth="1"/>
    <col min="11" max="11" width="11.140625" style="5" customWidth="1"/>
    <col min="12" max="12" width="11.00390625" style="311" customWidth="1"/>
    <col min="13" max="13" width="11.8515625" style="312" customWidth="1"/>
    <col min="14" max="14" width="12.00390625" style="5" customWidth="1"/>
    <col min="15" max="18" width="9.140625" style="0" hidden="1" customWidth="1"/>
  </cols>
  <sheetData>
    <row r="1" spans="1:14" ht="17.25" customHeight="1">
      <c r="A1" s="307" t="s">
        <v>461</v>
      </c>
      <c r="B1" s="307"/>
      <c r="C1" s="307"/>
      <c r="D1" s="307"/>
      <c r="E1" s="308"/>
      <c r="F1" s="309"/>
      <c r="G1" s="310" t="s">
        <v>462</v>
      </c>
      <c r="I1" s="307"/>
      <c r="J1" s="307"/>
      <c r="K1" s="307"/>
      <c r="L1" s="308"/>
      <c r="M1" s="309"/>
      <c r="N1" s="310" t="s">
        <v>462</v>
      </c>
    </row>
    <row r="2" spans="8:14" ht="17.25" customHeight="1">
      <c r="H2" s="778" t="s">
        <v>461</v>
      </c>
      <c r="I2" s="778"/>
      <c r="J2" s="778"/>
      <c r="K2" s="778"/>
      <c r="L2" s="778"/>
      <c r="M2" s="778"/>
      <c r="N2" s="778"/>
    </row>
    <row r="4" spans="1:14" ht="17.25" customHeight="1">
      <c r="A4" s="775" t="s">
        <v>463</v>
      </c>
      <c r="B4" s="775"/>
      <c r="C4" s="775"/>
      <c r="D4" s="775"/>
      <c r="E4" s="775"/>
      <c r="F4" s="775"/>
      <c r="G4" s="775"/>
      <c r="H4" s="779" t="s">
        <v>463</v>
      </c>
      <c r="I4" s="779"/>
      <c r="J4" s="779"/>
      <c r="K4" s="779"/>
      <c r="L4" s="779"/>
      <c r="M4" s="779"/>
      <c r="N4" s="779"/>
    </row>
    <row r="5" spans="1:14" ht="17.25" customHeight="1">
      <c r="A5" s="775" t="s">
        <v>464</v>
      </c>
      <c r="B5" s="775"/>
      <c r="C5" s="775"/>
      <c r="D5" s="775"/>
      <c r="E5" s="775"/>
      <c r="F5" s="775"/>
      <c r="G5" s="775"/>
      <c r="H5" s="779" t="s">
        <v>464</v>
      </c>
      <c r="I5" s="779"/>
      <c r="J5" s="779"/>
      <c r="K5" s="779"/>
      <c r="L5" s="779"/>
      <c r="M5" s="779"/>
      <c r="N5" s="779"/>
    </row>
    <row r="6" spans="1:14" ht="17.25" customHeight="1">
      <c r="A6" s="775" t="s">
        <v>465</v>
      </c>
      <c r="B6" s="775"/>
      <c r="C6" s="775"/>
      <c r="D6" s="775"/>
      <c r="E6" s="775"/>
      <c r="F6" s="775"/>
      <c r="G6" s="775"/>
      <c r="H6" s="776" t="s">
        <v>28</v>
      </c>
      <c r="I6" s="776"/>
      <c r="J6" s="776"/>
      <c r="K6" s="776"/>
      <c r="L6" s="776"/>
      <c r="M6" s="776"/>
      <c r="N6" s="776"/>
    </row>
    <row r="7" spans="7:14" ht="17.25" customHeight="1">
      <c r="G7" s="313" t="s">
        <v>385</v>
      </c>
      <c r="N7" s="313" t="s">
        <v>94</v>
      </c>
    </row>
    <row r="8" spans="1:14" ht="73.5" customHeight="1">
      <c r="A8" s="271" t="s">
        <v>47</v>
      </c>
      <c r="B8" s="271" t="s">
        <v>95</v>
      </c>
      <c r="C8" s="271" t="s">
        <v>304</v>
      </c>
      <c r="D8" s="271" t="s">
        <v>96</v>
      </c>
      <c r="E8" s="314" t="s">
        <v>305</v>
      </c>
      <c r="F8" s="315" t="s">
        <v>466</v>
      </c>
      <c r="G8" s="9" t="s">
        <v>467</v>
      </c>
      <c r="H8" s="271" t="s">
        <v>47</v>
      </c>
      <c r="I8" s="271" t="s">
        <v>95</v>
      </c>
      <c r="J8" s="271" t="s">
        <v>304</v>
      </c>
      <c r="K8" s="271" t="s">
        <v>96</v>
      </c>
      <c r="L8" s="314" t="s">
        <v>305</v>
      </c>
      <c r="M8" s="315" t="s">
        <v>466</v>
      </c>
      <c r="N8" s="9" t="s">
        <v>40</v>
      </c>
    </row>
    <row r="9" spans="1:14" s="49" customFormat="1" ht="12.75">
      <c r="A9" s="316">
        <v>1</v>
      </c>
      <c r="B9" s="316">
        <v>2</v>
      </c>
      <c r="C9" s="316">
        <v>3</v>
      </c>
      <c r="D9" s="316">
        <v>4</v>
      </c>
      <c r="E9" s="317">
        <v>5</v>
      </c>
      <c r="F9" s="318">
        <v>6</v>
      </c>
      <c r="G9" s="316">
        <v>7</v>
      </c>
      <c r="H9" s="316">
        <v>1</v>
      </c>
      <c r="I9" s="316">
        <v>2</v>
      </c>
      <c r="J9" s="316">
        <v>3</v>
      </c>
      <c r="K9" s="316">
        <v>4</v>
      </c>
      <c r="L9" s="317">
        <v>5</v>
      </c>
      <c r="M9" s="318">
        <v>6</v>
      </c>
      <c r="N9" s="316">
        <v>7</v>
      </c>
    </row>
    <row r="10" spans="1:18" ht="17.25" customHeight="1">
      <c r="A10" s="319" t="s">
        <v>468</v>
      </c>
      <c r="B10" s="320">
        <f>SUM(B11:B14)</f>
        <v>725518701</v>
      </c>
      <c r="C10" s="320">
        <f>SUM(C11:C14)</f>
        <v>227781445</v>
      </c>
      <c r="D10" s="320">
        <f>SUM(D11:D14)</f>
        <v>222646943</v>
      </c>
      <c r="E10" s="321">
        <f aca="true" t="shared" si="0" ref="E10:E18">D10/B10*100</f>
        <v>30.687967476664674</v>
      </c>
      <c r="F10" s="322">
        <f aca="true" t="shared" si="1" ref="F10:F18">D10/C10*100</f>
        <v>97.74586468182252</v>
      </c>
      <c r="G10" s="320">
        <f>SUM(G11:G14)</f>
        <v>58460267</v>
      </c>
      <c r="H10" s="319" t="s">
        <v>468</v>
      </c>
      <c r="I10" s="320">
        <v>725519</v>
      </c>
      <c r="J10" s="320">
        <v>290053</v>
      </c>
      <c r="K10" s="323">
        <v>287363</v>
      </c>
      <c r="L10" s="324">
        <v>39.60792205304065</v>
      </c>
      <c r="M10" s="324">
        <v>99.07258328650282</v>
      </c>
      <c r="N10" s="320">
        <v>64715</v>
      </c>
      <c r="P10">
        <v>222648</v>
      </c>
      <c r="Q10">
        <v>164186</v>
      </c>
      <c r="R10">
        <f aca="true" t="shared" si="2" ref="R10:R51">P10-Q10</f>
        <v>58462</v>
      </c>
    </row>
    <row r="11" spans="1:18" ht="14.25">
      <c r="A11" s="69" t="s">
        <v>469</v>
      </c>
      <c r="B11" s="325">
        <v>719456085</v>
      </c>
      <c r="C11" s="325">
        <f>69792388+37020270+37889203+39825423+40449323</f>
        <v>224976607</v>
      </c>
      <c r="D11" s="325">
        <f>'[5]Aprīlis'!$D$20+'[5]Aprīlis'!$D$27+'[5]Aprīlis'!$D$39+'[5]Aprīlis'!$D$44+'[5]Aprīlis'!$D$50+'[5]Aprīlis'!$D$57+'[5]Aprīlis'!$D$69+'[5]Aprīlis'!$D$78+'[5]Aprīlis'!$D$79+'[5]Aprīlis'!$D$89+'[5]Aprīlis'!$D$95+'[5]Aprīlis'!$D$103+'[5]Aprīlis'!$D$104+'[5]Aprīlis'!$D$114+'[5]Aprīlis'!$D$170+'[5]Aprīlis'!$D$171+'[5]Aprīlis'!$D$178</f>
        <v>221076333</v>
      </c>
      <c r="E11" s="326">
        <f t="shared" si="0"/>
        <v>30.72825952955836</v>
      </c>
      <c r="F11" s="322">
        <f t="shared" si="1"/>
        <v>98.26636464474726</v>
      </c>
      <c r="G11" s="327">
        <f>D11-'[7]Marts'!D11</f>
        <v>57911473</v>
      </c>
      <c r="H11" s="69" t="s">
        <v>469</v>
      </c>
      <c r="I11" s="325">
        <v>719456</v>
      </c>
      <c r="J11" s="325">
        <v>286814</v>
      </c>
      <c r="K11" s="325">
        <v>285116</v>
      </c>
      <c r="L11" s="328">
        <v>39.629386647689365</v>
      </c>
      <c r="M11" s="328">
        <v>99.4079786900221</v>
      </c>
      <c r="N11" s="327">
        <v>64040</v>
      </c>
      <c r="P11">
        <v>221076</v>
      </c>
      <c r="Q11">
        <v>163165</v>
      </c>
      <c r="R11">
        <f t="shared" si="2"/>
        <v>57911</v>
      </c>
    </row>
    <row r="12" spans="1:18" ht="14.25" hidden="1">
      <c r="A12" s="77" t="s">
        <v>470</v>
      </c>
      <c r="B12" s="325"/>
      <c r="C12" s="325"/>
      <c r="D12" s="325"/>
      <c r="E12" s="326" t="e">
        <f t="shared" si="0"/>
        <v>#DIV/0!</v>
      </c>
      <c r="F12" s="322" t="e">
        <f t="shared" si="1"/>
        <v>#DIV/0!</v>
      </c>
      <c r="G12" s="327">
        <f>D12-'[7]Marts'!D12</f>
        <v>0</v>
      </c>
      <c r="H12" s="77" t="s">
        <v>470</v>
      </c>
      <c r="I12" s="325">
        <v>0</v>
      </c>
      <c r="J12" s="325">
        <v>0</v>
      </c>
      <c r="K12" s="325">
        <v>0</v>
      </c>
      <c r="L12" s="328" t="e">
        <v>#DIV/0!</v>
      </c>
      <c r="M12" s="328" t="e">
        <v>#DIV/0!</v>
      </c>
      <c r="N12" s="327">
        <v>0</v>
      </c>
      <c r="P12">
        <v>0</v>
      </c>
      <c r="Q12">
        <v>0</v>
      </c>
      <c r="R12">
        <f t="shared" si="2"/>
        <v>0</v>
      </c>
    </row>
    <row r="13" spans="1:18" ht="25.5">
      <c r="A13" s="69" t="s">
        <v>231</v>
      </c>
      <c r="B13" s="325">
        <v>3457511</v>
      </c>
      <c r="C13" s="325">
        <v>1465401</v>
      </c>
      <c r="D13" s="325">
        <f>'[5]Aprīlis'!$D$80+'[5]Aprīlis'!$D$105+'[5]Aprīlis'!$D$172+'[5]Aprīlis'!$D$184</f>
        <v>847372</v>
      </c>
      <c r="E13" s="326">
        <f t="shared" si="0"/>
        <v>24.50815051636857</v>
      </c>
      <c r="F13" s="322">
        <f t="shared" si="1"/>
        <v>57.8252642109566</v>
      </c>
      <c r="G13" s="327">
        <f>D13-'[7]Marts'!D13</f>
        <v>401846</v>
      </c>
      <c r="H13" s="69" t="s">
        <v>231</v>
      </c>
      <c r="I13" s="325">
        <v>3458</v>
      </c>
      <c r="J13" s="325">
        <v>1620</v>
      </c>
      <c r="K13" s="325">
        <v>1356</v>
      </c>
      <c r="L13" s="328">
        <v>39.21341816078658</v>
      </c>
      <c r="M13" s="328">
        <v>83.7037037037037</v>
      </c>
      <c r="N13" s="327">
        <v>507</v>
      </c>
      <c r="P13">
        <v>849</v>
      </c>
      <c r="Q13">
        <v>445</v>
      </c>
      <c r="R13">
        <f t="shared" si="2"/>
        <v>404</v>
      </c>
    </row>
    <row r="14" spans="1:18" ht="14.25">
      <c r="A14" s="69" t="s">
        <v>232</v>
      </c>
      <c r="B14" s="325">
        <f>1678188+926917</f>
        <v>2605105</v>
      </c>
      <c r="C14" s="325">
        <v>1339437</v>
      </c>
      <c r="D14" s="325">
        <f>SUM('[5]Aprīlis'!$D$81,'[5]Aprīlis'!$D$106)</f>
        <v>723238</v>
      </c>
      <c r="E14" s="326">
        <f t="shared" si="0"/>
        <v>27.762335875137474</v>
      </c>
      <c r="F14" s="322">
        <f t="shared" si="1"/>
        <v>53.99567131563485</v>
      </c>
      <c r="G14" s="327">
        <f>D14-'[7]Marts'!D14</f>
        <v>146948</v>
      </c>
      <c r="H14" s="69" t="s">
        <v>232</v>
      </c>
      <c r="I14" s="325">
        <v>2605</v>
      </c>
      <c r="J14" s="325">
        <v>1619</v>
      </c>
      <c r="K14" s="325">
        <v>891</v>
      </c>
      <c r="L14" s="328">
        <v>34.20345489443378</v>
      </c>
      <c r="M14" s="328">
        <v>55.033971587399634</v>
      </c>
      <c r="N14" s="327">
        <v>168</v>
      </c>
      <c r="P14">
        <v>723</v>
      </c>
      <c r="Q14">
        <v>576</v>
      </c>
      <c r="R14">
        <f t="shared" si="2"/>
        <v>147</v>
      </c>
    </row>
    <row r="15" spans="1:18" ht="17.25" customHeight="1">
      <c r="A15" s="319" t="s">
        <v>314</v>
      </c>
      <c r="B15" s="329">
        <f>B16+B42</f>
        <v>765146600</v>
      </c>
      <c r="C15" s="329">
        <f>SUM(C16,C42)</f>
        <v>257823798</v>
      </c>
      <c r="D15" s="329">
        <f>SUM(D16,D42)</f>
        <v>236965769</v>
      </c>
      <c r="E15" s="321">
        <f t="shared" si="0"/>
        <v>30.969982615096242</v>
      </c>
      <c r="F15" s="322">
        <f t="shared" si="1"/>
        <v>91.90996751975548</v>
      </c>
      <c r="G15" s="330">
        <f>SUM(G16,G42)</f>
        <v>64796116</v>
      </c>
      <c r="H15" s="319" t="s">
        <v>314</v>
      </c>
      <c r="I15" s="323">
        <v>765147</v>
      </c>
      <c r="J15" s="323">
        <v>322360</v>
      </c>
      <c r="K15" s="323">
        <v>297746</v>
      </c>
      <c r="L15" s="324">
        <v>38.9135682424423</v>
      </c>
      <c r="M15" s="324">
        <v>92.36443727509617</v>
      </c>
      <c r="N15" s="329">
        <v>60781</v>
      </c>
      <c r="P15">
        <v>236963</v>
      </c>
      <c r="Q15">
        <v>172170</v>
      </c>
      <c r="R15">
        <f t="shared" si="2"/>
        <v>64793</v>
      </c>
    </row>
    <row r="16" spans="1:18" ht="17.25" customHeight="1">
      <c r="A16" s="331" t="s">
        <v>471</v>
      </c>
      <c r="B16" s="332">
        <f>731791976+116917</f>
        <v>731908893</v>
      </c>
      <c r="C16" s="332">
        <f>SUM(C17,C22,C25)</f>
        <v>247881372</v>
      </c>
      <c r="D16" s="332">
        <f>SUM(D17,D22,D25)</f>
        <v>231484569</v>
      </c>
      <c r="E16" s="321">
        <f t="shared" si="0"/>
        <v>31.62751145858806</v>
      </c>
      <c r="F16" s="322">
        <f t="shared" si="1"/>
        <v>93.38522178261947</v>
      </c>
      <c r="G16" s="333">
        <f>SUM(G17,G22,G25)</f>
        <v>64079517</v>
      </c>
      <c r="H16" s="331" t="s">
        <v>471</v>
      </c>
      <c r="I16" s="323">
        <v>731909</v>
      </c>
      <c r="J16" s="323">
        <v>309876</v>
      </c>
      <c r="K16" s="323">
        <v>291108</v>
      </c>
      <c r="L16" s="324">
        <v>39.773797015749224</v>
      </c>
      <c r="M16" s="324">
        <v>93.94338380513496</v>
      </c>
      <c r="N16" s="320">
        <v>59624</v>
      </c>
      <c r="P16">
        <v>231482</v>
      </c>
      <c r="Q16">
        <v>167405</v>
      </c>
      <c r="R16">
        <f t="shared" si="2"/>
        <v>64077</v>
      </c>
    </row>
    <row r="17" spans="1:18" ht="17.25" customHeight="1">
      <c r="A17" s="331" t="s">
        <v>316</v>
      </c>
      <c r="B17" s="332">
        <f>31048482+116917</f>
        <v>31165399</v>
      </c>
      <c r="C17" s="332">
        <f>13170206+10782</f>
        <v>13180988</v>
      </c>
      <c r="D17" s="332">
        <f>'[6]Aprīlis'!$Z$9</f>
        <v>11106437</v>
      </c>
      <c r="E17" s="321">
        <f t="shared" si="0"/>
        <v>35.63707623316487</v>
      </c>
      <c r="F17" s="322">
        <f t="shared" si="1"/>
        <v>84.26103566743251</v>
      </c>
      <c r="G17" s="327">
        <f>D17-'[7]Marts'!D17</f>
        <v>3186459</v>
      </c>
      <c r="H17" s="331" t="s">
        <v>316</v>
      </c>
      <c r="I17" s="323">
        <v>31165</v>
      </c>
      <c r="J17" s="323">
        <v>15579</v>
      </c>
      <c r="K17" s="323">
        <v>13624</v>
      </c>
      <c r="L17" s="324">
        <v>43.715706722284615</v>
      </c>
      <c r="M17" s="324">
        <v>87.4510559085949</v>
      </c>
      <c r="N17" s="320">
        <v>2518</v>
      </c>
      <c r="P17">
        <v>11105</v>
      </c>
      <c r="Q17">
        <v>7920</v>
      </c>
      <c r="R17">
        <f t="shared" si="2"/>
        <v>3185</v>
      </c>
    </row>
    <row r="18" spans="1:18" ht="15">
      <c r="A18" s="251" t="s">
        <v>472</v>
      </c>
      <c r="B18" s="334">
        <v>1552763</v>
      </c>
      <c r="C18" s="334">
        <v>528199</v>
      </c>
      <c r="D18" s="325">
        <f>'[6]Aprīlis'!$Z$10</f>
        <v>423349</v>
      </c>
      <c r="E18" s="321">
        <f t="shared" si="0"/>
        <v>27.264238006701603</v>
      </c>
      <c r="F18" s="322">
        <f t="shared" si="1"/>
        <v>80.14952697752173</v>
      </c>
      <c r="G18" s="327">
        <f>D18-'[7]Marts'!D18</f>
        <v>119842</v>
      </c>
      <c r="H18" s="251" t="s">
        <v>472</v>
      </c>
      <c r="I18" s="325">
        <v>1553</v>
      </c>
      <c r="J18" s="325">
        <v>655</v>
      </c>
      <c r="K18" s="325">
        <v>529</v>
      </c>
      <c r="L18" s="328">
        <v>34.06310367031552</v>
      </c>
      <c r="M18" s="328">
        <v>80.76335877862594</v>
      </c>
      <c r="N18" s="327">
        <v>106</v>
      </c>
      <c r="P18">
        <v>422</v>
      </c>
      <c r="Q18">
        <v>304</v>
      </c>
      <c r="R18">
        <f t="shared" si="2"/>
        <v>118</v>
      </c>
    </row>
    <row r="19" spans="1:18" ht="26.25">
      <c r="A19" s="69" t="s">
        <v>473</v>
      </c>
      <c r="B19" s="335" t="s">
        <v>53</v>
      </c>
      <c r="C19" s="335" t="s">
        <v>53</v>
      </c>
      <c r="D19" s="325">
        <f>'[6]Aprīlis'!$Z$11</f>
        <v>107511</v>
      </c>
      <c r="E19" s="321"/>
      <c r="F19" s="115" t="s">
        <v>53</v>
      </c>
      <c r="G19" s="327">
        <f>D19-'[7]Marts'!D19</f>
        <v>32399</v>
      </c>
      <c r="H19" s="69" t="s">
        <v>473</v>
      </c>
      <c r="I19" s="335" t="s">
        <v>53</v>
      </c>
      <c r="J19" s="335" t="s">
        <v>53</v>
      </c>
      <c r="K19" s="325">
        <v>132</v>
      </c>
      <c r="L19" s="336" t="s">
        <v>53</v>
      </c>
      <c r="M19" s="336" t="s">
        <v>53</v>
      </c>
      <c r="N19" s="327">
        <v>24</v>
      </c>
      <c r="P19">
        <v>108</v>
      </c>
      <c r="Q19">
        <v>75</v>
      </c>
      <c r="R19">
        <f t="shared" si="2"/>
        <v>33</v>
      </c>
    </row>
    <row r="20" spans="1:18" ht="15">
      <c r="A20" s="69" t="s">
        <v>474</v>
      </c>
      <c r="B20" s="335" t="s">
        <v>53</v>
      </c>
      <c r="C20" s="335">
        <f>12642007+10782</f>
        <v>12652789</v>
      </c>
      <c r="D20" s="325">
        <f>'[6]Aprīlis'!$Z$12+10000+17734</f>
        <v>8629472</v>
      </c>
      <c r="E20" s="321"/>
      <c r="F20" s="322">
        <f>D20/C20*100</f>
        <v>68.20213314234513</v>
      </c>
      <c r="G20" s="327">
        <f>D20-'[7]Marts'!D20</f>
        <v>1889170</v>
      </c>
      <c r="H20" s="69" t="s">
        <v>474</v>
      </c>
      <c r="I20" s="335" t="s">
        <v>53</v>
      </c>
      <c r="J20" s="325">
        <v>14924</v>
      </c>
      <c r="K20" s="325">
        <v>10492</v>
      </c>
      <c r="L20" s="336" t="s">
        <v>53</v>
      </c>
      <c r="M20" s="328">
        <v>70.30286786384347</v>
      </c>
      <c r="N20" s="327">
        <v>1862</v>
      </c>
      <c r="P20">
        <v>8612</v>
      </c>
      <c r="Q20">
        <v>6740</v>
      </c>
      <c r="R20">
        <f t="shared" si="2"/>
        <v>1872</v>
      </c>
    </row>
    <row r="21" spans="1:18" ht="15">
      <c r="A21" s="69" t="s">
        <v>475</v>
      </c>
      <c r="B21" s="335">
        <v>5473101</v>
      </c>
      <c r="C21" s="335" t="s">
        <v>53</v>
      </c>
      <c r="D21" s="325">
        <f>'[6]Aprīlis'!$Z$15-11000-17734</f>
        <v>1945105</v>
      </c>
      <c r="E21" s="321">
        <f>D21/B21*100</f>
        <v>35.53935876571618</v>
      </c>
      <c r="F21" s="115" t="s">
        <v>53</v>
      </c>
      <c r="G21" s="327">
        <f>D21-'[7]Marts'!D21</f>
        <v>1144048</v>
      </c>
      <c r="H21" s="69" t="s">
        <v>475</v>
      </c>
      <c r="I21" s="325">
        <v>5473</v>
      </c>
      <c r="J21" s="335" t="s">
        <v>53</v>
      </c>
      <c r="K21" s="325">
        <v>2471</v>
      </c>
      <c r="L21" s="328">
        <v>45.148912844874836</v>
      </c>
      <c r="M21" s="336" t="s">
        <v>53</v>
      </c>
      <c r="N21" s="327">
        <v>526</v>
      </c>
      <c r="P21">
        <v>1963</v>
      </c>
      <c r="Q21">
        <v>801</v>
      </c>
      <c r="R21">
        <f t="shared" si="2"/>
        <v>1162</v>
      </c>
    </row>
    <row r="22" spans="1:18" ht="30">
      <c r="A22" s="337" t="s">
        <v>320</v>
      </c>
      <c r="B22" s="320">
        <v>7862536</v>
      </c>
      <c r="C22" s="320">
        <f>2147789+1126661+1277020</f>
        <v>4551470</v>
      </c>
      <c r="D22" s="338">
        <f>'[6]Aprīlis'!$Z$16</f>
        <v>3514203</v>
      </c>
      <c r="E22" s="321">
        <f>D22/B22*100</f>
        <v>44.69554098067087</v>
      </c>
      <c r="F22" s="322">
        <f>D22/C22*100</f>
        <v>77.21028590762984</v>
      </c>
      <c r="G22" s="327">
        <f>D22-'[7]Marts'!D22</f>
        <v>1609986</v>
      </c>
      <c r="H22" s="337" t="s">
        <v>320</v>
      </c>
      <c r="I22" s="323">
        <v>7863</v>
      </c>
      <c r="J22" s="323">
        <v>4675</v>
      </c>
      <c r="K22" s="323">
        <v>3787</v>
      </c>
      <c r="L22" s="324">
        <v>48.16227902836068</v>
      </c>
      <c r="M22" s="324">
        <v>81.00534759358288</v>
      </c>
      <c r="N22" s="320">
        <v>272</v>
      </c>
      <c r="P22">
        <v>3515</v>
      </c>
      <c r="Q22">
        <v>1904</v>
      </c>
      <c r="R22">
        <f t="shared" si="2"/>
        <v>1611</v>
      </c>
    </row>
    <row r="23" spans="1:18" ht="26.25">
      <c r="A23" s="69" t="s">
        <v>476</v>
      </c>
      <c r="B23" s="335" t="s">
        <v>53</v>
      </c>
      <c r="C23" s="335" t="s">
        <v>53</v>
      </c>
      <c r="D23" s="339">
        <f>'[6]Aprīlis'!$Z$17</f>
        <v>2324696</v>
      </c>
      <c r="E23" s="321"/>
      <c r="F23" s="115" t="s">
        <v>53</v>
      </c>
      <c r="G23" s="327">
        <f>D23-'[7]Marts'!D23</f>
        <v>1143862</v>
      </c>
      <c r="H23" s="69" t="s">
        <v>476</v>
      </c>
      <c r="I23" s="335" t="s">
        <v>53</v>
      </c>
      <c r="J23" s="335" t="s">
        <v>53</v>
      </c>
      <c r="K23" s="325">
        <v>2488</v>
      </c>
      <c r="L23" s="336" t="s">
        <v>53</v>
      </c>
      <c r="M23" s="336" t="s">
        <v>53</v>
      </c>
      <c r="N23" s="327">
        <v>0</v>
      </c>
      <c r="P23">
        <v>2325</v>
      </c>
      <c r="Q23">
        <v>1181</v>
      </c>
      <c r="R23">
        <f t="shared" si="2"/>
        <v>1144</v>
      </c>
    </row>
    <row r="24" spans="1:18" ht="26.25">
      <c r="A24" s="69" t="s">
        <v>477</v>
      </c>
      <c r="B24" s="335" t="s">
        <v>53</v>
      </c>
      <c r="C24" s="335" t="s">
        <v>53</v>
      </c>
      <c r="D24" s="340">
        <f>'[6]Aprīlis'!$Z$18</f>
        <v>1189507</v>
      </c>
      <c r="E24" s="321"/>
      <c r="F24" s="115" t="s">
        <v>53</v>
      </c>
      <c r="G24" s="327">
        <f>D24-'[7]Marts'!D24</f>
        <v>466124</v>
      </c>
      <c r="H24" s="69" t="s">
        <v>477</v>
      </c>
      <c r="I24" s="335" t="s">
        <v>53</v>
      </c>
      <c r="J24" s="335" t="s">
        <v>53</v>
      </c>
      <c r="K24" s="325">
        <v>1299</v>
      </c>
      <c r="L24" s="336" t="s">
        <v>53</v>
      </c>
      <c r="M24" s="336" t="s">
        <v>53</v>
      </c>
      <c r="N24" s="327">
        <v>109</v>
      </c>
      <c r="P24">
        <v>1190</v>
      </c>
      <c r="Q24">
        <v>723</v>
      </c>
      <c r="R24">
        <f t="shared" si="2"/>
        <v>467</v>
      </c>
    </row>
    <row r="25" spans="1:18" ht="17.25" customHeight="1">
      <c r="A25" s="32" t="s">
        <v>324</v>
      </c>
      <c r="B25" s="323">
        <v>692880958</v>
      </c>
      <c r="C25" s="341">
        <f>SUM(C26,C33,C34,C35,C40,C41)</f>
        <v>230148914</v>
      </c>
      <c r="D25" s="341">
        <f>SUM(D26,D28,D33,D34,D35,D40,D41)</f>
        <v>216863929</v>
      </c>
      <c r="E25" s="321">
        <f>D25/B25*100</f>
        <v>31.298872698995435</v>
      </c>
      <c r="F25" s="322">
        <f>D25/C25*100</f>
        <v>94.22765688131815</v>
      </c>
      <c r="G25" s="327">
        <f>D25-'[7]Marts'!D25</f>
        <v>59283072</v>
      </c>
      <c r="H25" s="32" t="s">
        <v>324</v>
      </c>
      <c r="I25" s="323">
        <v>692881</v>
      </c>
      <c r="J25" s="323">
        <v>289623</v>
      </c>
      <c r="K25" s="341">
        <v>273697</v>
      </c>
      <c r="L25" s="324">
        <v>39.50129964597095</v>
      </c>
      <c r="M25" s="324">
        <v>94.50112732759483</v>
      </c>
      <c r="N25" s="320">
        <v>56834</v>
      </c>
      <c r="P25">
        <v>216862</v>
      </c>
      <c r="Q25">
        <v>157581</v>
      </c>
      <c r="R25">
        <f t="shared" si="2"/>
        <v>59281</v>
      </c>
    </row>
    <row r="26" spans="1:18" ht="14.25">
      <c r="A26" s="251" t="s">
        <v>478</v>
      </c>
      <c r="B26" s="335" t="s">
        <v>53</v>
      </c>
      <c r="C26" s="342">
        <v>8964700</v>
      </c>
      <c r="D26" s="343">
        <f>'[6]Aprīlis'!$Z$20</f>
        <v>1695906</v>
      </c>
      <c r="E26" s="115" t="s">
        <v>53</v>
      </c>
      <c r="F26" s="322">
        <f>D26/C26*100</f>
        <v>18.91759902729595</v>
      </c>
      <c r="G26" s="327">
        <f>D26-'[7]Marts'!D26</f>
        <v>569277</v>
      </c>
      <c r="H26" s="251" t="s">
        <v>478</v>
      </c>
      <c r="I26" s="335" t="s">
        <v>53</v>
      </c>
      <c r="J26" s="325">
        <v>11157</v>
      </c>
      <c r="K26" s="325">
        <v>2489</v>
      </c>
      <c r="L26" s="336" t="s">
        <v>53</v>
      </c>
      <c r="M26" s="328">
        <v>22.308864390069015</v>
      </c>
      <c r="N26" s="327">
        <v>793</v>
      </c>
      <c r="P26">
        <v>1695</v>
      </c>
      <c r="Q26">
        <v>1127</v>
      </c>
      <c r="R26">
        <f t="shared" si="2"/>
        <v>568</v>
      </c>
    </row>
    <row r="27" spans="1:18" ht="14.25">
      <c r="A27" s="286" t="s">
        <v>479</v>
      </c>
      <c r="B27" s="335" t="s">
        <v>53</v>
      </c>
      <c r="C27" s="335" t="s">
        <v>53</v>
      </c>
      <c r="D27" s="344"/>
      <c r="E27" s="115" t="s">
        <v>53</v>
      </c>
      <c r="F27" s="115" t="s">
        <v>53</v>
      </c>
      <c r="G27" s="327">
        <f>D27-'[7]Marts'!D27</f>
        <v>-630983</v>
      </c>
      <c r="H27" s="286" t="s">
        <v>480</v>
      </c>
      <c r="I27" s="335" t="s">
        <v>53</v>
      </c>
      <c r="J27" s="335" t="s">
        <v>53</v>
      </c>
      <c r="K27" s="325">
        <v>1627</v>
      </c>
      <c r="L27" s="336" t="s">
        <v>53</v>
      </c>
      <c r="M27" s="336" t="s">
        <v>53</v>
      </c>
      <c r="N27" s="327">
        <v>1627</v>
      </c>
      <c r="P27">
        <v>0</v>
      </c>
      <c r="Q27">
        <v>631</v>
      </c>
      <c r="R27">
        <f t="shared" si="2"/>
        <v>-631</v>
      </c>
    </row>
    <row r="28" spans="1:18" ht="14.25">
      <c r="A28" s="251" t="s">
        <v>481</v>
      </c>
      <c r="B28" s="335" t="s">
        <v>53</v>
      </c>
      <c r="C28" s="335" t="s">
        <v>53</v>
      </c>
      <c r="D28" s="343">
        <f>'[6]Aprīlis'!$Z$21</f>
        <v>4888963</v>
      </c>
      <c r="E28" s="115" t="s">
        <v>53</v>
      </c>
      <c r="F28" s="115" t="s">
        <v>53</v>
      </c>
      <c r="G28" s="327">
        <f>D28-'[7]Marts'!D28</f>
        <v>1067178</v>
      </c>
      <c r="H28" s="251" t="s">
        <v>481</v>
      </c>
      <c r="I28" s="335" t="s">
        <v>53</v>
      </c>
      <c r="J28" s="335" t="s">
        <v>53</v>
      </c>
      <c r="K28" s="325">
        <v>6122</v>
      </c>
      <c r="L28" s="336" t="s">
        <v>53</v>
      </c>
      <c r="M28" s="336" t="s">
        <v>53</v>
      </c>
      <c r="N28" s="327">
        <v>1233</v>
      </c>
      <c r="P28">
        <v>4889</v>
      </c>
      <c r="Q28">
        <v>3822</v>
      </c>
      <c r="R28">
        <f t="shared" si="2"/>
        <v>1067</v>
      </c>
    </row>
    <row r="29" spans="1:18" ht="14.25">
      <c r="A29" s="286" t="s">
        <v>482</v>
      </c>
      <c r="B29" s="335" t="s">
        <v>53</v>
      </c>
      <c r="C29" s="335" t="s">
        <v>53</v>
      </c>
      <c r="D29" s="344">
        <v>3408767</v>
      </c>
      <c r="E29" s="115" t="s">
        <v>53</v>
      </c>
      <c r="F29" s="115" t="s">
        <v>53</v>
      </c>
      <c r="G29" s="327">
        <f>D29-'[7]Marts'!D29</f>
        <v>689104</v>
      </c>
      <c r="H29" s="286" t="s">
        <v>483</v>
      </c>
      <c r="I29" s="335" t="s">
        <v>53</v>
      </c>
      <c r="J29" s="335" t="s">
        <v>53</v>
      </c>
      <c r="K29" s="325">
        <v>4061</v>
      </c>
      <c r="L29" s="336" t="s">
        <v>53</v>
      </c>
      <c r="M29" s="336" t="s">
        <v>53</v>
      </c>
      <c r="N29" s="327">
        <v>652</v>
      </c>
      <c r="P29">
        <v>3409</v>
      </c>
      <c r="Q29">
        <v>2720</v>
      </c>
      <c r="R29">
        <f t="shared" si="2"/>
        <v>689</v>
      </c>
    </row>
    <row r="30" spans="1:18" ht="25.5">
      <c r="A30" s="77" t="s">
        <v>484</v>
      </c>
      <c r="B30" s="335" t="s">
        <v>53</v>
      </c>
      <c r="C30" s="335" t="s">
        <v>53</v>
      </c>
      <c r="D30" s="343">
        <f>SUM(D31:D32)</f>
        <v>1480196</v>
      </c>
      <c r="E30" s="115" t="s">
        <v>53</v>
      </c>
      <c r="F30" s="115" t="s">
        <v>53</v>
      </c>
      <c r="G30" s="327">
        <f>D30-'[7]Marts'!D30</f>
        <v>378074</v>
      </c>
      <c r="H30" s="77" t="s">
        <v>485</v>
      </c>
      <c r="I30" s="335" t="s">
        <v>53</v>
      </c>
      <c r="J30" s="335" t="s">
        <v>53</v>
      </c>
      <c r="K30" s="325">
        <v>2061</v>
      </c>
      <c r="L30" s="336" t="s">
        <v>53</v>
      </c>
      <c r="M30" s="336" t="s">
        <v>53</v>
      </c>
      <c r="N30" s="327">
        <v>581</v>
      </c>
      <c r="P30">
        <v>1480</v>
      </c>
      <c r="Q30">
        <v>1102</v>
      </c>
      <c r="R30">
        <f t="shared" si="2"/>
        <v>378</v>
      </c>
    </row>
    <row r="31" spans="1:18" ht="14.25">
      <c r="A31" s="345" t="s">
        <v>486</v>
      </c>
      <c r="B31" s="335" t="s">
        <v>53</v>
      </c>
      <c r="C31" s="335" t="s">
        <v>53</v>
      </c>
      <c r="D31" s="343">
        <v>818576</v>
      </c>
      <c r="E31" s="115" t="s">
        <v>53</v>
      </c>
      <c r="F31" s="115" t="s">
        <v>53</v>
      </c>
      <c r="G31" s="327">
        <f>D31-'[7]Marts'!D31</f>
        <v>277172</v>
      </c>
      <c r="H31" s="345" t="s">
        <v>487</v>
      </c>
      <c r="I31" s="335" t="s">
        <v>53</v>
      </c>
      <c r="J31" s="335" t="s">
        <v>53</v>
      </c>
      <c r="K31" s="325">
        <v>1087</v>
      </c>
      <c r="L31" s="336" t="s">
        <v>53</v>
      </c>
      <c r="M31" s="336" t="s">
        <v>53</v>
      </c>
      <c r="N31" s="327">
        <v>268</v>
      </c>
      <c r="P31">
        <v>819</v>
      </c>
      <c r="Q31">
        <v>541</v>
      </c>
      <c r="R31">
        <f t="shared" si="2"/>
        <v>278</v>
      </c>
    </row>
    <row r="32" spans="1:18" ht="14.25">
      <c r="A32" s="345" t="s">
        <v>488</v>
      </c>
      <c r="B32" s="335" t="s">
        <v>53</v>
      </c>
      <c r="C32" s="335" t="s">
        <v>53</v>
      </c>
      <c r="D32" s="343">
        <v>661620</v>
      </c>
      <c r="E32" s="115" t="s">
        <v>53</v>
      </c>
      <c r="F32" s="115" t="s">
        <v>53</v>
      </c>
      <c r="G32" s="327">
        <f>D32-'[7]Marts'!D32</f>
        <v>100902</v>
      </c>
      <c r="H32" s="345" t="s">
        <v>489</v>
      </c>
      <c r="I32" s="335" t="s">
        <v>53</v>
      </c>
      <c r="J32" s="335" t="s">
        <v>53</v>
      </c>
      <c r="K32" s="325">
        <v>974</v>
      </c>
      <c r="L32" s="336" t="s">
        <v>53</v>
      </c>
      <c r="M32" s="336" t="s">
        <v>53</v>
      </c>
      <c r="N32" s="327">
        <v>312</v>
      </c>
      <c r="P32">
        <v>662</v>
      </c>
      <c r="Q32">
        <v>561</v>
      </c>
      <c r="R32">
        <f t="shared" si="2"/>
        <v>101</v>
      </c>
    </row>
    <row r="33" spans="1:18" ht="14.25">
      <c r="A33" s="251" t="s">
        <v>490</v>
      </c>
      <c r="B33" s="346" t="s">
        <v>53</v>
      </c>
      <c r="C33" s="346" t="s">
        <v>53</v>
      </c>
      <c r="D33" s="343">
        <v>0</v>
      </c>
      <c r="E33" s="115" t="s">
        <v>53</v>
      </c>
      <c r="F33" s="115" t="s">
        <v>53</v>
      </c>
      <c r="G33" s="327">
        <f>D33-'[7]Marts'!D33</f>
        <v>0</v>
      </c>
      <c r="H33" s="251" t="s">
        <v>490</v>
      </c>
      <c r="I33" s="346" t="s">
        <v>53</v>
      </c>
      <c r="J33" s="346" t="s">
        <v>53</v>
      </c>
      <c r="K33" s="325">
        <v>0</v>
      </c>
      <c r="L33" s="336" t="s">
        <v>53</v>
      </c>
      <c r="M33" s="336" t="s">
        <v>53</v>
      </c>
      <c r="N33" s="327">
        <v>0</v>
      </c>
      <c r="P33">
        <v>0</v>
      </c>
      <c r="Q33">
        <v>0</v>
      </c>
      <c r="R33">
        <f t="shared" si="2"/>
        <v>0</v>
      </c>
    </row>
    <row r="34" spans="1:18" ht="26.25">
      <c r="A34" s="69" t="s">
        <v>491</v>
      </c>
      <c r="B34" s="335">
        <v>155178987</v>
      </c>
      <c r="C34" s="347">
        <f>47102223+653315+1118302+1128230+1094947</f>
        <v>51097017</v>
      </c>
      <c r="D34" s="343">
        <f>'[6]Aprīlis'!$Z$23-D41</f>
        <v>47853151</v>
      </c>
      <c r="E34" s="321">
        <f>D34/B34*100</f>
        <v>30.8373910186693</v>
      </c>
      <c r="F34" s="322">
        <f>D34/C34*100</f>
        <v>93.6515550408745</v>
      </c>
      <c r="G34" s="327">
        <f>D34-'[7]Marts'!D34</f>
        <v>13650256</v>
      </c>
      <c r="H34" s="69" t="s">
        <v>491</v>
      </c>
      <c r="I34" s="325">
        <v>155179</v>
      </c>
      <c r="J34" s="325">
        <v>65215</v>
      </c>
      <c r="K34" s="325">
        <v>62630</v>
      </c>
      <c r="L34" s="328">
        <v>40.35984250446259</v>
      </c>
      <c r="M34" s="328">
        <v>96.03618799355976</v>
      </c>
      <c r="N34" s="327">
        <v>14777</v>
      </c>
      <c r="P34">
        <v>47853</v>
      </c>
      <c r="Q34">
        <v>34203</v>
      </c>
      <c r="R34">
        <f t="shared" si="2"/>
        <v>13650</v>
      </c>
    </row>
    <row r="35" spans="1:18" ht="17.25" customHeight="1">
      <c r="A35" s="69" t="s">
        <v>492</v>
      </c>
      <c r="B35" s="335">
        <v>509376221</v>
      </c>
      <c r="C35" s="347">
        <f>22232+43369702+42599868+41381667+42298478</f>
        <v>169671947</v>
      </c>
      <c r="D35" s="343">
        <f>SUM(D36:D39)</f>
        <v>162020498</v>
      </c>
      <c r="E35" s="321">
        <f>D35/B35*100</f>
        <v>31.80762888419167</v>
      </c>
      <c r="F35" s="322">
        <f>D35/C35*100</f>
        <v>95.49044545354336</v>
      </c>
      <c r="G35" s="327">
        <f>D35-'[7]Marts'!D35</f>
        <v>43896261</v>
      </c>
      <c r="H35" s="69" t="s">
        <v>492</v>
      </c>
      <c r="I35" s="325">
        <v>509376</v>
      </c>
      <c r="J35" s="325">
        <v>212735</v>
      </c>
      <c r="K35" s="325">
        <v>201950</v>
      </c>
      <c r="L35" s="328">
        <v>39.646547933157436</v>
      </c>
      <c r="M35" s="328">
        <v>94.93031236044844</v>
      </c>
      <c r="N35" s="327">
        <v>39930</v>
      </c>
      <c r="P35">
        <v>162020</v>
      </c>
      <c r="Q35">
        <v>118124</v>
      </c>
      <c r="R35">
        <f t="shared" si="2"/>
        <v>43896</v>
      </c>
    </row>
    <row r="36" spans="1:18" ht="17.25" customHeight="1">
      <c r="A36" s="348" t="s">
        <v>493</v>
      </c>
      <c r="B36" s="349" t="s">
        <v>53</v>
      </c>
      <c r="C36" s="349" t="s">
        <v>53</v>
      </c>
      <c r="D36" s="350">
        <v>149246910</v>
      </c>
      <c r="E36" s="321"/>
      <c r="F36" s="115" t="s">
        <v>53</v>
      </c>
      <c r="G36" s="327">
        <f>D36-'[7]Marts'!D36</f>
        <v>40451147</v>
      </c>
      <c r="H36" s="348" t="s">
        <v>493</v>
      </c>
      <c r="I36" s="349" t="s">
        <v>53</v>
      </c>
      <c r="J36" s="349" t="s">
        <v>53</v>
      </c>
      <c r="K36" s="325">
        <v>185701</v>
      </c>
      <c r="L36" s="336" t="s">
        <v>53</v>
      </c>
      <c r="M36" s="336" t="s">
        <v>53</v>
      </c>
      <c r="N36" s="327">
        <v>36454</v>
      </c>
      <c r="P36">
        <v>149247</v>
      </c>
      <c r="Q36">
        <v>108796</v>
      </c>
      <c r="R36">
        <f t="shared" si="2"/>
        <v>40451</v>
      </c>
    </row>
    <row r="37" spans="1:18" ht="17.25" customHeight="1">
      <c r="A37" s="348" t="s">
        <v>494</v>
      </c>
      <c r="B37" s="349" t="s">
        <v>53</v>
      </c>
      <c r="C37" s="349" t="s">
        <v>53</v>
      </c>
      <c r="D37" s="350">
        <f>5199938+7190355</f>
        <v>12390293</v>
      </c>
      <c r="E37" s="321"/>
      <c r="F37" s="115" t="s">
        <v>53</v>
      </c>
      <c r="G37" s="327">
        <f>D37-'[7]Marts'!D37</f>
        <v>3370646</v>
      </c>
      <c r="H37" s="348" t="s">
        <v>494</v>
      </c>
      <c r="I37" s="349" t="s">
        <v>53</v>
      </c>
      <c r="J37" s="349" t="s">
        <v>53</v>
      </c>
      <c r="K37" s="325">
        <v>15743</v>
      </c>
      <c r="L37" s="336" t="s">
        <v>53</v>
      </c>
      <c r="M37" s="336" t="s">
        <v>53</v>
      </c>
      <c r="N37" s="327">
        <v>3353</v>
      </c>
      <c r="P37">
        <v>12390</v>
      </c>
      <c r="Q37">
        <v>9020</v>
      </c>
      <c r="R37">
        <f t="shared" si="2"/>
        <v>3370</v>
      </c>
    </row>
    <row r="38" spans="1:18" ht="17.25" customHeight="1">
      <c r="A38" s="348" t="s">
        <v>495</v>
      </c>
      <c r="B38" s="349" t="s">
        <v>53</v>
      </c>
      <c r="C38" s="349" t="s">
        <v>53</v>
      </c>
      <c r="D38" s="350">
        <v>258036</v>
      </c>
      <c r="E38" s="321"/>
      <c r="F38" s="115" t="s">
        <v>53</v>
      </c>
      <c r="G38" s="327">
        <f>D38-'[7]Marts'!D38</f>
        <v>42055</v>
      </c>
      <c r="H38" s="348" t="s">
        <v>495</v>
      </c>
      <c r="I38" s="349" t="s">
        <v>53</v>
      </c>
      <c r="J38" s="349" t="s">
        <v>53</v>
      </c>
      <c r="K38" s="325">
        <v>325</v>
      </c>
      <c r="L38" s="336" t="s">
        <v>53</v>
      </c>
      <c r="M38" s="336" t="s">
        <v>53</v>
      </c>
      <c r="N38" s="327">
        <v>67</v>
      </c>
      <c r="P38">
        <v>258</v>
      </c>
      <c r="Q38">
        <v>216</v>
      </c>
      <c r="R38">
        <f t="shared" si="2"/>
        <v>42</v>
      </c>
    </row>
    <row r="39" spans="1:18" ht="17.25" customHeight="1">
      <c r="A39" s="348" t="s">
        <v>496</v>
      </c>
      <c r="B39" s="349" t="s">
        <v>53</v>
      </c>
      <c r="C39" s="349" t="s">
        <v>53</v>
      </c>
      <c r="D39" s="351">
        <v>125259</v>
      </c>
      <c r="E39" s="321"/>
      <c r="F39" s="115" t="s">
        <v>53</v>
      </c>
      <c r="G39" s="327">
        <f>D39-'[7]Marts'!D39</f>
        <v>32413</v>
      </c>
      <c r="H39" s="348" t="s">
        <v>496</v>
      </c>
      <c r="I39" s="349" t="s">
        <v>53</v>
      </c>
      <c r="J39" s="349" t="s">
        <v>53</v>
      </c>
      <c r="K39" s="325">
        <v>181</v>
      </c>
      <c r="L39" s="336" t="s">
        <v>53</v>
      </c>
      <c r="M39" s="336" t="s">
        <v>53</v>
      </c>
      <c r="N39" s="327">
        <v>56</v>
      </c>
      <c r="P39">
        <v>125</v>
      </c>
      <c r="Q39">
        <v>92</v>
      </c>
      <c r="R39">
        <f t="shared" si="2"/>
        <v>33</v>
      </c>
    </row>
    <row r="40" spans="1:18" ht="26.25">
      <c r="A40" s="69" t="s">
        <v>497</v>
      </c>
      <c r="B40" s="352">
        <v>84850</v>
      </c>
      <c r="C40" s="353">
        <v>14850</v>
      </c>
      <c r="D40" s="352">
        <f>'[6]Aprīlis'!$Z$29</f>
        <v>5011</v>
      </c>
      <c r="E40" s="321">
        <f aca="true" t="shared" si="3" ref="E40:E45">D40/B40*100</f>
        <v>5.90571596935769</v>
      </c>
      <c r="F40" s="322">
        <f>D40/C40*100</f>
        <v>33.744107744107744</v>
      </c>
      <c r="G40" s="327">
        <f>D40-'[7]Marts'!D40</f>
        <v>0</v>
      </c>
      <c r="H40" s="69" t="s">
        <v>497</v>
      </c>
      <c r="I40" s="325">
        <v>85</v>
      </c>
      <c r="J40" s="325">
        <v>15</v>
      </c>
      <c r="K40" s="325">
        <v>5</v>
      </c>
      <c r="L40" s="328">
        <v>5.88235294117647</v>
      </c>
      <c r="M40" s="328">
        <v>33.33333333333333</v>
      </c>
      <c r="N40" s="327">
        <v>0</v>
      </c>
      <c r="P40">
        <v>5</v>
      </c>
      <c r="Q40">
        <v>5</v>
      </c>
      <c r="R40">
        <f t="shared" si="2"/>
        <v>0</v>
      </c>
    </row>
    <row r="41" spans="1:18" ht="39">
      <c r="A41" s="69" t="s">
        <v>498</v>
      </c>
      <c r="B41" s="352">
        <v>1201200</v>
      </c>
      <c r="C41" s="354">
        <v>400400</v>
      </c>
      <c r="D41" s="325">
        <v>400400</v>
      </c>
      <c r="E41" s="321">
        <f t="shared" si="3"/>
        <v>33.33333333333333</v>
      </c>
      <c r="F41" s="115" t="s">
        <v>53</v>
      </c>
      <c r="G41" s="327">
        <f>D41-'[7]Marts'!D41</f>
        <v>100100</v>
      </c>
      <c r="H41" s="69" t="s">
        <v>498</v>
      </c>
      <c r="I41" s="325">
        <v>1201</v>
      </c>
      <c r="J41" s="325">
        <v>501</v>
      </c>
      <c r="K41" s="325">
        <v>501</v>
      </c>
      <c r="L41" s="328">
        <v>41.71523730224813</v>
      </c>
      <c r="M41" s="328">
        <v>100</v>
      </c>
      <c r="N41" s="327">
        <v>101</v>
      </c>
      <c r="P41">
        <v>400</v>
      </c>
      <c r="Q41">
        <v>300</v>
      </c>
      <c r="R41">
        <f t="shared" si="2"/>
        <v>100</v>
      </c>
    </row>
    <row r="42" spans="1:18" ht="17.25" customHeight="1">
      <c r="A42" s="355" t="s">
        <v>499</v>
      </c>
      <c r="B42" s="341">
        <f>SUM(B43:B44)</f>
        <v>33237707</v>
      </c>
      <c r="C42" s="341">
        <f>SUM(C43:C44)</f>
        <v>9942426</v>
      </c>
      <c r="D42" s="341">
        <f>SUM(D43:D44)</f>
        <v>5481200</v>
      </c>
      <c r="E42" s="321">
        <f t="shared" si="3"/>
        <v>16.490908954700153</v>
      </c>
      <c r="F42" s="322">
        <f>D42/C42*100</f>
        <v>55.12940201918526</v>
      </c>
      <c r="G42" s="327">
        <f>D42-'[7]Marts'!D42</f>
        <v>716599</v>
      </c>
      <c r="H42" s="355" t="s">
        <v>499</v>
      </c>
      <c r="I42" s="323">
        <v>33238</v>
      </c>
      <c r="J42" s="323">
        <v>12484</v>
      </c>
      <c r="K42" s="323">
        <v>6638</v>
      </c>
      <c r="L42" s="324">
        <v>19.97111739575185</v>
      </c>
      <c r="M42" s="324">
        <v>53.172060237103494</v>
      </c>
      <c r="N42" s="320">
        <v>1157</v>
      </c>
      <c r="P42">
        <v>5481</v>
      </c>
      <c r="Q42">
        <v>4765</v>
      </c>
      <c r="R42">
        <f t="shared" si="2"/>
        <v>716</v>
      </c>
    </row>
    <row r="43" spans="1:18" ht="15">
      <c r="A43" s="69" t="s">
        <v>500</v>
      </c>
      <c r="B43" s="334">
        <f>11728286+810000</f>
        <v>12538286</v>
      </c>
      <c r="C43" s="334">
        <v>5159758</v>
      </c>
      <c r="D43" s="325">
        <f>'[6]Aprīlis'!$Z$31</f>
        <v>4161162</v>
      </c>
      <c r="E43" s="321">
        <f t="shared" si="3"/>
        <v>33.187646222139136</v>
      </c>
      <c r="F43" s="322">
        <f>D43/C43*100</f>
        <v>80.64645667490608</v>
      </c>
      <c r="G43" s="327">
        <f>D43-'[7]Marts'!D43</f>
        <v>335687</v>
      </c>
      <c r="H43" s="69" t="s">
        <v>500</v>
      </c>
      <c r="I43" s="325">
        <v>12539</v>
      </c>
      <c r="J43" s="325">
        <v>6105</v>
      </c>
      <c r="K43" s="325">
        <v>4820</v>
      </c>
      <c r="L43" s="328">
        <v>38.440066990988115</v>
      </c>
      <c r="M43" s="328">
        <v>78.95167895167894</v>
      </c>
      <c r="N43" s="327">
        <v>659</v>
      </c>
      <c r="P43">
        <v>4161</v>
      </c>
      <c r="Q43">
        <v>3825</v>
      </c>
      <c r="R43">
        <f t="shared" si="2"/>
        <v>336</v>
      </c>
    </row>
    <row r="44" spans="1:18" ht="15">
      <c r="A44" s="69" t="s">
        <v>501</v>
      </c>
      <c r="B44" s="334">
        <v>20699421</v>
      </c>
      <c r="C44" s="334">
        <f>3969678+234780+215420+194320+168470</f>
        <v>4782668</v>
      </c>
      <c r="D44" s="325">
        <f>'[6]Aprīlis'!$Z$32</f>
        <v>1320038</v>
      </c>
      <c r="E44" s="321">
        <f t="shared" si="3"/>
        <v>6.377173545095778</v>
      </c>
      <c r="F44" s="322">
        <f>D44/C44*100</f>
        <v>27.60045229984603</v>
      </c>
      <c r="G44" s="327">
        <f>D44-'[7]Marts'!D44</f>
        <v>380912</v>
      </c>
      <c r="H44" s="69" t="s">
        <v>501</v>
      </c>
      <c r="I44" s="325">
        <v>20699</v>
      </c>
      <c r="J44" s="325">
        <v>6379</v>
      </c>
      <c r="K44" s="325">
        <v>1818</v>
      </c>
      <c r="L44" s="328">
        <v>8.78303299676313</v>
      </c>
      <c r="M44" s="328">
        <v>28.4997648534253</v>
      </c>
      <c r="N44" s="327">
        <v>498</v>
      </c>
      <c r="P44">
        <v>1320</v>
      </c>
      <c r="Q44">
        <v>940</v>
      </c>
      <c r="R44">
        <f t="shared" si="2"/>
        <v>380</v>
      </c>
    </row>
    <row r="45" spans="1:18" ht="30">
      <c r="A45" s="337" t="s">
        <v>502</v>
      </c>
      <c r="B45" s="332">
        <v>6699203</v>
      </c>
      <c r="C45" s="356" t="s">
        <v>53</v>
      </c>
      <c r="D45" s="332">
        <f>D46-D47</f>
        <v>2569307</v>
      </c>
      <c r="E45" s="321">
        <f t="shared" si="3"/>
        <v>38.3524278932882</v>
      </c>
      <c r="F45" s="115" t="s">
        <v>53</v>
      </c>
      <c r="G45" s="327">
        <f>D45-'[7]Marts'!D45</f>
        <v>595980</v>
      </c>
      <c r="H45" s="337" t="s">
        <v>502</v>
      </c>
      <c r="I45" s="323">
        <v>6699</v>
      </c>
      <c r="J45" s="357" t="s">
        <v>53</v>
      </c>
      <c r="K45" s="323">
        <v>3162</v>
      </c>
      <c r="L45" s="324">
        <v>47.201074787281684</v>
      </c>
      <c r="M45" s="99" t="s">
        <v>53</v>
      </c>
      <c r="N45" s="320">
        <v>593</v>
      </c>
      <c r="P45">
        <v>2569</v>
      </c>
      <c r="Q45">
        <v>1973</v>
      </c>
      <c r="R45">
        <f t="shared" si="2"/>
        <v>596</v>
      </c>
    </row>
    <row r="46" spans="1:18" ht="15">
      <c r="A46" s="251" t="s">
        <v>503</v>
      </c>
      <c r="B46" s="356" t="s">
        <v>53</v>
      </c>
      <c r="C46" s="325">
        <v>3072400</v>
      </c>
      <c r="D46" s="325">
        <f>'[6]Aprīlis'!$Z$34</f>
        <v>2649836</v>
      </c>
      <c r="E46" s="321"/>
      <c r="F46" s="322">
        <f>D46/C46*100</f>
        <v>86.24645228485875</v>
      </c>
      <c r="G46" s="327">
        <f>D46-'[7]Marts'!D46</f>
        <v>610795</v>
      </c>
      <c r="H46" s="251" t="s">
        <v>503</v>
      </c>
      <c r="I46" s="356" t="s">
        <v>53</v>
      </c>
      <c r="J46" s="325">
        <v>0</v>
      </c>
      <c r="K46" s="325">
        <v>3251</v>
      </c>
      <c r="L46" s="336" t="s">
        <v>53</v>
      </c>
      <c r="M46" s="328"/>
      <c r="N46" s="327">
        <v>601</v>
      </c>
      <c r="P46">
        <v>2650</v>
      </c>
      <c r="Q46">
        <v>2039</v>
      </c>
      <c r="R46">
        <f t="shared" si="2"/>
        <v>611</v>
      </c>
    </row>
    <row r="47" spans="1:18" ht="26.25">
      <c r="A47" s="134" t="s">
        <v>504</v>
      </c>
      <c r="B47" s="356" t="s">
        <v>53</v>
      </c>
      <c r="C47" s="325">
        <v>24497</v>
      </c>
      <c r="D47" s="350">
        <f>-'[6]Aprīlis'!$Z$35</f>
        <v>80529</v>
      </c>
      <c r="E47" s="321"/>
      <c r="F47" s="322">
        <f>D47/C47*100</f>
        <v>328.73004857737686</v>
      </c>
      <c r="G47" s="327">
        <f>D47-'[7]Marts'!D47</f>
        <v>14815</v>
      </c>
      <c r="H47" s="134" t="s">
        <v>504</v>
      </c>
      <c r="I47" s="356" t="s">
        <v>53</v>
      </c>
      <c r="J47" s="325">
        <v>0</v>
      </c>
      <c r="K47" s="325">
        <v>89</v>
      </c>
      <c r="L47" s="336" t="s">
        <v>53</v>
      </c>
      <c r="M47" s="328"/>
      <c r="N47" s="327">
        <v>8</v>
      </c>
      <c r="P47">
        <v>81</v>
      </c>
      <c r="Q47">
        <v>66</v>
      </c>
      <c r="R47">
        <f t="shared" si="2"/>
        <v>15</v>
      </c>
    </row>
    <row r="48" spans="1:18" ht="17.25" customHeight="1">
      <c r="A48" s="337" t="s">
        <v>505</v>
      </c>
      <c r="B48" s="341">
        <f>B10-B15-B45</f>
        <v>-46327102</v>
      </c>
      <c r="C48" s="356" t="s">
        <v>53</v>
      </c>
      <c r="D48" s="341">
        <f>D10-D15-D45</f>
        <v>-16888133</v>
      </c>
      <c r="E48" s="321">
        <f>D48/B48*100</f>
        <v>36.454110598154834</v>
      </c>
      <c r="F48" s="115" t="s">
        <v>53</v>
      </c>
      <c r="G48" s="341">
        <f>G10-G15-G45</f>
        <v>-6931829</v>
      </c>
      <c r="H48" s="337" t="s">
        <v>505</v>
      </c>
      <c r="I48" s="341">
        <v>-46327</v>
      </c>
      <c r="J48" s="357" t="s">
        <v>53</v>
      </c>
      <c r="K48" s="323">
        <v>-13545</v>
      </c>
      <c r="L48" s="324">
        <v>29.237809484749715</v>
      </c>
      <c r="M48" s="336" t="s">
        <v>53</v>
      </c>
      <c r="N48" s="323">
        <v>3341</v>
      </c>
      <c r="P48">
        <v>-16884</v>
      </c>
      <c r="Q48">
        <v>-9957</v>
      </c>
      <c r="R48">
        <f t="shared" si="2"/>
        <v>-6927</v>
      </c>
    </row>
    <row r="49" spans="1:18" ht="17.25" customHeight="1">
      <c r="A49" s="337" t="s">
        <v>350</v>
      </c>
      <c r="B49" s="332">
        <f>-B48</f>
        <v>46327102</v>
      </c>
      <c r="C49" s="335" t="s">
        <v>53</v>
      </c>
      <c r="D49" s="332">
        <f>-D48</f>
        <v>16888133</v>
      </c>
      <c r="E49" s="321">
        <f>D49/B49*100</f>
        <v>36.454110598154834</v>
      </c>
      <c r="F49" s="115" t="s">
        <v>53</v>
      </c>
      <c r="G49" s="320">
        <f>D49-'[7]Marts'!D49</f>
        <v>6931829</v>
      </c>
      <c r="H49" s="337" t="s">
        <v>350</v>
      </c>
      <c r="I49" s="332">
        <v>46327</v>
      </c>
      <c r="J49" s="358" t="s">
        <v>53</v>
      </c>
      <c r="K49" s="332">
        <v>13545</v>
      </c>
      <c r="L49" s="324">
        <v>29.237809484749715</v>
      </c>
      <c r="M49" s="336" t="s">
        <v>53</v>
      </c>
      <c r="N49" s="332">
        <v>-3341</v>
      </c>
      <c r="P49">
        <v>16884</v>
      </c>
      <c r="Q49">
        <v>9957</v>
      </c>
      <c r="R49">
        <f t="shared" si="2"/>
        <v>6927</v>
      </c>
    </row>
    <row r="50" spans="1:18" ht="17.25" customHeight="1">
      <c r="A50" s="69" t="s">
        <v>506</v>
      </c>
      <c r="B50" s="325">
        <v>48698241</v>
      </c>
      <c r="C50" s="335">
        <f>'[5]Marts'!$C$17</f>
        <v>24474015</v>
      </c>
      <c r="D50" s="325">
        <f>'[6]Aprīlis'!$Z$43+'[6]Aprīlis'!$Z$39</f>
        <v>23445857</v>
      </c>
      <c r="E50" s="321">
        <f>D50/B50*100</f>
        <v>48.14518249232041</v>
      </c>
      <c r="F50" s="322">
        <f>D50/C50*100</f>
        <v>95.79898108258902</v>
      </c>
      <c r="G50" s="327">
        <f>D50-'[7]Marts'!D50</f>
        <v>8792708</v>
      </c>
      <c r="H50" s="69" t="s">
        <v>506</v>
      </c>
      <c r="I50" s="325">
        <v>48698</v>
      </c>
      <c r="J50" s="325">
        <v>34122</v>
      </c>
      <c r="K50" s="325">
        <v>22025</v>
      </c>
      <c r="L50" s="328">
        <v>45.227730091584874</v>
      </c>
      <c r="M50" s="328">
        <v>64.54779907391126</v>
      </c>
      <c r="N50" s="327">
        <v>-1418</v>
      </c>
      <c r="P50">
        <v>23445</v>
      </c>
      <c r="Q50">
        <v>14653</v>
      </c>
      <c r="R50">
        <f t="shared" si="2"/>
        <v>8792</v>
      </c>
    </row>
    <row r="51" spans="1:18" ht="39">
      <c r="A51" s="69" t="s">
        <v>507</v>
      </c>
      <c r="B51" s="325">
        <f>-(B48+B50)</f>
        <v>-2371139</v>
      </c>
      <c r="C51" s="115" t="s">
        <v>53</v>
      </c>
      <c r="D51" s="325">
        <f>-(D48+D50)</f>
        <v>-6557724</v>
      </c>
      <c r="E51" s="321">
        <f>D51/B51*100</f>
        <v>276.5643009540984</v>
      </c>
      <c r="F51" s="115" t="s">
        <v>53</v>
      </c>
      <c r="G51" s="327">
        <f>D51-'[7]Marts'!D51</f>
        <v>-1860879</v>
      </c>
      <c r="H51" s="69" t="s">
        <v>507</v>
      </c>
      <c r="I51" s="325">
        <v>-2371</v>
      </c>
      <c r="J51" s="115" t="s">
        <v>53</v>
      </c>
      <c r="K51" s="325">
        <v>-8480</v>
      </c>
      <c r="L51" s="328">
        <v>357.65499789118513</v>
      </c>
      <c r="M51" s="336" t="s">
        <v>53</v>
      </c>
      <c r="N51" s="327">
        <v>-1923</v>
      </c>
      <c r="P51">
        <v>-6561</v>
      </c>
      <c r="Q51">
        <v>-4696</v>
      </c>
      <c r="R51">
        <f t="shared" si="2"/>
        <v>-1865</v>
      </c>
    </row>
    <row r="52" spans="1:14" ht="17.25" customHeight="1">
      <c r="A52" s="359"/>
      <c r="B52" s="360"/>
      <c r="C52" s="360"/>
      <c r="D52" s="361"/>
      <c r="E52" s="362"/>
      <c r="F52" s="363"/>
      <c r="G52" s="85"/>
      <c r="H52" s="359"/>
      <c r="I52" s="360"/>
      <c r="J52" s="360"/>
      <c r="K52" s="361"/>
      <c r="L52" s="362"/>
      <c r="M52" s="363"/>
      <c r="N52" s="85"/>
    </row>
    <row r="53" spans="1:14" ht="14.25" hidden="1">
      <c r="A53" s="364" t="s">
        <v>508</v>
      </c>
      <c r="B53" s="360"/>
      <c r="C53" s="360"/>
      <c r="D53" s="361"/>
      <c r="E53" s="362"/>
      <c r="F53" s="363"/>
      <c r="G53" s="85"/>
      <c r="H53" s="364" t="s">
        <v>508</v>
      </c>
      <c r="I53" s="360"/>
      <c r="J53" s="360"/>
      <c r="K53" s="361"/>
      <c r="L53" s="362"/>
      <c r="M53" s="363"/>
      <c r="N53" s="85"/>
    </row>
    <row r="54" spans="1:14" ht="12.75" hidden="1">
      <c r="A54" s="69" t="s">
        <v>509</v>
      </c>
      <c r="B54" s="346"/>
      <c r="C54" s="346"/>
      <c r="D54" s="259"/>
      <c r="E54" s="365"/>
      <c r="F54" s="115"/>
      <c r="G54" s="60"/>
      <c r="H54" s="69" t="s">
        <v>509</v>
      </c>
      <c r="I54" s="346"/>
      <c r="J54" s="346"/>
      <c r="K54" s="259"/>
      <c r="L54" s="365"/>
      <c r="M54" s="115"/>
      <c r="N54" s="60"/>
    </row>
    <row r="55" spans="1:14" ht="12.75" hidden="1">
      <c r="A55" s="60" t="s">
        <v>396</v>
      </c>
      <c r="B55" s="346"/>
      <c r="C55" s="346"/>
      <c r="D55" s="259"/>
      <c r="E55" s="365"/>
      <c r="F55" s="115"/>
      <c r="G55" s="60"/>
      <c r="H55" s="60" t="s">
        <v>396</v>
      </c>
      <c r="I55" s="346"/>
      <c r="J55" s="346"/>
      <c r="K55" s="259"/>
      <c r="L55" s="365"/>
      <c r="M55" s="115"/>
      <c r="N55" s="60"/>
    </row>
    <row r="56" spans="1:14" ht="25.5" hidden="1">
      <c r="A56" s="69" t="s">
        <v>510</v>
      </c>
      <c r="B56" s="346"/>
      <c r="C56" s="346"/>
      <c r="D56" s="259"/>
      <c r="E56" s="365"/>
      <c r="F56" s="115"/>
      <c r="G56" s="60"/>
      <c r="H56" s="69" t="s">
        <v>510</v>
      </c>
      <c r="I56" s="346"/>
      <c r="J56" s="346"/>
      <c r="K56" s="259"/>
      <c r="L56" s="365"/>
      <c r="M56" s="115"/>
      <c r="N56" s="60"/>
    </row>
    <row r="57" spans="1:14" ht="17.25" customHeight="1">
      <c r="A57" s="85"/>
      <c r="B57" s="360"/>
      <c r="C57" s="360"/>
      <c r="D57" s="361"/>
      <c r="E57" s="362"/>
      <c r="F57" s="363"/>
      <c r="G57" s="85"/>
      <c r="H57" s="85"/>
      <c r="I57" s="360"/>
      <c r="J57" s="360"/>
      <c r="K57" s="361"/>
      <c r="L57" s="362"/>
      <c r="M57" s="363"/>
      <c r="N57" s="85"/>
    </row>
    <row r="58" spans="1:14" ht="17.25" customHeight="1">
      <c r="A58" s="49"/>
      <c r="B58" s="366"/>
      <c r="C58" s="366"/>
      <c r="D58" s="47"/>
      <c r="E58" s="362"/>
      <c r="F58" s="367"/>
      <c r="G58" s="49"/>
      <c r="H58" s="88" t="s">
        <v>21</v>
      </c>
      <c r="I58" s="52"/>
      <c r="J58" s="89"/>
      <c r="K58" s="49"/>
      <c r="M58" s="777"/>
      <c r="N58" s="777"/>
    </row>
    <row r="59" spans="2:14" ht="17.25" customHeight="1">
      <c r="B59" s="366"/>
      <c r="C59" s="366"/>
      <c r="D59" s="47"/>
      <c r="E59" s="369"/>
      <c r="F59" s="367"/>
      <c r="G59" s="49"/>
      <c r="H59" s="88"/>
      <c r="I59" s="52"/>
      <c r="J59" s="89"/>
      <c r="K59" s="89"/>
      <c r="L59" s="369"/>
      <c r="M59" s="367"/>
      <c r="N59" s="49"/>
    </row>
    <row r="60" spans="2:14" ht="17.25" customHeight="1">
      <c r="B60" s="49"/>
      <c r="C60" s="49"/>
      <c r="D60" s="49"/>
      <c r="E60" s="370"/>
      <c r="F60" s="371"/>
      <c r="G60" s="49"/>
      <c r="H60" s="1"/>
      <c r="I60" s="50"/>
      <c r="J60" s="49"/>
      <c r="K60" s="49"/>
      <c r="L60" s="370"/>
      <c r="M60" s="371"/>
      <c r="N60" s="49"/>
    </row>
    <row r="61" spans="2:14" ht="17.25" customHeight="1">
      <c r="B61" s="366"/>
      <c r="C61" s="372"/>
      <c r="D61" s="47"/>
      <c r="E61" s="372"/>
      <c r="F61" s="367"/>
      <c r="G61" s="49"/>
      <c r="H61" s="1"/>
      <c r="I61" s="50"/>
      <c r="J61" s="38"/>
      <c r="K61" s="38"/>
      <c r="L61" s="372"/>
      <c r="M61" s="367"/>
      <c r="N61" s="49"/>
    </row>
    <row r="62" spans="2:13" ht="17.25" customHeight="1">
      <c r="B62" s="6"/>
      <c r="C62" s="6"/>
      <c r="E62" s="373"/>
      <c r="F62" s="374"/>
      <c r="H62"/>
      <c r="I62" s="50"/>
      <c r="J62" s="49"/>
      <c r="K62" s="49"/>
      <c r="L62" s="373"/>
      <c r="M62" s="374"/>
    </row>
    <row r="63" spans="2:13" ht="17.25" customHeight="1">
      <c r="B63" s="6"/>
      <c r="C63" s="6"/>
      <c r="E63" s="373"/>
      <c r="F63" s="374"/>
      <c r="H63"/>
      <c r="I63" s="50"/>
      <c r="J63" s="49"/>
      <c r="K63" s="49"/>
      <c r="L63" s="359"/>
      <c r="M63" s="359"/>
    </row>
    <row r="64" spans="1:11" ht="17.25" customHeight="1">
      <c r="A64" s="41" t="s">
        <v>298</v>
      </c>
      <c r="B64" s="39"/>
      <c r="C64" s="39"/>
      <c r="E64" s="372" t="s">
        <v>299</v>
      </c>
      <c r="F64" s="374"/>
      <c r="H64"/>
      <c r="I64"/>
      <c r="J64"/>
      <c r="K64" s="49"/>
    </row>
    <row r="65" spans="2:13" ht="17.25" customHeight="1">
      <c r="B65" s="375"/>
      <c r="C65" s="373"/>
      <c r="D65" s="376"/>
      <c r="E65" s="373"/>
      <c r="F65" s="374"/>
      <c r="H65"/>
      <c r="I65" s="52"/>
      <c r="J65" s="89"/>
      <c r="K65" s="49"/>
      <c r="L65" s="359"/>
      <c r="M65" s="359"/>
    </row>
    <row r="66" spans="2:13" ht="17.25" customHeight="1">
      <c r="B66" s="375"/>
      <c r="C66" s="373"/>
      <c r="D66" s="376"/>
      <c r="E66" s="373"/>
      <c r="F66" s="374"/>
      <c r="H66" s="1" t="s">
        <v>171</v>
      </c>
      <c r="I66" s="50"/>
      <c r="J66" s="49"/>
      <c r="K66" s="49"/>
      <c r="L66" s="373"/>
      <c r="M66" s="374"/>
    </row>
    <row r="67" spans="2:13" ht="17.25" customHeight="1">
      <c r="B67" s="6"/>
      <c r="C67" s="6"/>
      <c r="E67" s="373"/>
      <c r="F67" s="374"/>
      <c r="H67" s="1" t="s">
        <v>19</v>
      </c>
      <c r="I67" s="50"/>
      <c r="J67" s="49"/>
      <c r="K67" s="49"/>
      <c r="L67" s="373"/>
      <c r="M67" s="374"/>
    </row>
    <row r="68" spans="2:13" ht="17.25" customHeight="1">
      <c r="B68" s="6"/>
      <c r="C68" s="6"/>
      <c r="E68" s="373"/>
      <c r="F68" s="374"/>
      <c r="I68" s="6"/>
      <c r="J68" s="6"/>
      <c r="L68" s="373"/>
      <c r="M68" s="374"/>
    </row>
    <row r="69" spans="5:13" ht="17.25" customHeight="1">
      <c r="E69" s="373"/>
      <c r="F69" s="374"/>
      <c r="L69" s="373"/>
      <c r="M69" s="374"/>
    </row>
    <row r="70" spans="1:13" ht="17.25" customHeight="1">
      <c r="A70" s="368"/>
      <c r="E70" s="373"/>
      <c r="F70" s="374"/>
      <c r="H70" s="368"/>
      <c r="L70" s="373"/>
      <c r="M70" s="374"/>
    </row>
    <row r="71" spans="5:13" ht="17.25" customHeight="1">
      <c r="E71" s="373"/>
      <c r="F71" s="374"/>
      <c r="L71" s="373"/>
      <c r="M71" s="374"/>
    </row>
    <row r="72" spans="5:13" ht="17.25" customHeight="1">
      <c r="E72" s="373"/>
      <c r="F72" s="374"/>
      <c r="L72" s="373"/>
      <c r="M72" s="374"/>
    </row>
    <row r="79" ht="17.25" customHeight="1">
      <c r="A79" s="5" t="s">
        <v>459</v>
      </c>
    </row>
    <row r="80" ht="17.25" customHeight="1">
      <c r="A80" s="5" t="s">
        <v>511</v>
      </c>
    </row>
    <row r="91" ht="17.25" customHeight="1">
      <c r="A91" s="1"/>
    </row>
    <row r="92" spans="1:8" ht="17.25" customHeight="1">
      <c r="A92" s="1"/>
      <c r="H92" s="1"/>
    </row>
  </sheetData>
  <mergeCells count="8">
    <mergeCell ref="A6:G6"/>
    <mergeCell ref="H6:N6"/>
    <mergeCell ref="M58:N58"/>
    <mergeCell ref="H2:N2"/>
    <mergeCell ref="A4:G4"/>
    <mergeCell ref="H4:N4"/>
    <mergeCell ref="A5:G5"/>
    <mergeCell ref="H5:N5"/>
  </mergeCells>
  <printOptions/>
  <pageMargins left="0.75" right="0.27" top="1" bottom="1" header="0.5" footer="0.5"/>
  <pageSetup firstPageNumber="20" useFirstPageNumber="1" fitToHeight="2" fitToWidth="1" horizontalDpi="600" verticalDpi="600" orientation="portrait" paperSize="9" scale="88" r:id="rId1"/>
  <headerFooter alignWithMargins="0">
    <oddFooter>&amp;R&amp;9&amp;P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108"/>
  <sheetViews>
    <sheetView workbookViewId="0" topLeftCell="G1">
      <selection activeCell="K52" sqref="K52"/>
    </sheetView>
  </sheetViews>
  <sheetFormatPr defaultColWidth="9.140625" defaultRowHeight="17.25" customHeight="1"/>
  <cols>
    <col min="1" max="1" width="46.8515625" style="85" hidden="1" customWidth="1"/>
    <col min="2" max="2" width="10.8515625" style="85" hidden="1" customWidth="1"/>
    <col min="3" max="3" width="13.140625" style="85" hidden="1" customWidth="1"/>
    <col min="4" max="4" width="11.7109375" style="85" hidden="1" customWidth="1"/>
    <col min="5" max="5" width="8.7109375" style="85" hidden="1" customWidth="1"/>
    <col min="6" max="6" width="12.8515625" style="85" hidden="1" customWidth="1"/>
    <col min="7" max="7" width="46.8515625" style="85" customWidth="1"/>
    <col min="8" max="8" width="10.8515625" style="85" customWidth="1"/>
    <col min="9" max="9" width="12.00390625" style="85" customWidth="1"/>
    <col min="10" max="10" width="11.7109375" style="85" customWidth="1"/>
    <col min="11" max="11" width="8.7109375" style="85" customWidth="1"/>
    <col min="12" max="12" width="10.140625" style="85" customWidth="1"/>
    <col min="13" max="19" width="9.140625" style="0" hidden="1" customWidth="1"/>
  </cols>
  <sheetData>
    <row r="2" spans="1:12" ht="17.25" customHeight="1">
      <c r="A2" s="85" t="s">
        <v>512</v>
      </c>
      <c r="F2" s="377" t="s">
        <v>513</v>
      </c>
      <c r="G2" s="85" t="s">
        <v>512</v>
      </c>
      <c r="L2" s="377" t="s">
        <v>513</v>
      </c>
    </row>
    <row r="4" spans="1:12" ht="17.25" customHeight="1">
      <c r="A4" s="746" t="s">
        <v>514</v>
      </c>
      <c r="B4" s="746"/>
      <c r="C4" s="746"/>
      <c r="D4" s="746"/>
      <c r="E4" s="746"/>
      <c r="F4" s="746"/>
      <c r="G4" s="746" t="s">
        <v>514</v>
      </c>
      <c r="H4" s="746"/>
      <c r="I4" s="746"/>
      <c r="J4" s="746"/>
      <c r="K4" s="746"/>
      <c r="L4" s="746"/>
    </row>
    <row r="5" spans="1:12" ht="17.25" customHeight="1">
      <c r="A5" s="746" t="s">
        <v>220</v>
      </c>
      <c r="B5" s="746"/>
      <c r="C5" s="746"/>
      <c r="D5" s="746"/>
      <c r="E5" s="746"/>
      <c r="F5" s="746"/>
      <c r="G5" s="747" t="s">
        <v>28</v>
      </c>
      <c r="H5" s="747"/>
      <c r="I5" s="747"/>
      <c r="J5" s="747"/>
      <c r="K5" s="747"/>
      <c r="L5" s="747"/>
    </row>
    <row r="6" spans="6:12" ht="17.25" customHeight="1">
      <c r="F6" s="377" t="s">
        <v>385</v>
      </c>
      <c r="L6" s="379" t="s">
        <v>94</v>
      </c>
    </row>
    <row r="7" spans="1:12" ht="51">
      <c r="A7" s="275" t="s">
        <v>47</v>
      </c>
      <c r="B7" s="316" t="s">
        <v>361</v>
      </c>
      <c r="C7" s="316" t="s">
        <v>95</v>
      </c>
      <c r="D7" s="316" t="s">
        <v>96</v>
      </c>
      <c r="E7" s="316" t="s">
        <v>362</v>
      </c>
      <c r="F7" s="316" t="s">
        <v>180</v>
      </c>
      <c r="G7" s="275" t="s">
        <v>47</v>
      </c>
      <c r="H7" s="316" t="s">
        <v>361</v>
      </c>
      <c r="I7" s="316" t="s">
        <v>95</v>
      </c>
      <c r="J7" s="316" t="s">
        <v>96</v>
      </c>
      <c r="K7" s="316" t="s">
        <v>363</v>
      </c>
      <c r="L7" s="9" t="s">
        <v>40</v>
      </c>
    </row>
    <row r="8" spans="1:12" ht="17.25" customHeight="1">
      <c r="A8" s="275">
        <v>1</v>
      </c>
      <c r="B8" s="275">
        <v>2</v>
      </c>
      <c r="C8" s="316">
        <v>3</v>
      </c>
      <c r="D8" s="316">
        <v>4</v>
      </c>
      <c r="E8" s="316">
        <v>5</v>
      </c>
      <c r="F8" s="258">
        <v>6</v>
      </c>
      <c r="G8" s="275">
        <v>1</v>
      </c>
      <c r="H8" s="275">
        <v>2</v>
      </c>
      <c r="I8" s="316">
        <v>3</v>
      </c>
      <c r="J8" s="316">
        <v>4</v>
      </c>
      <c r="K8" s="316">
        <v>5</v>
      </c>
      <c r="L8" s="258">
        <v>6</v>
      </c>
    </row>
    <row r="9" spans="1:19" ht="30" customHeight="1">
      <c r="A9" s="100" t="s">
        <v>364</v>
      </c>
      <c r="B9" s="245"/>
      <c r="C9" s="380">
        <f>SUM(C10:C23)-C14</f>
        <v>771845803</v>
      </c>
      <c r="D9" s="380">
        <f>SUM(D10:D13,D15:D24)</f>
        <v>239535076</v>
      </c>
      <c r="E9" s="381">
        <f>D9/C9*100</f>
        <v>31.03405823662942</v>
      </c>
      <c r="F9" s="380">
        <f>D9-'[8]Marts'!D9</f>
        <v>65392096</v>
      </c>
      <c r="G9" s="109" t="s">
        <v>364</v>
      </c>
      <c r="H9" s="258"/>
      <c r="I9" s="382">
        <v>771846</v>
      </c>
      <c r="J9" s="382">
        <v>300908</v>
      </c>
      <c r="K9" s="383">
        <v>38.98549710693584</v>
      </c>
      <c r="L9" s="382">
        <v>61374</v>
      </c>
      <c r="N9" s="384">
        <v>239532</v>
      </c>
      <c r="O9">
        <v>174143</v>
      </c>
      <c r="P9" s="385">
        <f aca="true" t="shared" si="0" ref="P9:P24">N9-O9</f>
        <v>65389</v>
      </c>
      <c r="R9">
        <v>64793</v>
      </c>
      <c r="S9" s="385">
        <f>P9-R9</f>
        <v>596</v>
      </c>
    </row>
    <row r="10" spans="1:16" ht="30" customHeight="1">
      <c r="A10" s="251" t="s">
        <v>365</v>
      </c>
      <c r="B10" s="252">
        <v>1</v>
      </c>
      <c r="C10" s="282">
        <v>756987</v>
      </c>
      <c r="D10" s="386">
        <f>'[6]Aprīlis'!$P$7</f>
        <v>38566</v>
      </c>
      <c r="E10" s="381">
        <f>D10/C10*100</f>
        <v>5.094671374805644</v>
      </c>
      <c r="F10" s="380">
        <f>D10-'[8]Marts'!D10</f>
        <v>10673</v>
      </c>
      <c r="G10" s="251" t="s">
        <v>365</v>
      </c>
      <c r="H10" s="252">
        <v>1</v>
      </c>
      <c r="I10" s="291">
        <v>757</v>
      </c>
      <c r="J10" s="291">
        <v>54</v>
      </c>
      <c r="K10" s="387">
        <v>7.133421400264201</v>
      </c>
      <c r="L10" s="291">
        <v>15</v>
      </c>
      <c r="N10" s="384">
        <v>39</v>
      </c>
      <c r="O10">
        <v>28</v>
      </c>
      <c r="P10" s="385">
        <f t="shared" si="0"/>
        <v>11</v>
      </c>
    </row>
    <row r="11" spans="1:16" ht="30" customHeight="1">
      <c r="A11" s="60" t="s">
        <v>366</v>
      </c>
      <c r="B11" s="252">
        <v>2</v>
      </c>
      <c r="C11" s="282"/>
      <c r="D11" s="386"/>
      <c r="E11" s="381"/>
      <c r="F11" s="380">
        <f>D11-'[8]Marts'!D11</f>
        <v>0</v>
      </c>
      <c r="G11" s="60" t="s">
        <v>366</v>
      </c>
      <c r="H11" s="252">
        <v>2</v>
      </c>
      <c r="I11" s="291">
        <v>0</v>
      </c>
      <c r="J11" s="291">
        <v>0</v>
      </c>
      <c r="K11" s="387"/>
      <c r="L11" s="291">
        <v>0</v>
      </c>
      <c r="N11" s="384">
        <v>0</v>
      </c>
      <c r="O11">
        <v>0</v>
      </c>
      <c r="P11" s="385">
        <f t="shared" si="0"/>
        <v>0</v>
      </c>
    </row>
    <row r="12" spans="1:16" ht="30" customHeight="1">
      <c r="A12" s="69" t="s">
        <v>367</v>
      </c>
      <c r="B12" s="252">
        <v>3</v>
      </c>
      <c r="C12" s="282"/>
      <c r="D12" s="386"/>
      <c r="E12" s="381"/>
      <c r="F12" s="380">
        <f>D12-'[8]Marts'!D12</f>
        <v>0</v>
      </c>
      <c r="G12" s="69" t="s">
        <v>367</v>
      </c>
      <c r="H12" s="252">
        <v>3</v>
      </c>
      <c r="I12" s="291">
        <v>0</v>
      </c>
      <c r="J12" s="291">
        <v>0</v>
      </c>
      <c r="K12" s="387"/>
      <c r="L12" s="291">
        <v>0</v>
      </c>
      <c r="N12" s="384">
        <v>0</v>
      </c>
      <c r="O12">
        <v>0</v>
      </c>
      <c r="P12" s="385">
        <f t="shared" si="0"/>
        <v>0</v>
      </c>
    </row>
    <row r="13" spans="1:19" ht="30" customHeight="1">
      <c r="A13" s="60" t="s">
        <v>515</v>
      </c>
      <c r="B13" s="252">
        <v>4</v>
      </c>
      <c r="C13" s="282">
        <f>1238299+C14</f>
        <v>7937502</v>
      </c>
      <c r="D13" s="386">
        <f>'[6]Aprīlis'!$O$7+D14</f>
        <v>3136586</v>
      </c>
      <c r="E13" s="381">
        <f>D13/C13*100</f>
        <v>39.51603413769219</v>
      </c>
      <c r="F13" s="380">
        <f>D13-'[8]Marts'!D13</f>
        <v>887309</v>
      </c>
      <c r="G13" s="60" t="s">
        <v>516</v>
      </c>
      <c r="H13" s="252">
        <v>4</v>
      </c>
      <c r="I13" s="291">
        <v>7937</v>
      </c>
      <c r="J13" s="291">
        <v>3732</v>
      </c>
      <c r="K13" s="387">
        <v>47.02028474234597</v>
      </c>
      <c r="L13" s="291">
        <v>595</v>
      </c>
      <c r="N13" s="384">
        <v>3136</v>
      </c>
      <c r="O13">
        <v>2249</v>
      </c>
      <c r="P13" s="385">
        <f t="shared" si="0"/>
        <v>887</v>
      </c>
      <c r="S13" s="388"/>
    </row>
    <row r="14" spans="1:18" ht="30" customHeight="1">
      <c r="A14" s="389" t="s">
        <v>517</v>
      </c>
      <c r="B14" s="252"/>
      <c r="C14" s="282">
        <v>6699203</v>
      </c>
      <c r="D14" s="386">
        <f>'[6]Aprīlis'!$O$33</f>
        <v>2569307</v>
      </c>
      <c r="E14" s="381"/>
      <c r="F14" s="380">
        <f>D14-'[8]Marts'!D14</f>
        <v>595980</v>
      </c>
      <c r="G14" s="389" t="s">
        <v>517</v>
      </c>
      <c r="H14" s="252"/>
      <c r="I14" s="291">
        <v>6699</v>
      </c>
      <c r="J14" s="291">
        <v>3162</v>
      </c>
      <c r="K14" s="387">
        <v>47.201074787281684</v>
      </c>
      <c r="L14" s="291">
        <v>593</v>
      </c>
      <c r="N14" s="384">
        <v>2569</v>
      </c>
      <c r="O14">
        <v>1973</v>
      </c>
      <c r="P14" s="385">
        <f t="shared" si="0"/>
        <v>596</v>
      </c>
      <c r="R14" s="390"/>
    </row>
    <row r="15" spans="1:16" ht="30" customHeight="1">
      <c r="A15" s="60" t="s">
        <v>369</v>
      </c>
      <c r="B15" s="252">
        <v>5</v>
      </c>
      <c r="C15" s="282">
        <v>141458002</v>
      </c>
      <c r="D15" s="391">
        <f>'[6]Aprīlis'!$D$7</f>
        <v>44529691</v>
      </c>
      <c r="E15" s="381">
        <f>D15/C15*100</f>
        <v>31.479089461478466</v>
      </c>
      <c r="F15" s="380">
        <f>D15-'[8]Marts'!D15</f>
        <v>12466347</v>
      </c>
      <c r="G15" s="60" t="s">
        <v>369</v>
      </c>
      <c r="H15" s="252">
        <v>5</v>
      </c>
      <c r="I15" s="291">
        <v>141458</v>
      </c>
      <c r="J15" s="291">
        <v>58444</v>
      </c>
      <c r="K15" s="387">
        <v>41.31544345318045</v>
      </c>
      <c r="L15" s="291">
        <v>13914</v>
      </c>
      <c r="N15" s="384">
        <v>44530</v>
      </c>
      <c r="O15">
        <v>32063</v>
      </c>
      <c r="P15" s="385">
        <f t="shared" si="0"/>
        <v>12467</v>
      </c>
    </row>
    <row r="16" spans="1:16" ht="30" customHeight="1">
      <c r="A16" s="69" t="s">
        <v>370</v>
      </c>
      <c r="B16" s="252">
        <v>6</v>
      </c>
      <c r="C16" s="282">
        <v>531273828</v>
      </c>
      <c r="D16" s="391">
        <f>'[6]Aprīlis'!$C$7</f>
        <v>168118746</v>
      </c>
      <c r="E16" s="381">
        <f>D16/C16*100</f>
        <v>31.644462260241436</v>
      </c>
      <c r="F16" s="380">
        <f>D16-'[8]Marts'!D16</f>
        <v>46167056</v>
      </c>
      <c r="G16" s="69" t="s">
        <v>370</v>
      </c>
      <c r="H16" s="252">
        <v>6</v>
      </c>
      <c r="I16" s="291">
        <v>531274</v>
      </c>
      <c r="J16" s="291">
        <v>209549</v>
      </c>
      <c r="K16" s="387">
        <v>39.442735763466686</v>
      </c>
      <c r="L16" s="291">
        <v>41429</v>
      </c>
      <c r="N16" s="384">
        <v>168119</v>
      </c>
      <c r="O16">
        <v>121952</v>
      </c>
      <c r="P16" s="385">
        <f t="shared" si="0"/>
        <v>46167</v>
      </c>
    </row>
    <row r="17" spans="1:16" ht="30" customHeight="1">
      <c r="A17" s="69" t="s">
        <v>371</v>
      </c>
      <c r="B17" s="252">
        <v>7</v>
      </c>
      <c r="C17" s="282">
        <v>9370924</v>
      </c>
      <c r="D17" s="391">
        <f>'[6]Aprīlis'!$E$7</f>
        <v>787889</v>
      </c>
      <c r="E17" s="381">
        <f>D17/C17*100</f>
        <v>8.407804822662099</v>
      </c>
      <c r="F17" s="380">
        <f>D17-'[8]Marts'!D17</f>
        <v>274981</v>
      </c>
      <c r="G17" s="69" t="s">
        <v>371</v>
      </c>
      <c r="H17" s="252">
        <v>7</v>
      </c>
      <c r="I17" s="291">
        <v>9371</v>
      </c>
      <c r="J17" s="291">
        <v>1273</v>
      </c>
      <c r="K17" s="387">
        <v>13.584462704087077</v>
      </c>
      <c r="L17" s="291">
        <v>485</v>
      </c>
      <c r="N17" s="384">
        <v>788</v>
      </c>
      <c r="O17">
        <v>513</v>
      </c>
      <c r="P17" s="385">
        <f t="shared" si="0"/>
        <v>275</v>
      </c>
    </row>
    <row r="18" spans="1:16" ht="30" customHeight="1">
      <c r="A18" s="60" t="s">
        <v>372</v>
      </c>
      <c r="B18" s="252">
        <v>8</v>
      </c>
      <c r="C18" s="282">
        <f>1508663+2272860</f>
        <v>3781523</v>
      </c>
      <c r="D18" s="391">
        <f>'[6]Aprīlis'!$N$7+'[6]Aprīlis'!$Q$7</f>
        <v>1264954</v>
      </c>
      <c r="E18" s="381">
        <f>D18/C18*100</f>
        <v>33.45091382493244</v>
      </c>
      <c r="F18" s="380">
        <f>D18-'[8]Marts'!D18</f>
        <v>159107</v>
      </c>
      <c r="G18" s="60" t="s">
        <v>372</v>
      </c>
      <c r="H18" s="252">
        <v>8</v>
      </c>
      <c r="I18" s="291">
        <v>3782</v>
      </c>
      <c r="J18" s="291">
        <v>1472</v>
      </c>
      <c r="K18" s="387">
        <v>38.92120571126389</v>
      </c>
      <c r="L18" s="291">
        <v>208</v>
      </c>
      <c r="N18" s="384">
        <v>1264</v>
      </c>
      <c r="O18">
        <v>1106</v>
      </c>
      <c r="P18" s="385">
        <f t="shared" si="0"/>
        <v>158</v>
      </c>
    </row>
    <row r="19" spans="1:16" ht="30" customHeight="1">
      <c r="A19" s="60" t="s">
        <v>373</v>
      </c>
      <c r="B19" s="252">
        <v>9</v>
      </c>
      <c r="C19" s="282"/>
      <c r="D19" s="391"/>
      <c r="E19" s="381"/>
      <c r="F19" s="380">
        <f>D19-'[8]Marts'!D19</f>
        <v>0</v>
      </c>
      <c r="G19" s="60" t="s">
        <v>373</v>
      </c>
      <c r="H19" s="252">
        <v>9</v>
      </c>
      <c r="I19" s="291">
        <v>0</v>
      </c>
      <c r="J19" s="291">
        <v>0</v>
      </c>
      <c r="K19" s="387"/>
      <c r="L19" s="291">
        <v>0</v>
      </c>
      <c r="N19" s="384">
        <v>0</v>
      </c>
      <c r="O19">
        <v>0</v>
      </c>
      <c r="P19" s="385">
        <f t="shared" si="0"/>
        <v>0</v>
      </c>
    </row>
    <row r="20" spans="1:16" ht="30" customHeight="1">
      <c r="A20" s="69" t="s">
        <v>374</v>
      </c>
      <c r="B20" s="392">
        <v>10</v>
      </c>
      <c r="C20" s="282">
        <v>500000</v>
      </c>
      <c r="D20" s="391">
        <f>'[6]Aprīlis'!$L$7</f>
        <v>146467</v>
      </c>
      <c r="E20" s="381">
        <f>D20/C20*100</f>
        <v>29.293400000000002</v>
      </c>
      <c r="F20" s="380">
        <f>D20-'[8]Marts'!D20</f>
        <v>81437</v>
      </c>
      <c r="G20" s="69" t="s">
        <v>374</v>
      </c>
      <c r="H20" s="392">
        <v>10</v>
      </c>
      <c r="I20" s="291">
        <v>500</v>
      </c>
      <c r="J20" s="291">
        <v>210</v>
      </c>
      <c r="K20" s="387">
        <v>42</v>
      </c>
      <c r="L20" s="291">
        <v>64</v>
      </c>
      <c r="N20" s="384">
        <v>146</v>
      </c>
      <c r="O20">
        <v>65</v>
      </c>
      <c r="P20" s="385">
        <f t="shared" si="0"/>
        <v>81</v>
      </c>
    </row>
    <row r="21" spans="1:16" ht="30" customHeight="1">
      <c r="A21" s="69" t="s">
        <v>375</v>
      </c>
      <c r="B21" s="392">
        <v>11</v>
      </c>
      <c r="C21" s="282"/>
      <c r="D21" s="391"/>
      <c r="E21" s="381"/>
      <c r="F21" s="380">
        <f>D21-'[8]Marts'!D21</f>
        <v>0</v>
      </c>
      <c r="G21" s="69" t="s">
        <v>375</v>
      </c>
      <c r="H21" s="392">
        <v>11</v>
      </c>
      <c r="I21" s="291">
        <v>0</v>
      </c>
      <c r="J21" s="291">
        <v>0</v>
      </c>
      <c r="K21" s="387"/>
      <c r="L21" s="291">
        <v>0</v>
      </c>
      <c r="N21" s="384">
        <v>0</v>
      </c>
      <c r="O21">
        <v>0</v>
      </c>
      <c r="P21" s="385">
        <f t="shared" si="0"/>
        <v>0</v>
      </c>
    </row>
    <row r="22" spans="1:16" ht="30" customHeight="1">
      <c r="A22" s="60" t="s">
        <v>376</v>
      </c>
      <c r="B22" s="252">
        <v>12</v>
      </c>
      <c r="C22" s="282">
        <f>69029520+700000+2000000+926917</f>
        <v>72656437</v>
      </c>
      <c r="D22" s="391">
        <f>'[6]Aprīlis'!$F$7+'[6]Aprīlis'!$G$7+'[6]Aprīlis'!$I$7</f>
        <v>20610320</v>
      </c>
      <c r="E22" s="381">
        <f>D22/C22*100</f>
        <v>28.36681903352899</v>
      </c>
      <c r="F22" s="380">
        <f>D22-'[8]Marts'!D22</f>
        <v>5164180</v>
      </c>
      <c r="G22" s="60" t="s">
        <v>376</v>
      </c>
      <c r="H22" s="252">
        <v>12</v>
      </c>
      <c r="I22" s="291">
        <v>72657</v>
      </c>
      <c r="J22" s="291">
        <v>25112</v>
      </c>
      <c r="K22" s="387">
        <v>34.56239591505292</v>
      </c>
      <c r="L22" s="291">
        <v>4502</v>
      </c>
      <c r="N22" s="384">
        <v>20610</v>
      </c>
      <c r="O22">
        <v>15446</v>
      </c>
      <c r="P22" s="385">
        <f t="shared" si="0"/>
        <v>5164</v>
      </c>
    </row>
    <row r="23" spans="1:16" ht="30" customHeight="1">
      <c r="A23" s="60" t="s">
        <v>377</v>
      </c>
      <c r="B23" s="252">
        <v>13</v>
      </c>
      <c r="C23" s="282">
        <f>2874300+1205000+31300</f>
        <v>4110600</v>
      </c>
      <c r="D23" s="386">
        <f>'[6]Aprīlis'!$W$7+'[6]Aprīlis'!$X$7+'[6]Aprīlis'!$K$7</f>
        <v>901857</v>
      </c>
      <c r="E23" s="381">
        <f>D23/C23*100</f>
        <v>21.93978981170632</v>
      </c>
      <c r="F23" s="380">
        <f>D23-'[8]Marts'!D23</f>
        <v>181006</v>
      </c>
      <c r="G23" s="60" t="s">
        <v>377</v>
      </c>
      <c r="H23" s="252">
        <v>13</v>
      </c>
      <c r="I23" s="291">
        <v>4110</v>
      </c>
      <c r="J23" s="291">
        <v>1062</v>
      </c>
      <c r="K23" s="387">
        <v>25.83941605839416</v>
      </c>
      <c r="L23" s="291">
        <v>162</v>
      </c>
      <c r="N23">
        <v>900</v>
      </c>
      <c r="O23">
        <v>721</v>
      </c>
      <c r="P23" s="385">
        <f t="shared" si="0"/>
        <v>179</v>
      </c>
    </row>
    <row r="24" spans="1:16" ht="30" customHeight="1">
      <c r="A24" s="69" t="s">
        <v>518</v>
      </c>
      <c r="B24" s="252">
        <v>14</v>
      </c>
      <c r="C24" s="386"/>
      <c r="D24" s="386"/>
      <c r="E24" s="381"/>
      <c r="F24" s="380">
        <f>D24-'[8]Marts'!D24</f>
        <v>0</v>
      </c>
      <c r="G24" s="69" t="s">
        <v>518</v>
      </c>
      <c r="H24" s="252">
        <v>14</v>
      </c>
      <c r="I24" s="291">
        <v>0</v>
      </c>
      <c r="J24" s="291"/>
      <c r="K24" s="387"/>
      <c r="L24" s="291">
        <v>0</v>
      </c>
      <c r="P24" s="385">
        <f t="shared" si="0"/>
        <v>0</v>
      </c>
    </row>
    <row r="25" spans="2:16" ht="17.25" customHeight="1">
      <c r="B25" s="393"/>
      <c r="C25" s="361"/>
      <c r="D25" s="361"/>
      <c r="E25" s="394"/>
      <c r="H25" s="393"/>
      <c r="I25" s="361"/>
      <c r="J25" s="361"/>
      <c r="K25" s="394"/>
      <c r="N25" s="385"/>
      <c r="P25" s="385"/>
    </row>
    <row r="26" spans="2:11" ht="17.25" customHeight="1">
      <c r="B26" s="393"/>
      <c r="C26" s="361"/>
      <c r="D26" s="361"/>
      <c r="E26" s="394"/>
      <c r="H26" s="393"/>
      <c r="I26" s="361"/>
      <c r="J26" s="361"/>
      <c r="K26" s="394"/>
    </row>
    <row r="27" spans="2:11" ht="17.25" customHeight="1">
      <c r="B27" s="393"/>
      <c r="C27" s="361"/>
      <c r="D27" s="361"/>
      <c r="E27" s="394"/>
      <c r="G27" s="88" t="s">
        <v>21</v>
      </c>
      <c r="H27" s="52"/>
      <c r="I27" s="89"/>
      <c r="J27" s="49"/>
      <c r="K27" s="394"/>
    </row>
    <row r="28" spans="2:11" ht="17.25" customHeight="1">
      <c r="B28" s="393"/>
      <c r="C28" s="361"/>
      <c r="D28" s="361"/>
      <c r="E28" s="394"/>
      <c r="G28" s="88"/>
      <c r="H28" s="52"/>
      <c r="I28" s="89"/>
      <c r="J28" s="89"/>
      <c r="K28" s="394"/>
    </row>
    <row r="29" spans="2:11" ht="17.25" customHeight="1">
      <c r="B29" s="393"/>
      <c r="C29" s="361"/>
      <c r="D29" s="361"/>
      <c r="E29" s="394"/>
      <c r="G29" s="1"/>
      <c r="H29" s="50"/>
      <c r="I29" s="49"/>
      <c r="J29" s="49"/>
      <c r="K29" s="394"/>
    </row>
    <row r="30" spans="2:11" ht="17.25" customHeight="1">
      <c r="B30" s="393"/>
      <c r="C30" s="361"/>
      <c r="D30" s="361"/>
      <c r="E30" s="394"/>
      <c r="G30" s="1"/>
      <c r="H30" s="50"/>
      <c r="I30" s="38"/>
      <c r="J30" s="38"/>
      <c r="K30" s="394"/>
    </row>
    <row r="31" spans="4:11" ht="17.25" customHeight="1">
      <c r="D31" s="361"/>
      <c r="E31" s="394"/>
      <c r="G31"/>
      <c r="H31" s="50"/>
      <c r="I31" s="49"/>
      <c r="J31" s="49"/>
      <c r="K31" s="394"/>
    </row>
    <row r="32" spans="2:11" ht="17.25" customHeight="1">
      <c r="B32" s="393"/>
      <c r="C32" s="361"/>
      <c r="D32" s="361"/>
      <c r="E32" s="394"/>
      <c r="G32"/>
      <c r="H32" s="50"/>
      <c r="I32" s="49"/>
      <c r="J32" s="49"/>
      <c r="K32" s="394"/>
    </row>
    <row r="33" spans="2:11" ht="17.25" customHeight="1">
      <c r="B33" s="393"/>
      <c r="C33" s="361"/>
      <c r="D33" s="361"/>
      <c r="E33" s="394"/>
      <c r="G33"/>
      <c r="H33"/>
      <c r="I33"/>
      <c r="J33" s="49"/>
      <c r="K33" s="394"/>
    </row>
    <row r="34" spans="2:11" ht="17.25" customHeight="1">
      <c r="B34" s="393"/>
      <c r="C34" s="361"/>
      <c r="D34" s="361"/>
      <c r="E34" s="394"/>
      <c r="G34"/>
      <c r="H34" s="52"/>
      <c r="I34" s="89"/>
      <c r="J34" s="49"/>
      <c r="K34" s="394"/>
    </row>
    <row r="35" spans="1:11" ht="17.25" customHeight="1">
      <c r="A35" s="41" t="s">
        <v>298</v>
      </c>
      <c r="B35" s="39"/>
      <c r="C35" s="39"/>
      <c r="D35" s="39" t="s">
        <v>299</v>
      </c>
      <c r="E35" s="1"/>
      <c r="G35" s="1" t="s">
        <v>171</v>
      </c>
      <c r="H35" s="50"/>
      <c r="I35" s="49"/>
      <c r="J35" s="49"/>
      <c r="K35" s="394"/>
    </row>
    <row r="36" spans="6:12" ht="17.25" customHeight="1">
      <c r="F36" s="361"/>
      <c r="G36" s="1" t="s">
        <v>19</v>
      </c>
      <c r="H36" s="50"/>
      <c r="I36" s="49"/>
      <c r="J36" s="49"/>
      <c r="K36" s="1"/>
      <c r="L36" s="361"/>
    </row>
    <row r="37" spans="3:11" ht="17.25" customHeight="1">
      <c r="C37" s="361"/>
      <c r="D37" s="361"/>
      <c r="E37" s="394"/>
      <c r="I37" s="361"/>
      <c r="J37" s="361"/>
      <c r="K37" s="394"/>
    </row>
    <row r="38" spans="3:11" ht="17.25" customHeight="1">
      <c r="C38" s="361"/>
      <c r="D38" s="361"/>
      <c r="E38" s="394"/>
      <c r="I38" s="361"/>
      <c r="J38" s="361"/>
      <c r="K38" s="394"/>
    </row>
    <row r="39" spans="3:11" ht="17.25" customHeight="1">
      <c r="C39" s="361"/>
      <c r="D39" s="361"/>
      <c r="E39" s="394"/>
      <c r="I39" s="361"/>
      <c r="J39" s="361"/>
      <c r="K39" s="394"/>
    </row>
    <row r="40" spans="3:11" ht="17.25" customHeight="1">
      <c r="C40" s="361"/>
      <c r="D40" s="361"/>
      <c r="E40" s="394"/>
      <c r="I40" s="361"/>
      <c r="J40" s="361"/>
      <c r="K40" s="394"/>
    </row>
    <row r="41" spans="3:11" ht="17.25" customHeight="1">
      <c r="C41" s="361"/>
      <c r="D41" s="361"/>
      <c r="E41" s="394"/>
      <c r="I41" s="361"/>
      <c r="J41" s="361"/>
      <c r="K41" s="394"/>
    </row>
    <row r="42" spans="3:11" ht="17.25" customHeight="1">
      <c r="C42" s="361"/>
      <c r="D42" s="361"/>
      <c r="E42" s="394"/>
      <c r="I42" s="361"/>
      <c r="J42" s="361"/>
      <c r="K42" s="394"/>
    </row>
    <row r="43" spans="3:11" ht="17.25" customHeight="1">
      <c r="C43" s="361"/>
      <c r="D43" s="361"/>
      <c r="E43" s="394"/>
      <c r="I43" s="361"/>
      <c r="J43" s="361"/>
      <c r="K43" s="394"/>
    </row>
    <row r="44" spans="3:11" ht="17.25" customHeight="1">
      <c r="C44" s="361"/>
      <c r="D44" s="361"/>
      <c r="E44" s="394"/>
      <c r="I44" s="361"/>
      <c r="J44" s="361"/>
      <c r="K44" s="394"/>
    </row>
    <row r="45" spans="3:11" ht="17.25" customHeight="1">
      <c r="C45" s="361"/>
      <c r="D45" s="361"/>
      <c r="E45" s="394"/>
      <c r="I45" s="361"/>
      <c r="J45" s="361"/>
      <c r="K45" s="394"/>
    </row>
    <row r="46" spans="3:11" ht="17.25" customHeight="1">
      <c r="C46" s="361"/>
      <c r="D46" s="361"/>
      <c r="E46" s="394"/>
      <c r="I46" s="361"/>
      <c r="J46" s="361"/>
      <c r="K46" s="394"/>
    </row>
    <row r="47" spans="1:11" ht="17.25" customHeight="1">
      <c r="A47" s="49"/>
      <c r="C47" s="361"/>
      <c r="D47" s="361"/>
      <c r="E47" s="394"/>
      <c r="G47" s="49"/>
      <c r="I47" s="361"/>
      <c r="J47" s="361"/>
      <c r="K47" s="394"/>
    </row>
    <row r="48" spans="1:11" ht="17.25" customHeight="1">
      <c r="A48" s="49"/>
      <c r="C48" s="361"/>
      <c r="D48" s="361"/>
      <c r="E48" s="394"/>
      <c r="G48" s="49"/>
      <c r="I48" s="361"/>
      <c r="J48" s="361"/>
      <c r="K48" s="394"/>
    </row>
    <row r="49" spans="3:11" ht="17.25" customHeight="1">
      <c r="C49" s="361"/>
      <c r="D49" s="361"/>
      <c r="E49" s="394"/>
      <c r="I49" s="361"/>
      <c r="J49" s="361"/>
      <c r="K49" s="394"/>
    </row>
    <row r="50" spans="3:11" ht="17.25" customHeight="1">
      <c r="C50" s="361"/>
      <c r="D50" s="361"/>
      <c r="E50" s="394"/>
      <c r="I50" s="361"/>
      <c r="J50" s="361"/>
      <c r="K50" s="394"/>
    </row>
    <row r="51" spans="3:11" ht="17.25" customHeight="1">
      <c r="C51" s="361"/>
      <c r="D51" s="361"/>
      <c r="E51" s="394"/>
      <c r="I51" s="361"/>
      <c r="J51" s="361"/>
      <c r="K51" s="394"/>
    </row>
    <row r="52" spans="3:11" ht="17.25" customHeight="1">
      <c r="C52" s="361"/>
      <c r="D52" s="361"/>
      <c r="E52" s="394"/>
      <c r="I52" s="361"/>
      <c r="J52" s="361"/>
      <c r="K52" s="394"/>
    </row>
    <row r="53" spans="3:11" ht="17.25" customHeight="1">
      <c r="C53" s="361"/>
      <c r="E53" s="394"/>
      <c r="I53" s="361"/>
      <c r="K53" s="394"/>
    </row>
    <row r="54" spans="3:11" ht="17.25" customHeight="1">
      <c r="C54" s="361"/>
      <c r="E54" s="394"/>
      <c r="I54" s="361"/>
      <c r="K54" s="394"/>
    </row>
    <row r="55" spans="3:11" ht="17.25" customHeight="1">
      <c r="C55" s="361"/>
      <c r="E55" s="394"/>
      <c r="I55" s="361"/>
      <c r="K55" s="394"/>
    </row>
    <row r="56" spans="3:11" ht="17.25" customHeight="1">
      <c r="C56" s="361"/>
      <c r="E56" s="394"/>
      <c r="I56" s="361"/>
      <c r="K56" s="394"/>
    </row>
    <row r="57" spans="3:11" ht="17.25" customHeight="1">
      <c r="C57" s="361"/>
      <c r="E57" s="394"/>
      <c r="I57" s="361"/>
      <c r="K57" s="394"/>
    </row>
    <row r="58" spans="3:11" ht="17.25" customHeight="1">
      <c r="C58" s="361"/>
      <c r="E58" s="394"/>
      <c r="I58" s="361"/>
      <c r="K58" s="394"/>
    </row>
    <row r="59" spans="3:11" ht="17.25" customHeight="1">
      <c r="C59" s="361"/>
      <c r="E59" s="394"/>
      <c r="I59" s="361"/>
      <c r="K59" s="394"/>
    </row>
    <row r="60" spans="3:11" ht="17.25" customHeight="1">
      <c r="C60" s="361"/>
      <c r="E60" s="394"/>
      <c r="I60" s="361"/>
      <c r="K60" s="394"/>
    </row>
    <row r="61" spans="3:11" ht="17.25" customHeight="1">
      <c r="C61" s="361"/>
      <c r="E61" s="394"/>
      <c r="I61" s="361"/>
      <c r="K61" s="394"/>
    </row>
    <row r="62" spans="3:11" ht="17.25" customHeight="1">
      <c r="C62" s="361"/>
      <c r="E62" s="394"/>
      <c r="I62" s="361"/>
      <c r="K62" s="394"/>
    </row>
    <row r="63" spans="3:11" ht="17.25" customHeight="1">
      <c r="C63" s="361"/>
      <c r="E63" s="394"/>
      <c r="I63" s="361"/>
      <c r="K63" s="394"/>
    </row>
    <row r="64" spans="3:11" ht="17.25" customHeight="1">
      <c r="C64" s="361"/>
      <c r="E64" s="394"/>
      <c r="I64" s="361"/>
      <c r="K64" s="394"/>
    </row>
    <row r="65" spans="3:11" ht="17.25" customHeight="1">
      <c r="C65" s="361"/>
      <c r="E65" s="394"/>
      <c r="I65" s="361"/>
      <c r="K65" s="394"/>
    </row>
    <row r="66" spans="3:11" ht="17.25" customHeight="1">
      <c r="C66" s="361"/>
      <c r="E66" s="394"/>
      <c r="I66" s="361"/>
      <c r="K66" s="394"/>
    </row>
    <row r="67" spans="3:11" ht="17.25" customHeight="1">
      <c r="C67" s="361"/>
      <c r="E67" s="394"/>
      <c r="I67" s="361"/>
      <c r="K67" s="394"/>
    </row>
    <row r="68" spans="3:11" ht="17.25" customHeight="1">
      <c r="C68" s="361"/>
      <c r="E68" s="394"/>
      <c r="I68" s="361"/>
      <c r="K68" s="394"/>
    </row>
    <row r="69" spans="3:11" ht="17.25" customHeight="1">
      <c r="C69" s="361"/>
      <c r="E69" s="394"/>
      <c r="I69" s="361"/>
      <c r="K69" s="394"/>
    </row>
    <row r="70" spans="3:11" ht="17.25" customHeight="1">
      <c r="C70" s="361"/>
      <c r="E70" s="394"/>
      <c r="I70" s="361"/>
      <c r="K70" s="394"/>
    </row>
    <row r="71" spans="3:11" ht="17.25" customHeight="1">
      <c r="C71" s="361"/>
      <c r="E71" s="394"/>
      <c r="I71" s="361"/>
      <c r="K71" s="394"/>
    </row>
    <row r="72" spans="3:11" ht="17.25" customHeight="1">
      <c r="C72" s="361"/>
      <c r="E72" s="394"/>
      <c r="I72" s="361"/>
      <c r="K72" s="394"/>
    </row>
    <row r="73" spans="3:11" ht="17.25" customHeight="1">
      <c r="C73" s="361"/>
      <c r="E73" s="394"/>
      <c r="I73" s="361"/>
      <c r="K73" s="394"/>
    </row>
    <row r="74" spans="3:11" ht="17.25" customHeight="1">
      <c r="C74" s="361"/>
      <c r="E74" s="394"/>
      <c r="I74" s="361"/>
      <c r="K74" s="394"/>
    </row>
    <row r="75" spans="3:11" ht="17.25" customHeight="1">
      <c r="C75" s="361"/>
      <c r="E75" s="394"/>
      <c r="I75" s="361"/>
      <c r="K75" s="394"/>
    </row>
    <row r="76" spans="3:11" ht="17.25" customHeight="1">
      <c r="C76" s="361"/>
      <c r="E76" s="394"/>
      <c r="I76" s="361"/>
      <c r="K76" s="394"/>
    </row>
    <row r="77" spans="3:11" ht="17.25" customHeight="1">
      <c r="C77" s="361"/>
      <c r="E77" s="394"/>
      <c r="I77" s="361"/>
      <c r="K77" s="394"/>
    </row>
    <row r="78" spans="3:11" ht="17.25" customHeight="1">
      <c r="C78" s="361"/>
      <c r="E78" s="394"/>
      <c r="I78" s="361"/>
      <c r="K78" s="394"/>
    </row>
    <row r="79" spans="3:11" ht="17.25" customHeight="1">
      <c r="C79" s="361"/>
      <c r="E79" s="394"/>
      <c r="I79" s="361"/>
      <c r="K79" s="394"/>
    </row>
    <row r="80" spans="2:10" ht="17.25" customHeight="1">
      <c r="B80" s="361"/>
      <c r="D80" s="394"/>
      <c r="H80" s="361"/>
      <c r="J80" s="394"/>
    </row>
    <row r="81" spans="2:10" ht="17.25" customHeight="1">
      <c r="B81" s="361"/>
      <c r="D81" s="394"/>
      <c r="H81" s="361"/>
      <c r="J81" s="394"/>
    </row>
    <row r="82" spans="2:10" ht="17.25" customHeight="1">
      <c r="B82" s="361"/>
      <c r="D82" s="394"/>
      <c r="H82" s="361"/>
      <c r="J82" s="394"/>
    </row>
    <row r="83" spans="2:10" ht="17.25" customHeight="1">
      <c r="B83" s="361"/>
      <c r="D83" s="394"/>
      <c r="H83" s="361"/>
      <c r="J83" s="394"/>
    </row>
    <row r="84" spans="2:10" ht="17.25" customHeight="1">
      <c r="B84" s="361"/>
      <c r="D84" s="394"/>
      <c r="H84" s="361"/>
      <c r="J84" s="394"/>
    </row>
    <row r="85" spans="2:10" ht="17.25" customHeight="1">
      <c r="B85" s="361"/>
      <c r="D85" s="394"/>
      <c r="H85" s="361"/>
      <c r="J85" s="394"/>
    </row>
    <row r="86" spans="2:10" ht="17.25" customHeight="1">
      <c r="B86" s="361"/>
      <c r="D86" s="394"/>
      <c r="H86" s="361"/>
      <c r="J86" s="394"/>
    </row>
    <row r="87" spans="2:10" ht="17.25" customHeight="1">
      <c r="B87" s="361"/>
      <c r="D87" s="394"/>
      <c r="H87" s="361"/>
      <c r="J87" s="394"/>
    </row>
    <row r="88" spans="2:10" ht="17.25" customHeight="1">
      <c r="B88" s="361"/>
      <c r="D88" s="394"/>
      <c r="H88" s="361"/>
      <c r="J88" s="394"/>
    </row>
    <row r="89" spans="2:10" ht="17.25" customHeight="1">
      <c r="B89" s="361"/>
      <c r="D89" s="394"/>
      <c r="H89" s="361"/>
      <c r="J89" s="394"/>
    </row>
    <row r="90" spans="2:10" ht="17.25" customHeight="1">
      <c r="B90" s="361"/>
      <c r="D90" s="394"/>
      <c r="H90" s="361"/>
      <c r="J90" s="394"/>
    </row>
    <row r="91" spans="2:10" ht="17.25" customHeight="1">
      <c r="B91" s="361"/>
      <c r="D91" s="394"/>
      <c r="H91" s="361"/>
      <c r="J91" s="394"/>
    </row>
    <row r="92" spans="2:10" ht="17.25" customHeight="1">
      <c r="B92" s="361"/>
      <c r="D92" s="394"/>
      <c r="H92" s="361"/>
      <c r="J92" s="394"/>
    </row>
    <row r="93" spans="2:10" ht="17.25" customHeight="1">
      <c r="B93" s="361"/>
      <c r="D93" s="394"/>
      <c r="H93" s="361"/>
      <c r="J93" s="394"/>
    </row>
    <row r="94" spans="2:10" ht="17.25" customHeight="1">
      <c r="B94" s="361"/>
      <c r="D94" s="394"/>
      <c r="H94" s="361"/>
      <c r="J94" s="394"/>
    </row>
    <row r="95" spans="2:10" ht="17.25" customHeight="1">
      <c r="B95" s="361"/>
      <c r="D95" s="394"/>
      <c r="H95" s="361"/>
      <c r="J95" s="394"/>
    </row>
    <row r="96" spans="2:10" ht="17.25" customHeight="1">
      <c r="B96" s="361"/>
      <c r="D96" s="394"/>
      <c r="H96" s="361"/>
      <c r="J96" s="394"/>
    </row>
    <row r="97" spans="2:10" ht="17.25" customHeight="1">
      <c r="B97" s="361"/>
      <c r="D97" s="394"/>
      <c r="H97" s="361"/>
      <c r="J97" s="394"/>
    </row>
    <row r="98" spans="2:10" ht="17.25" customHeight="1">
      <c r="B98" s="361"/>
      <c r="D98" s="394"/>
      <c r="H98" s="361"/>
      <c r="J98" s="394"/>
    </row>
    <row r="99" spans="2:10" ht="17.25" customHeight="1">
      <c r="B99" s="361"/>
      <c r="D99" s="394"/>
      <c r="H99" s="361"/>
      <c r="J99" s="394"/>
    </row>
    <row r="100" spans="2:8" ht="17.25" customHeight="1">
      <c r="B100" s="361"/>
      <c r="H100" s="361"/>
    </row>
    <row r="101" spans="2:8" ht="17.25" customHeight="1">
      <c r="B101" s="361"/>
      <c r="H101" s="361"/>
    </row>
    <row r="102" spans="2:8" ht="17.25" customHeight="1">
      <c r="B102" s="361"/>
      <c r="H102" s="361"/>
    </row>
    <row r="103" spans="2:8" ht="17.25" customHeight="1">
      <c r="B103" s="361"/>
      <c r="H103" s="361"/>
    </row>
    <row r="104" spans="2:8" ht="17.25" customHeight="1">
      <c r="B104" s="361"/>
      <c r="H104" s="361"/>
    </row>
    <row r="105" spans="2:8" ht="17.25" customHeight="1">
      <c r="B105" s="361"/>
      <c r="H105" s="361"/>
    </row>
    <row r="106" spans="2:8" ht="17.25" customHeight="1">
      <c r="B106" s="361"/>
      <c r="H106" s="361"/>
    </row>
    <row r="107" spans="2:8" ht="17.25" customHeight="1">
      <c r="B107" s="361"/>
      <c r="H107" s="361"/>
    </row>
    <row r="108" spans="2:8" ht="17.25" customHeight="1">
      <c r="B108" s="361"/>
      <c r="H108" s="361"/>
    </row>
  </sheetData>
  <mergeCells count="4">
    <mergeCell ref="A4:F4"/>
    <mergeCell ref="G4:L4"/>
    <mergeCell ref="A5:F5"/>
    <mergeCell ref="G5:L5"/>
  </mergeCells>
  <printOptions/>
  <pageMargins left="0.75" right="0.27" top="0.25" bottom="0.2" header="0.5" footer="0.5"/>
  <pageSetup firstPageNumber="22" useFirstPageNumber="1" fitToHeight="1" fitToWidth="1" horizontalDpi="600" verticalDpi="600" orientation="portrait" paperSize="9" scale="86" r:id="rId1"/>
  <headerFooter alignWithMargins="0">
    <oddFooter>&amp;R&amp;9&amp;P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Valsts kase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IlonaE</dc:creator>
  <cp:keywords/>
  <dc:description/>
  <cp:lastModifiedBy>GuntarsM</cp:lastModifiedBy>
  <cp:lastPrinted>2001-06-18T08:27:44Z</cp:lastPrinted>
  <dcterms:created xsi:type="dcterms:W3CDTF">2001-06-15T10:50:04Z</dcterms:created>
  <dcterms:modified xsi:type="dcterms:W3CDTF">2002-09-26T10:19:35Z</dcterms:modified>
  <cp:category/>
  <cp:version/>
  <cp:contentType/>
  <cp:contentStatus/>
</cp:coreProperties>
</file>