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  <sheet name="26.tab." sheetId="27" r:id="rId27"/>
    <sheet name="27.tab." sheetId="28" r:id="rId28"/>
    <sheet name="28.tab." sheetId="29" r:id="rId29"/>
    <sheet name="29.tab." sheetId="30" r:id="rId30"/>
    <sheet name="32.tab.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1">'1.tab.'!$A$1:$J$85</definedName>
    <definedName name="_xlnm.Print_Area" localSheetId="10">'10.tab.'!$A$1:$N$44</definedName>
    <definedName name="_xlnm.Print_Area" localSheetId="11">'11.tab.'!$A$1:$M$38</definedName>
    <definedName name="_xlnm.Print_Area" localSheetId="12">'12.tab.'!$H:$N</definedName>
    <definedName name="_xlnm.Print_Area" localSheetId="13">'13.tab.'!$A:$E</definedName>
    <definedName name="_xlnm.Print_Area" localSheetId="19">'19.tab.'!$A:$R</definedName>
    <definedName name="_xlnm.Print_Area" localSheetId="20">'20.tab.'!$A:$R</definedName>
    <definedName name="_xlnm.Print_Area" localSheetId="21">'21.tab.'!$A:$P</definedName>
    <definedName name="_xlnm.Print_Area" localSheetId="22">'22.tab.'!$A:$E</definedName>
    <definedName name="_xlnm.Print_Area" localSheetId="25">'25.tab.'!$A:$I</definedName>
    <definedName name="_xlnm.Print_Area" localSheetId="27">'27.tab.'!$K:$T</definedName>
    <definedName name="_xlnm.Print_Area" localSheetId="28">'28.tab.'!$K:$T</definedName>
    <definedName name="_xlnm.Print_Area" localSheetId="3">'3.tab.'!$A$1:$O$251</definedName>
    <definedName name="_xlnm.Print_Area" localSheetId="4">'4.tab.'!$A$1:$N$76</definedName>
    <definedName name="_xlnm.Print_Area" localSheetId="5">'5.tab.'!$A$1:$M$38</definedName>
    <definedName name="_xlnm.Print_Area" localSheetId="6">'6.tab.'!$G:$L</definedName>
    <definedName name="_xlnm.Print_Area" localSheetId="7">'7.tab.'!$H:$N</definedName>
    <definedName name="_xlnm.Print_Titles" localSheetId="1">'1.tab.'!$7:$9</definedName>
    <definedName name="_xlnm.Print_Titles" localSheetId="12">'12.tab.'!$5:$7</definedName>
    <definedName name="_xlnm.Print_Titles" localSheetId="13">'13.tab.'!$6:$8</definedName>
    <definedName name="_xlnm.Print_Titles" localSheetId="19">'19.tab.'!$7:$11</definedName>
    <definedName name="_xlnm.Print_Titles" localSheetId="20">'20.tab.'!$6:$10</definedName>
    <definedName name="_xlnm.Print_Titles" localSheetId="21">'21.tab.'!$6:$10</definedName>
    <definedName name="_xlnm.Print_Titles" localSheetId="22">'22.tab.'!$6:$8</definedName>
    <definedName name="_xlnm.Print_Titles" localSheetId="25">'25.tab.'!$7:$10</definedName>
    <definedName name="_xlnm.Print_Titles" localSheetId="27">'27.tab.'!$8:$11</definedName>
    <definedName name="_xlnm.Print_Titles" localSheetId="28">'28.tab.'!$8:$11</definedName>
    <definedName name="_xlnm.Print_Titles" localSheetId="4">'4.tab.'!$7:$9</definedName>
    <definedName name="_xlnm.Print_Titles" localSheetId="6">'6.tab.'!$7:$9</definedName>
    <definedName name="_xlnm.Print_Titles" localSheetId="7">'7.tab.'!$7:$9</definedName>
  </definedNames>
  <calcPr fullCalcOnLoad="1"/>
</workbook>
</file>

<file path=xl/comments15.xml><?xml version="1.0" encoding="utf-8"?>
<comments xmlns="http://schemas.openxmlformats.org/spreadsheetml/2006/main">
  <authors>
    <author>VinetaP</author>
  </authors>
  <commentList>
    <comment ref="H13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Neaizmirsti pieskaitīt iedz.no-ļa atlikumu uz mēneša beigām
</t>
        </r>
      </text>
    </comment>
    <comment ref="F44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No garās Agneses tabulas , tikai viens cipars
</t>
        </r>
      </text>
    </comment>
  </commentList>
</comments>
</file>

<file path=xl/sharedStrings.xml><?xml version="1.0" encoding="utf-8"?>
<sst xmlns="http://schemas.openxmlformats.org/spreadsheetml/2006/main" count="3834" uniqueCount="984">
  <si>
    <t xml:space="preserve">                Valsts kases oficiālais pārskats</t>
  </si>
  <si>
    <t>Pašvaldību speciālā budžeta izpildes rādītāji (neieskaitot ziedojumus un dāvinājumus)</t>
  </si>
  <si>
    <t>Rajona, pilsētas nosaukums</t>
  </si>
  <si>
    <t>Fiskālais deficīts (-), pārpalikums (+) 
 (2-5)</t>
  </si>
  <si>
    <t>Aizdevumi (+) / atmaksas (-)</t>
  </si>
  <si>
    <t>Finansiālais deficīts (-), pārpalikums (+)       (6-7)</t>
  </si>
  <si>
    <t>Finansē-šana  
 -(6-7)</t>
  </si>
  <si>
    <t>Iekšējā finansēšana</t>
  </si>
  <si>
    <t>Ārējā finansēšana</t>
  </si>
  <si>
    <t>Uzturē-
šanas</t>
  </si>
  <si>
    <t>Kapitālie</t>
  </si>
  <si>
    <t>Tīrie
aizdevumi</t>
  </si>
  <si>
    <t>Kopā</t>
  </si>
  <si>
    <t>Budžeta līdzekļu izmaiņas         (12-13)</t>
  </si>
  <si>
    <t>No komercbankām</t>
  </si>
  <si>
    <t>21.tabula</t>
  </si>
  <si>
    <t>Pašvaldību  budžeta ziedojumu un dāvinājumu  izpildes rādītāji</t>
  </si>
  <si>
    <t>Fiskālais deficīts    (-), 
pārpalikums (+)      (2-5)</t>
  </si>
  <si>
    <t>Aizdevumi/ atmaksas</t>
  </si>
  <si>
    <t>Finansiālais deficīts (-), pārpalikums (+)   
    (6-7)</t>
  </si>
  <si>
    <t>Finansē-šana        -(6-7)</t>
  </si>
  <si>
    <t>Uzturēšanas</t>
  </si>
  <si>
    <t>No komerc-bankām</t>
  </si>
  <si>
    <t>22.tabula</t>
  </si>
  <si>
    <t>Pašvaldību  budžeta ziedojumu un dāvinājumu ieņēmumi un izdevumi pēc ekonomiskās klasifikācijas</t>
  </si>
  <si>
    <t>Izpilde % pret gada plānu  (3/2)</t>
  </si>
  <si>
    <t>Fiskālā bilance (1.-2.-3)</t>
  </si>
  <si>
    <t>23.tabula</t>
  </si>
  <si>
    <t>Pašvaldību budžeta ziedojumu un dāvinājumu izdevumi pēc valdības funkcijām</t>
  </si>
  <si>
    <t xml:space="preserve">Izdevumi kopā </t>
  </si>
  <si>
    <t>Izdevumi pēc valdības funkcijām</t>
  </si>
  <si>
    <t>Pārējie izdevumi, kas nav klasificēti citās pamatfunkcijās</t>
  </si>
  <si>
    <t xml:space="preserve">                24. tabula</t>
  </si>
  <si>
    <t>Pašvaldību finansu izlīdzināšanas  fonda līdzekļi</t>
  </si>
  <si>
    <t>Izpilde</t>
  </si>
  <si>
    <t xml:space="preserve">1. Ieņēmumi - kopā   </t>
  </si>
  <si>
    <t>Ieņēmumu prognozes neizpildes kompensācija - 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</si>
  <si>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</si>
  <si>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</si>
  <si>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</si>
  <si>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</si>
  <si>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</si>
  <si>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3. Atlikums uz pārskata perioda beigām  (1.- 2.)</t>
  </si>
  <si>
    <t xml:space="preserve">Atlikums uz 2001.gada  1. janvāri </t>
  </si>
  <si>
    <t>25. tabula</t>
  </si>
  <si>
    <t>No valsts budžeta pārskaitītās mērķdotācijas pašvaldībām</t>
  </si>
  <si>
    <t xml:space="preserve">                (latos)</t>
  </si>
  <si>
    <t>Rajona vai pilsētas nosaukums</t>
  </si>
  <si>
    <t>Mērķdotācijas investīcijām   (13.pielikums)</t>
  </si>
  <si>
    <t xml:space="preserve">Mērķdotācijas specializētiem izglītības pasākumiem (11.pielikums) </t>
  </si>
  <si>
    <t xml:space="preserve">Mērķdotācijas pašvaldību pašdarbības kolektīviem (12.pielikums) </t>
  </si>
  <si>
    <t>Mērķdotācijas izglītības pasākumiem
(6.-10.pielikums)</t>
  </si>
  <si>
    <t xml:space="preserve">Pārējās
 mērķdotācijas </t>
  </si>
  <si>
    <t>Mērķdotācijas teritoriālplānošanai</t>
  </si>
  <si>
    <t>Mērķdotācijas
 kopā              (2+3+4+5+6+7+8)</t>
  </si>
  <si>
    <t>2000.g.</t>
  </si>
  <si>
    <t>2001.g.</t>
  </si>
  <si>
    <t>26.tabula</t>
  </si>
  <si>
    <t>Starptautiskā Valūtas Fonda izpildes kritēriji</t>
  </si>
  <si>
    <t>Mainīgie lielumi un periodi</t>
  </si>
  <si>
    <t>Mērķis</t>
  </si>
  <si>
    <t>Rezultāts</t>
  </si>
  <si>
    <t>I.</t>
  </si>
  <si>
    <t xml:space="preserve">Ierobežojumi kopbudžeta </t>
  </si>
  <si>
    <t xml:space="preserve">fiskālajam deficītam: </t>
  </si>
  <si>
    <t>(milj. latu)</t>
  </si>
  <si>
    <t>1. janvāris - 31. marts, 2001 (indikatīvā robeža)</t>
  </si>
  <si>
    <t>1. janvāris - 30. septembris, 2001 : kontroles rādītājs</t>
  </si>
  <si>
    <t>1. janvāris - 31. decembris, 2001 : kontroles rādītājs</t>
  </si>
  <si>
    <t>II.</t>
  </si>
  <si>
    <t xml:space="preserve">Ierobežojumi ārējā parāda līgumiem un </t>
  </si>
  <si>
    <t>(milj. USD)</t>
  </si>
  <si>
    <t>galvojumiem uz neatvieglotiem nosacījumiem</t>
  </si>
  <si>
    <t xml:space="preserve">         Tai skaitā:  </t>
  </si>
  <si>
    <t xml:space="preserve">            Tai skaitā:  </t>
  </si>
  <si>
    <t>No 31. decembra, 2000 līdz:</t>
  </si>
  <si>
    <t xml:space="preserve"> Kopā       1-5 gadi</t>
  </si>
  <si>
    <t>31. martam, 2001 (indikatīvi)</t>
  </si>
  <si>
    <t xml:space="preserve">   52                52</t>
  </si>
  <si>
    <t xml:space="preserve">    0                 0</t>
  </si>
  <si>
    <t>30. jūnijam, 2001 : kontroles rādītājs</t>
  </si>
  <si>
    <t xml:space="preserve">  242               52</t>
  </si>
  <si>
    <t>30. septembrim, 2001 : kontroles rādītājs</t>
  </si>
  <si>
    <t xml:space="preserve">  300               52</t>
  </si>
  <si>
    <t>31. decembrim, 2001 : kontroles rādītājs</t>
  </si>
  <si>
    <t xml:space="preserve">  320               72</t>
  </si>
  <si>
    <t>III.</t>
  </si>
  <si>
    <t xml:space="preserve">  Ierobežojumi valdības ārējam parādam </t>
  </si>
  <si>
    <t xml:space="preserve">  ar termiņu līdz 1 gadam:</t>
  </si>
  <si>
    <t>IV.</t>
  </si>
  <si>
    <t xml:space="preserve">  ieņēmumiem: </t>
  </si>
  <si>
    <t>1. janvāris - 30. septembris, 2001 (indikatīvā robeža)</t>
  </si>
  <si>
    <t>1. janvāris - 31. decembris, 2001 (indikatīvā robeža)</t>
  </si>
  <si>
    <t>27.tabula</t>
  </si>
  <si>
    <t>Ministriju un centrālo valsts iestāžu ilgtermiņa valsts saistību limiti</t>
  </si>
  <si>
    <t>Ministriju un centrālo valsts iestāžu valsts ilgtermiņa saistību limiti</t>
  </si>
  <si>
    <t>2002., 2003. gadam un turpmākajiem gadiem valsts pamatbudžetā</t>
  </si>
  <si>
    <t>2002. gada pieprasījums</t>
  </si>
  <si>
    <t>2003. gada pieprasījums</t>
  </si>
  <si>
    <t>Tālākā laika posma līdz projekta
 īstenošanai pieprasījums</t>
  </si>
  <si>
    <t>Likumā apstiprinātais plāns</t>
  </si>
  <si>
    <t>Reģistrētās saistības</t>
  </si>
  <si>
    <t>Izpilde % pret gada plānu (6/5)</t>
  </si>
  <si>
    <t>Izpilde % pret gada plānu (9/8)</t>
  </si>
  <si>
    <t>Kārtējie izdevumi (aizņēmumu pamatsummu atmaksa)</t>
  </si>
  <si>
    <t>Maksājumi starptautiskajās organizācijās, programmās</t>
  </si>
  <si>
    <t>Līzings</t>
  </si>
  <si>
    <t>Pārējās ilgtermiņa saistības</t>
  </si>
  <si>
    <t xml:space="preserve">Kultūras ministrija </t>
  </si>
  <si>
    <t>Īpašu uzdevumu ministra valsts
reformu lietās sekretariāts</t>
  </si>
  <si>
    <t>28.tabula</t>
  </si>
  <si>
    <t>2002., 2003. gadam un turpmākajiem gadiem valsts speciālajā budžetā</t>
  </si>
  <si>
    <t>Valsts kases pārvaldnieks ________________________________________ (A.Veiss)</t>
  </si>
  <si>
    <t>29.tabula</t>
  </si>
  <si>
    <t>Programmas "Valsts aizsardzība, drošība un integrācija NATO" izpilde 
(saimnieciskais gads, pārskata periods)</t>
  </si>
  <si>
    <t>Izpilde  % pret gada plānu         (4/2)</t>
  </si>
  <si>
    <t>Kopā:</t>
  </si>
  <si>
    <t>Ministru kabinets</t>
  </si>
  <si>
    <t xml:space="preserve">     Krīzes kontroles centrs</t>
  </si>
  <si>
    <t xml:space="preserve">     Tulkošanas un terminoloģijas centrs</t>
  </si>
  <si>
    <t xml:space="preserve">     Rīcības plāna dalībai NATO izpilde 
     (MK sēdes protokols)</t>
  </si>
  <si>
    <t xml:space="preserve">     Ministrijas centrālā aparāta 
     informācijas sistēma</t>
  </si>
  <si>
    <t xml:space="preserve">     Iemaksas ANO Miera spēku uzturēšanai</t>
  </si>
  <si>
    <t xml:space="preserve">     NATO pārstāvniecības 
     uzturēšanas izdevumi</t>
  </si>
  <si>
    <t xml:space="preserve">     Kartogrāfija</t>
  </si>
  <si>
    <t xml:space="preserve">     Jūras administrācijas meklēšanas un glābšanas dienesta sakaru sistēmas izveidošana</t>
  </si>
  <si>
    <t xml:space="preserve">     Jūras administrācijas meklēšanas un 
     glābšanas dienesta sakaru sistēmas 
     izveidošana</t>
  </si>
  <si>
    <t xml:space="preserve">     Sardzes pulks</t>
  </si>
  <si>
    <t xml:space="preserve">     Centralizētā bruņojuma un munīcijas 
     nodrošināsanas izdevumi</t>
  </si>
  <si>
    <t xml:space="preserve">     Valsts ugunsdzēsības un glābšanas 
     dienesta ārkārtējo situāciju gatavības 
     plānošanas un valsts materiālo
     rezervju sistēmas darbības 
     nodrošinājums</t>
  </si>
  <si>
    <t xml:space="preserve">     Policijas akadēmijas izdevumi, kas 
     attiecas uz militārās
     apmācības programmas realizāciju</t>
  </si>
  <si>
    <t xml:space="preserve">     Valsts robežsardzes 
     Rēzeknes skolas izdevumi</t>
  </si>
  <si>
    <r>
      <t xml:space="preserve">     Motorollas </t>
    </r>
    <r>
      <rPr>
        <i/>
        <sz val="9"/>
        <rFont val="Arial"/>
        <family val="2"/>
      </rPr>
      <t>SmartZone</t>
    </r>
    <r>
      <rPr>
        <sz val="9"/>
        <rFont val="Arial"/>
        <family val="2"/>
      </rPr>
      <t xml:space="preserve"> "Astro" izveides 
     un uzturēšanas izdevumi</t>
    </r>
  </si>
  <si>
    <t>32.tabula</t>
  </si>
  <si>
    <t xml:space="preserve">Valsts kases kontu atlikumi kredītiestādēs </t>
  </si>
  <si>
    <t>Iepriekšējā gada beigās</t>
  </si>
  <si>
    <t>maijs</t>
  </si>
  <si>
    <t>Aizņēmums no pamatbudžeta *</t>
  </si>
  <si>
    <t>Izdevumi**</t>
  </si>
  <si>
    <t>* t.sk.aizņēmums no pamatbudžeta saskaņā ar FM rīkojumu 3 955 tūkst.ls</t>
  </si>
  <si>
    <t xml:space="preserve">Valsts kases pārvaldnieks                                                              </t>
  </si>
  <si>
    <t xml:space="preserve">Jūnija
 mēneša  izpilde </t>
  </si>
  <si>
    <t xml:space="preserve">Valsts kases pārvaldnieks                                                         </t>
  </si>
  <si>
    <t>]</t>
  </si>
  <si>
    <t xml:space="preserve">Valsts kases pārvaldnieks                                              </t>
  </si>
  <si>
    <t>(2001. gada janvāris-jūnijs)</t>
  </si>
  <si>
    <t xml:space="preserve">Ieņēmumi </t>
  </si>
  <si>
    <t xml:space="preserve">Uzturēšanas izdevumi </t>
  </si>
  <si>
    <t>2001. gada 16.jūlijs</t>
  </si>
  <si>
    <t>(2001.gada jūnijs)</t>
  </si>
  <si>
    <t>Valsts kases pārvaldnieks                                                                                               A. Veiss</t>
  </si>
  <si>
    <t>(2001.gada janvāris- jūnijs)</t>
  </si>
  <si>
    <t>Pārbaude</t>
  </si>
  <si>
    <t>(2001.gada janvāris -jūnijs)</t>
  </si>
  <si>
    <t>Pārvaldnieks</t>
  </si>
  <si>
    <t>(2001.gada  janvāris - jūnijs)</t>
  </si>
  <si>
    <t xml:space="preserve">Valsts kases pārvaldnieks                                                               </t>
  </si>
  <si>
    <t xml:space="preserve">Valsts kases pārvaldnieks                                                    </t>
  </si>
  <si>
    <t xml:space="preserve">Junija mēneša  izpilde </t>
  </si>
  <si>
    <t xml:space="preserve"> No valsts pamatbudžeta saņemtā dotācija PFIF 3791   tūkst. latu</t>
  </si>
  <si>
    <t>* nesadalītais atlikums uz perioda beigām -1 573 tūkst.latu</t>
  </si>
  <si>
    <t xml:space="preserve">Valsts kases pārvaldnieks                                                        </t>
  </si>
  <si>
    <t>Saimnieciskā gada pārskata mēneša beigas</t>
  </si>
  <si>
    <t>Izmaiņas</t>
  </si>
  <si>
    <t>3-2</t>
  </si>
  <si>
    <t>Finansu resursi kopā (1.+2.)</t>
  </si>
  <si>
    <t>1. Latvijā (1.1.+1.2.)</t>
  </si>
  <si>
    <t>1.1. Norēķinu konti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</si>
  <si>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</si>
  <si>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</si>
  <si>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</si>
  <si>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</si>
  <si>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</si>
  <si>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''Pirmā Latvijas Komercbanka''</t>
  </si>
  <si>
    <t>Hansabank-Latvija</t>
  </si>
  <si>
    <t>Nauda ceļā</t>
  </si>
  <si>
    <t>1.2. Depozītu konti</t>
  </si>
  <si>
    <t>A/s ''Ogres komercbanka''</t>
  </si>
  <si>
    <t>Merita Bank Plc</t>
  </si>
  <si>
    <t>A/s ''Aizkraukles banka''</t>
  </si>
  <si>
    <t>A/s"Vereinsbank Rīga"</t>
  </si>
  <si>
    <t>2. Ārvalstīs (2.1.)</t>
  </si>
  <si>
    <t>2.1. Norēķinu konti</t>
  </si>
  <si>
    <t>Svenska Handelsbank</t>
  </si>
  <si>
    <t>Bank of America</t>
  </si>
  <si>
    <t>Deutche Bank AG</t>
  </si>
  <si>
    <t>Bankers Trust Co</t>
  </si>
  <si>
    <t>HSBC Bank USA</t>
  </si>
  <si>
    <t>Valsts kases pārvaldnieks</t>
  </si>
  <si>
    <t xml:space="preserve">** konsolidēts par sociālās apdrošināšanas iekšējiem maksājumiem </t>
  </si>
  <si>
    <t xml:space="preserve">                                                                     Valsts kases oficiālais mēneša pārskats</t>
  </si>
  <si>
    <t xml:space="preserve">Valsts konsolidētā kopbudžeta izpilde (ieskaitot ziedojumus un dāvinājumus) 
</t>
  </si>
  <si>
    <t xml:space="preserve">                (tūkst.latu)</t>
  </si>
  <si>
    <t>Rādītāji</t>
  </si>
  <si>
    <t>Konsolidētais
valsts budžets</t>
  </si>
  <si>
    <t>Konsolidētais
pašvaldību budžets</t>
  </si>
  <si>
    <t>Konsolidētais kopbudžets</t>
  </si>
  <si>
    <t>1. Ieņēmumi (bruto)</t>
  </si>
  <si>
    <t>mīnus transferts no valsts pamatbudžeta pašvaldību budžetos</t>
  </si>
  <si>
    <t>x</t>
  </si>
  <si>
    <t xml:space="preserve">mīnus transferts no valsts speciālā budžeta pašvaldību budžetos 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</si>
  <si>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</si>
  <si>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</si>
  <si>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</si>
  <si>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</si>
  <si>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</si>
  <si>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</si>
  <si>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</si>
  <si>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</si>
  <si>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</si>
  <si>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</si>
  <si>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</si>
  <si>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 xml:space="preserve">mīnus pašvaldību aizdevumu atmaksas valsts pamatbudžetam 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</si>
  <si>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</si>
  <si>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</si>
  <si>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</si>
  <si>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</si>
  <si>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</si>
  <si>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</si>
  <si>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</si>
  <si>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</si>
  <si>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</si>
  <si>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Latvijas Banka</t>
  </si>
  <si>
    <t xml:space="preserve">     Depozītu apjoma izmaiņas</t>
  </si>
  <si>
    <t xml:space="preserve">     Norēķinu kontu atlikumu izmaiņas</t>
  </si>
  <si>
    <t xml:space="preserve">      Ārvalstu finansu palīdzības
      kontu atlikumu izmaiņas</t>
  </si>
  <si>
    <t xml:space="preserve">      Valsts iekšējā aizņēmuma vērtspapīri</t>
  </si>
  <si>
    <t>Komercbankas</t>
  </si>
  <si>
    <t xml:space="preserve">      Tīrais aizņēmumu apjoms</t>
  </si>
  <si>
    <t>Pārējā iekšējā finansēšana</t>
  </si>
  <si>
    <t xml:space="preserve">         ieņēmumi no valsts un pašvaldību 
          īpašuma privatizācijas</t>
  </si>
  <si>
    <t xml:space="preserve">         pārējie īpašumā esošie Valsts 
         iekšējā aizņēmuma vērtspapīri</t>
  </si>
  <si>
    <t xml:space="preserve">         pārējie līdzekļi</t>
  </si>
  <si>
    <t>6.2. Ārējā finansēšana</t>
  </si>
  <si>
    <t>Ārvalstu aizņēmumi</t>
  </si>
  <si>
    <t>Norēķinu kontu atlikumu izmaiņas</t>
  </si>
  <si>
    <t>Valsts kase/Pārskatu departaments</t>
  </si>
  <si>
    <t>1.tabula</t>
  </si>
  <si>
    <t xml:space="preserve"> Valsts kases oficiālais mēneša pārskats</t>
  </si>
  <si>
    <t xml:space="preserve">Valsts konsolidētā budžeta izpilde  (neieskaitot ziedojumus un dāvinājumus) </t>
  </si>
  <si>
    <t>(tūkst.latu)</t>
  </si>
  <si>
    <t>Likumā apstiprinātais gada plāns</t>
  </si>
  <si>
    <t>Izpilde no gada sākuma</t>
  </si>
  <si>
    <t>Izpilde  % pret gada plānu         (3/2)</t>
  </si>
  <si>
    <t xml:space="preserve">Janvāra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</si>
  <si>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</si>
  <si>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</si>
  <si>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</si>
  <si>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</si>
  <si>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</si>
  <si>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</si>
  <si>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</si>
  <si>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</si>
  <si>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</si>
  <si>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</si>
  <si>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</si>
  <si>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</si>
  <si>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Ārvalstu finansu palīdzība</t>
  </si>
  <si>
    <t xml:space="preserve">     Ārvalstu finansu palīdzība </t>
  </si>
  <si>
    <t xml:space="preserve">     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</si>
  <si>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</si>
  <si>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</si>
  <si>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</si>
  <si>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</si>
  <si>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</si>
  <si>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</si>
  <si>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Ārvalstu finansu palīdzība</t>
  </si>
  <si>
    <t xml:space="preserve">             Ārvalstu finansu palīdzība</t>
  </si>
  <si>
    <t xml:space="preserve">             Pārējie</t>
  </si>
  <si>
    <t xml:space="preserve">        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</si>
  <si>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</si>
  <si>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</si>
  <si>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</si>
  <si>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</si>
  <si>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</si>
  <si>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</si>
  <si>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</si>
  <si>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</si>
  <si>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</si>
  <si>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     Finansēšana:</t>
  </si>
  <si>
    <t xml:space="preserve">          ieņēmumi no valsts un pašvaldību īpašuma privatizācijas </t>
  </si>
  <si>
    <t xml:space="preserve">          ieņēmumi no valsts nekustāmā īpašuma pārdošanas</t>
  </si>
  <si>
    <t xml:space="preserve">          aizņēmumi</t>
  </si>
  <si>
    <t xml:space="preserve">          pārējā finansēšana</t>
  </si>
  <si>
    <t xml:space="preserve">  Valsts pamatbudžeta izdevumi (bruto)</t>
  </si>
  <si>
    <t xml:space="preserve">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</si>
  <si>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</si>
  <si>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</si>
  <si>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</si>
  <si>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</si>
  <si>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</si>
  <si>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</si>
  <si>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</si>
  <si>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</si>
  <si>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</si>
  <si>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</si>
  <si>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aizdevumi </t>
  </si>
  <si>
    <t>Valsts pamatbudžeta tīrie aizdevumi (bruto)</t>
  </si>
  <si>
    <t>B.4.1. Valsts pamatbudžeta tīrie aizdevumi (bruto)</t>
  </si>
  <si>
    <t xml:space="preserve">     Valsts pamatbudžeta tīrie aizdevumi (neto)</t>
  </si>
  <si>
    <t>B.5. Valsts pamatbudžeta fiskālais deficīts (-), pārpalikums (+), (B.3.- B.4.)</t>
  </si>
  <si>
    <t>B.5. Valsts pamatbudžeta fiskālais deficīts (-), pārpalikums (+), (B.3.- B.4.1)</t>
  </si>
  <si>
    <t xml:space="preserve">  Valsts speciālā budžeta izdevumi (bruto)</t>
  </si>
  <si>
    <t xml:space="preserve">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</si>
  <si>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</si>
  <si>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</si>
  <si>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</si>
  <si>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</si>
  <si>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</si>
  <si>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>(2001. gada janvāris - jūnijs)</t>
  </si>
  <si>
    <t>Jūnija mēneša izpilde</t>
  </si>
  <si>
    <t>Valsts kases pārvaldnieks                                                                                                A. Veiss</t>
  </si>
  <si>
    <t>2001.gada 16. jūlijs</t>
  </si>
  <si>
    <t xml:space="preserve">Jūnija mēneša izpilde </t>
  </si>
  <si>
    <t xml:space="preserve">Valsts kases pārvaldnieks                                                                                                                             A. Veiss                                                                    </t>
  </si>
  <si>
    <t xml:space="preserve">             (2001.gada janvāris - jūnijs)</t>
  </si>
  <si>
    <t xml:space="preserve">jūnija mēneša  izpilde </t>
  </si>
  <si>
    <t xml:space="preserve">Jūnija mēneša  izpilde </t>
  </si>
  <si>
    <t xml:space="preserve">Valsts kases pārvaldnieks                                                                         </t>
  </si>
  <si>
    <t>(2001.gada janvāris-jūnijs)</t>
  </si>
  <si>
    <t xml:space="preserve">jūnija  mēneša  izpilde </t>
  </si>
  <si>
    <t>q</t>
  </si>
  <si>
    <t xml:space="preserve">Valsts kases pārvaldnieks                                                                 A.Veiss                                                </t>
  </si>
  <si>
    <t xml:space="preserve">              (2001.gada janvāris-jūnijs)</t>
  </si>
  <si>
    <t xml:space="preserve">                t.sk.   pensijas </t>
  </si>
  <si>
    <t xml:space="preserve">    (2001.gada janvāris-jūnijs)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</si>
  <si>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</si>
  <si>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</si>
  <si>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</si>
  <si>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</si>
  <si>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aizdevumi </t>
  </si>
  <si>
    <t xml:space="preserve">     Valsts speciālā budžeta aizdevumi (bruto)</t>
  </si>
  <si>
    <t xml:space="preserve">     Valsts speciālā budžeta aizdevumi (neto)</t>
  </si>
  <si>
    <t>C.5. Valsts speciālā budžeta fiskālais deficīts (-), pārpalikums (+), (C.3.- C.4.)</t>
  </si>
  <si>
    <t>Valsts kase / Pārskatu departaments</t>
  </si>
  <si>
    <t>1999.gada 15.oktobris</t>
  </si>
  <si>
    <t>2.tabula</t>
  </si>
  <si>
    <t>Valsts kases oficiālais mēneša pārskats</t>
  </si>
  <si>
    <t xml:space="preserve">Valsts pamatbudžeta ieņēmumi </t>
  </si>
  <si>
    <t xml:space="preserve">Rādītāji </t>
  </si>
  <si>
    <t>Gada sagaidāmā izpilde %</t>
  </si>
  <si>
    <t>Izpilde % pret gada plānu            (4/2)</t>
  </si>
  <si>
    <t>1.Ieņēmumi - kopā  (1.1.+1.2.+1.3.+1.4)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</si>
  <si>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</si>
  <si>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</si>
  <si>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</si>
  <si>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</si>
  <si>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</si>
  <si>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</si>
  <si>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</si>
  <si>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 xml:space="preserve">Citiem budžetiem sadalāmie nodokļi </t>
  </si>
  <si>
    <t xml:space="preserve">   t.sk. nodokļi no īpašuma</t>
  </si>
  <si>
    <t>1.2. Nenodokļu ieņēmumi</t>
  </si>
  <si>
    <t xml:space="preserve">   Maksājumi par valsts kapitāla izmantošanu</t>
  </si>
  <si>
    <t xml:space="preserve">   Procentu maksājumi par kredītiem 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</si>
  <si>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</si>
  <si>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</si>
  <si>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Ienākumi no valsts īpašuma iznomāšanas</t>
  </si>
  <si>
    <t xml:space="preserve">   Pārējās valsts nodevas</t>
  </si>
  <si>
    <t xml:space="preserve">           Valsts nodeva par jūras navigācijas pakalpojumiem (bāku nodeva)</t>
  </si>
  <si>
    <t xml:space="preserve">     Valsts nodeva par jūras navigācijas pakalpojumiem (bāku nodeva)</t>
  </si>
  <si>
    <t xml:space="preserve">           Izložu un azartspēļu valsts nodeva, izložu nodoklis, azartspēļu nodoklis</t>
  </si>
  <si>
    <t xml:space="preserve">           Valsts nodeva par azartspēļu iekārtu marķēšanu</t>
  </si>
  <si>
    <t xml:space="preserve">   Sodi un sankcijas</t>
  </si>
  <si>
    <t xml:space="preserve">   Pārējie nenodokļu ieņēmumi</t>
  </si>
  <si>
    <t xml:space="preserve">           Pārskaitījums valsts pamatbudžetā sociālās
           apdrošināšanas iemaksu administrēšanai                         </t>
  </si>
  <si>
    <t xml:space="preserve">          VAS "Latvijas meži" fiksētais maksājums</t>
  </si>
  <si>
    <t xml:space="preserve">        VAS "Latvijas meži" fiksētais maksājums</t>
  </si>
  <si>
    <t xml:space="preserve">          Iemaksas no Dzelzceļa infrastruktūras fonda</t>
  </si>
  <si>
    <t xml:space="preserve">        Iemaksas no Dzelzceļa infrastruktūras fonda</t>
  </si>
  <si>
    <t xml:space="preserve">          Apdrošināšanas uzraudzības inspekcijas vienreizējā  iemaksa Finansu un kapitāla tirgus komisijas izveidei</t>
  </si>
  <si>
    <t xml:space="preserve">          Ieņēmumi no pasēm</t>
  </si>
  <si>
    <t>1.3. Pašu ieņēmumi</t>
  </si>
  <si>
    <t xml:space="preserve">   Budžeta iestāžu ieņēmumi no maksas pakalpojumiem           un citi pašu ieņēmumi</t>
  </si>
  <si>
    <t>1.4. Ārvalstu finansu palīdzība</t>
  </si>
  <si>
    <t xml:space="preserve">Valsts kases pārvaldnieks                                                             </t>
  </si>
  <si>
    <t>A.Veiss</t>
  </si>
  <si>
    <t>Valsts kase /Pārskatu departaments</t>
  </si>
  <si>
    <t>3.tabula</t>
  </si>
  <si>
    <t xml:space="preserve">Valsts kases oficiālais mēneša pārskats </t>
  </si>
  <si>
    <t xml:space="preserve">     Valsts pamatbudżeta ieņēmumi un  izdevumi pa ministrijām un citām centrālām valsts iestādēm </t>
  </si>
  <si>
    <t>kopā ar ārvalstu  finansu palīdzību</t>
  </si>
  <si>
    <t xml:space="preserve">Finansēšanas plāns pārskata periodam </t>
  </si>
  <si>
    <t>Izpilde % pret gada plānu (4/2)</t>
  </si>
  <si>
    <t>Izpilde % pret finansēšanas plānu pārskata periodam 
  (4/3)</t>
  </si>
  <si>
    <t>Ieņēmumi kopā</t>
  </si>
  <si>
    <t>Resursi izdevumu segšanai</t>
  </si>
  <si>
    <t>Dotācijas no vispārējiem ieņēmumiem</t>
  </si>
  <si>
    <t>Dotācijas īpašiem mērķiem</t>
  </si>
  <si>
    <t>Maksas pakalpojumi un citi pašu ieņēmumi</t>
  </si>
  <si>
    <t>Ārvalstu finansu palīdzība</t>
  </si>
  <si>
    <t xml:space="preserve">   Izdevumi - kopā </t>
  </si>
  <si>
    <t>Uzturēšanas izdevumi</t>
  </si>
  <si>
    <t>Izdevumi kapitālieguldījumiem</t>
  </si>
  <si>
    <t>Tīrie aizdevumi</t>
  </si>
  <si>
    <t>Fiskālā bilance</t>
  </si>
  <si>
    <t>1 Valsts prezidenta kanceleja</t>
  </si>
  <si>
    <t>Valsts prezidenta kanceleja</t>
  </si>
  <si>
    <t>Izdevumi kopā</t>
  </si>
  <si>
    <t>2 Saeima</t>
  </si>
  <si>
    <t>Saeima</t>
  </si>
  <si>
    <t>3 Ministru Kabinets</t>
  </si>
  <si>
    <t>Ministru Kabinets</t>
  </si>
  <si>
    <t>10 Aizsardzības ministrija</t>
  </si>
  <si>
    <t>Aizsardzības ministrija</t>
  </si>
  <si>
    <t>11 Ārlietu ministrija</t>
  </si>
  <si>
    <t>Ārlietu ministrija</t>
  </si>
  <si>
    <t>12 Ekonomikas ministrija</t>
  </si>
  <si>
    <t>Ekonomikas ministrija</t>
  </si>
  <si>
    <t>13 Finansu ministrija</t>
  </si>
  <si>
    <t>Finansu ministrija</t>
  </si>
  <si>
    <t>14 Iekšlietu ministrija</t>
  </si>
  <si>
    <t>Iekšlietu ministrija</t>
  </si>
  <si>
    <t>15 Izglītības un zinātnes ministrija</t>
  </si>
  <si>
    <t>Izglītības un zinātnes ministrija</t>
  </si>
  <si>
    <t>16 Zemkopības ministrija</t>
  </si>
  <si>
    <t>Zemkopības ministrija</t>
  </si>
  <si>
    <t>17 Satiksmes ministrija</t>
  </si>
  <si>
    <t>Satiksmes ministrija</t>
  </si>
  <si>
    <t>18 Labklājības ministrija</t>
  </si>
  <si>
    <t>Labklājības ministrija</t>
  </si>
  <si>
    <t>19 Tieslietu ministrija</t>
  </si>
  <si>
    <t>Tieslietu ministrija</t>
  </si>
  <si>
    <t>21 Vides aizsardzības un reģionālās attīstības ministrija</t>
  </si>
  <si>
    <t>Vides aizsardzības un reģionālās attīstības ministrija</t>
  </si>
  <si>
    <t>22 Kultūras ministrija</t>
  </si>
  <si>
    <t>Kultūras ministrija</t>
  </si>
  <si>
    <t>23 Valsts zemes dienests</t>
  </si>
  <si>
    <t>Valsts zemes dienests</t>
  </si>
  <si>
    <t>24 Valsts kontrole</t>
  </si>
  <si>
    <t>Valsts kontrole</t>
  </si>
  <si>
    <t>28 Augstākā tiesa</t>
  </si>
  <si>
    <t>Augstākā tiesa</t>
  </si>
  <si>
    <t>30 Satversmes tiesa</t>
  </si>
  <si>
    <t>Satversmes tiesa</t>
  </si>
  <si>
    <t>32 Prokuratūra</t>
  </si>
  <si>
    <t>Prokuratūra</t>
  </si>
  <si>
    <t>35 Centrālā vēlēšanu komisija</t>
  </si>
  <si>
    <t>Centrālā vēlēšanu komisija</t>
  </si>
  <si>
    <t>37 Centrālā zemes komisija</t>
  </si>
  <si>
    <t>Centrālā zemes komisija</t>
  </si>
  <si>
    <t>44 Satversmes aizsardzības birojs</t>
  </si>
  <si>
    <t>Satversmes aizsardzības birojs</t>
  </si>
  <si>
    <t>47 Radio un televīzija</t>
  </si>
  <si>
    <t>Radio un televīzija</t>
  </si>
  <si>
    <t>48 Valsts cilvēktiesību birojs</t>
  </si>
  <si>
    <t>Valsts cilvēktiesību birojs</t>
  </si>
  <si>
    <t>50 Īpašu uzdevumu ministra sadarbībai  ar starptautiskajām finansu institūcijām sekretariāts</t>
  </si>
  <si>
    <t>Īpašu uzdevumu ministra sadarbībai  ar starptautiskajām finansu institūcijām sekretariāts</t>
  </si>
  <si>
    <t>51 Īpašu uzdevumu ministra valsts reformu lietās  sekretariāts</t>
  </si>
  <si>
    <t>Īpašu uzdevumu ministra valsts reformu lietās  sekretariāts</t>
  </si>
  <si>
    <t>Sabiedrisko pakalpojumu regulēšanas komisija</t>
  </si>
  <si>
    <t>62 Mērķdotācijas pašvaldībām</t>
  </si>
  <si>
    <t>Mērķdotācijas pašvaldībām</t>
  </si>
  <si>
    <t>64 Dotācija pašvaldībām</t>
  </si>
  <si>
    <t>Dotācija pašvaldībām</t>
  </si>
  <si>
    <t xml:space="preserve">Valsts kases pārvaldnieks                           (paraksts)                                                 </t>
  </si>
  <si>
    <t>(paraksta atšifrējums)</t>
  </si>
  <si>
    <t>4.tabula</t>
  </si>
  <si>
    <t xml:space="preserve">           Valsts kases oficiālais mēneša pārskats</t>
  </si>
  <si>
    <t>Valsts pamatbudžeta ieņēmumi un izdevumi pēc ekonomiskās klasifikācijas</t>
  </si>
  <si>
    <t>Finansēšanas plāns pārskata periodam</t>
  </si>
  <si>
    <t>Izpilde % pret gada plānu      (4/2)</t>
  </si>
  <si>
    <t>Izpilde % pret finansēša-nas plānu pārskata periodam       (4/3)</t>
  </si>
  <si>
    <t xml:space="preserve">Pārskata mēneša  izpilde </t>
  </si>
  <si>
    <t>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</si>
  <si>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</si>
  <si>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</si>
  <si>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</si>
  <si>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</si>
  <si>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finansu palīdzība 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</si>
  <si>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</si>
  <si>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</si>
  <si>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</si>
  <si>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</si>
  <si>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</si>
  <si>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 xml:space="preserve">    pārējie kārtējie izdevumi</t>
  </si>
  <si>
    <t>Maksājumi par aizņēmumiem un kredītiem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</si>
  <si>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</si>
  <si>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</si>
  <si>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</si>
  <si>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</si>
  <si>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</si>
  <si>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</si>
  <si>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</si>
  <si>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</si>
  <si>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        t.sk. dotācijas lauksaimniecībai</t>
  </si>
  <si>
    <t xml:space="preserve">     dotācijas iedzīvotājiem</t>
  </si>
  <si>
    <t xml:space="preserve">                t.sk.            pensijas </t>
  </si>
  <si>
    <t xml:space="preserve"> pabalsti</t>
  </si>
  <si>
    <t xml:space="preserve">    stipendijas</t>
  </si>
  <si>
    <t xml:space="preserve"> pārējie</t>
  </si>
  <si>
    <t xml:space="preserve">   iemaksas starptautiskajās organizācijās</t>
  </si>
  <si>
    <t xml:space="preserve">   pārējās subsīdijas un dotācijas</t>
  </si>
  <si>
    <t xml:space="preserve">        t.sk.        speciālajam budžetam</t>
  </si>
  <si>
    <t xml:space="preserve">                               SAPARD maksājumi </t>
  </si>
  <si>
    <t>2.2. Izdevumi kapitālieguldījumiem</t>
  </si>
  <si>
    <t>Kapitālie izdevumi kopā</t>
  </si>
  <si>
    <t>Investīcijas kopā</t>
  </si>
  <si>
    <t xml:space="preserve">   t.sk. speciālajam budžetam</t>
  </si>
  <si>
    <t xml:space="preserve">            pašvaldību budžetam</t>
  </si>
  <si>
    <t>3. Valsts budžeta tīrie aizdevumi (3.1.-3.2.)</t>
  </si>
  <si>
    <t>3.1.Valsts budžeta aizdevumi</t>
  </si>
  <si>
    <t xml:space="preserve">   t.sk.speciālajam budžetam</t>
  </si>
  <si>
    <t>3.2.Valsts budžeta aizdevumu atmaksas</t>
  </si>
  <si>
    <t xml:space="preserve">   t.sk. no speciālā budžeta</t>
  </si>
  <si>
    <t xml:space="preserve">Fiskālā bilance </t>
  </si>
  <si>
    <t>Finansēšana</t>
  </si>
  <si>
    <t xml:space="preserve">    ieņēmumi no valsts un pašvaldību īpašuma privatizācijas</t>
  </si>
  <si>
    <t xml:space="preserve">    aizņēmumi</t>
  </si>
  <si>
    <t xml:space="preserve">Valsts kases pārvaldnieks                                                                          </t>
  </si>
  <si>
    <t>2001.gada 15.februāris</t>
  </si>
  <si>
    <r>
      <t xml:space="preserve">ieņēmumi no valsts nekustamā </t>
    </r>
    <r>
      <rPr>
        <u val="single"/>
        <sz val="9"/>
        <rFont val="Arial"/>
        <family val="2"/>
      </rPr>
      <t>ī</t>
    </r>
    <r>
      <rPr>
        <sz val="9"/>
        <rFont val="Arial"/>
        <family val="2"/>
      </rPr>
      <t xml:space="preserve">pašuma pārdošanas </t>
    </r>
  </si>
  <si>
    <r>
      <t xml:space="preserve">ieņēmumi no valsts nekustamā </t>
    </r>
    <r>
      <rPr>
        <u val="single"/>
        <sz val="10"/>
        <rFont val="Arial"/>
        <family val="2"/>
      </rPr>
      <t>ī</t>
    </r>
    <r>
      <rPr>
        <sz val="10"/>
        <rFont val="Arial"/>
        <family val="2"/>
      </rPr>
      <t xml:space="preserve">pašuma pārdošanas </t>
    </r>
  </si>
  <si>
    <t>5.tabula</t>
  </si>
  <si>
    <t xml:space="preserve">                 Valsts pamatbudžeta izdevumi un tīrie aizdevumi pēc valdības funkcijām</t>
  </si>
  <si>
    <t xml:space="preserve">    (saimnieciskais gads, pārskata periods)</t>
  </si>
  <si>
    <t>(tūkst. latu)</t>
  </si>
  <si>
    <t>Valdības funkcijas kods</t>
  </si>
  <si>
    <t>Izpilde % pret gada plānu          (3/2)</t>
  </si>
  <si>
    <t>Izpilde % pret gada plānu          (4/3)</t>
  </si>
  <si>
    <t>Izdevumi - kopā</t>
  </si>
  <si>
    <t>Vispārējie valdības dienesti</t>
  </si>
  <si>
    <t>Aizsardzība</t>
  </si>
  <si>
    <t>Sabiedriskā kārtība un drošība, tiesību aizsardzība</t>
  </si>
  <si>
    <t>(2001.gada janvāris - jūnijs)</t>
  </si>
  <si>
    <t xml:space="preserve">Maija  mēneša  izpilde </t>
  </si>
  <si>
    <t xml:space="preserve">Jūnija  mēneša  izpilde </t>
  </si>
  <si>
    <t>jūnijs</t>
  </si>
  <si>
    <t>mēnesis</t>
  </si>
  <si>
    <t>2001.gada 16.jūlijs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</si>
  <si>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</si>
  <si>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</si>
  <si>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</si>
  <si>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</si>
  <si>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</si>
  <si>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</si>
  <si>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</si>
  <si>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</si>
  <si>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</si>
  <si>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</si>
  <si>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</si>
  <si>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t.sk. tīrie aizdevumi</t>
  </si>
  <si>
    <t xml:space="preserve">Valsts kases pārvaldnieks                                                 </t>
  </si>
  <si>
    <t>A. Veiss</t>
  </si>
  <si>
    <t>6.tabula</t>
  </si>
  <si>
    <t xml:space="preserve"> Valsts kases oDiciālais mēneša pārskats</t>
  </si>
  <si>
    <t xml:space="preserve">Valsts speciālā budžeta ieņēmumi un izdevumi pa ministrijām </t>
  </si>
  <si>
    <t>latos</t>
  </si>
  <si>
    <t xml:space="preserve"> (tūkst.latu)</t>
  </si>
  <si>
    <t>Finansēšanas plāns</t>
  </si>
  <si>
    <t>Izpilde % pret gada plānu 
   (4/2)</t>
  </si>
  <si>
    <t>aprīlis</t>
  </si>
  <si>
    <t xml:space="preserve">Ieņēmumi - kopā  </t>
  </si>
  <si>
    <t xml:space="preserve">        Uzturēšanas izdevumi  </t>
  </si>
  <si>
    <t xml:space="preserve">        t.sk. aizņēmuma atmaksa pamatbudžetā</t>
  </si>
  <si>
    <t xml:space="preserve">        Izdevumi kapitālieguldījumiem</t>
  </si>
  <si>
    <t xml:space="preserve">Aizņēmums no pamatbudžeta </t>
  </si>
  <si>
    <t>Centrālā dzīvojamo māju privatizācijas komisija</t>
  </si>
  <si>
    <t>Ieņēmumi</t>
  </si>
  <si>
    <t xml:space="preserve">       Ieņēmumi no dzīvojamo māju privatizācijas</t>
  </si>
  <si>
    <t>Izdevumi</t>
  </si>
  <si>
    <t xml:space="preserve">        Uzturēšanas izdevumi</t>
  </si>
  <si>
    <t>Transportlīdzekļu īpašnieku civiltiesiskās atbildības obligātās apdrošināšanas sistēma</t>
  </si>
  <si>
    <t xml:space="preserve">    Atskaitījumi no apdrošināšanas prēmijām:</t>
  </si>
  <si>
    <t xml:space="preserve">      t.sk. transportlīdzekļu īpašnieku
              iekšzemes apdrošināšanas garantijas
             fonds</t>
  </si>
  <si>
    <t xml:space="preserve">              transportlīdzekļu īpašnieku
              apdrošināšanas apdrošinājuma
              ņēmēju interešu aizsardzības fonds</t>
  </si>
  <si>
    <t xml:space="preserve">              ceļu satiksmes negadījumu
              novēršanai un profilaksei</t>
  </si>
  <si>
    <t xml:space="preserve">              transportlīdzekļu īpašnieku Zaļo
              karšu apdrošināšanas garantijas
              fonds</t>
  </si>
  <si>
    <t xml:space="preserve">    Pārapdrošināšanas maksājumi</t>
  </si>
  <si>
    <t xml:space="preserve">    Regresa prasības</t>
  </si>
  <si>
    <t xml:space="preserve">    Pārējie ieņēmumi</t>
  </si>
  <si>
    <t>Noguldījumu garantiju fonda veidošana, pārvaldīšana un izlietošana</t>
  </si>
  <si>
    <t xml:space="preserve">   Atskaitījumi no bankām</t>
  </si>
  <si>
    <t xml:space="preserve">   Uzturēšanas izdevumi</t>
  </si>
  <si>
    <t>Apdrošināto aizsardzības fondi</t>
  </si>
  <si>
    <t xml:space="preserve">      t.sk.dzīvības apdrošināšanai</t>
  </si>
  <si>
    <t xml:space="preserve">             pārējai apdrošināšanai</t>
  </si>
  <si>
    <t>Augstas klases sasniegumu sports</t>
  </si>
  <si>
    <t xml:space="preserve">    Valsts pamatbudžeta dotācija</t>
  </si>
  <si>
    <t xml:space="preserve">    Uzturēšanas izdevumi</t>
  </si>
  <si>
    <t xml:space="preserve">     t.sk. aizņēmuma atmaksa pamatbudžetā</t>
  </si>
  <si>
    <t xml:space="preserve">    Izdevumi kapitālieguldījumiem</t>
  </si>
  <si>
    <t xml:space="preserve"> Studējošo un studiju kreditēšana</t>
  </si>
  <si>
    <t xml:space="preserve">    Mācību maksa</t>
  </si>
  <si>
    <t xml:space="preserve">     Mācību maksa</t>
  </si>
  <si>
    <t>Aizņēmums no pamatbudžeta</t>
  </si>
  <si>
    <t xml:space="preserve"> Zivju fonds</t>
  </si>
  <si>
    <t xml:space="preserve">    Maksa par rūpnieciskās zvejas tiesību nomu </t>
  </si>
  <si>
    <t xml:space="preserve">    Pārējie maksājumi</t>
  </si>
  <si>
    <t>Valsts autoceļu fonds</t>
  </si>
  <si>
    <t xml:space="preserve">    Transportlīdzekļu ikgadējā nodeva</t>
  </si>
  <si>
    <t xml:space="preserve">    50%  akcīzes nodoklis par naftas produktiem</t>
  </si>
  <si>
    <t xml:space="preserve">         t.sk. aizņēmuma atmaksa pamatbudžetā</t>
  </si>
  <si>
    <t>Latvijas ostu attīstības fonds</t>
  </si>
  <si>
    <t xml:space="preserve">    Atskaitījumi no ostu maksām</t>
  </si>
  <si>
    <t>Lidostas "Rīga" infrastruktūras attīstībai</t>
  </si>
  <si>
    <t xml:space="preserve">   Izlidošanas nodeva</t>
  </si>
  <si>
    <t>Valsts speciālais veselības aprūpes budžets</t>
  </si>
  <si>
    <t xml:space="preserve">   Iedzīvotāju ienākuma nodoklis</t>
  </si>
  <si>
    <t xml:space="preserve">   Valsts pamatbudžeta dotācija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</si>
  <si>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</si>
  <si>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</si>
  <si>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</si>
  <si>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</si>
  <si>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Izdevumi  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</si>
  <si>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</si>
  <si>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</si>
  <si>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</si>
  <si>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Darba negadījumu speciālais budžets</t>
  </si>
  <si>
    <t xml:space="preserve">    Invaliditātes, maternitātes un slimības speciālais budžets </t>
  </si>
  <si>
    <t>BOVAS "Valsts sociālās apdrošināšanas aģentūra"</t>
  </si>
  <si>
    <t xml:space="preserve">           Izdevumi kapitālieguldījumiem</t>
  </si>
  <si>
    <t>Vides aizsardzības fonds</t>
  </si>
  <si>
    <t xml:space="preserve">    Dabas resursu nodoklis</t>
  </si>
  <si>
    <t xml:space="preserve">    Akcīzes nodoklis par kurināmajiem naftas produktiem</t>
  </si>
  <si>
    <t>Kultūrkapitāla fonds</t>
  </si>
  <si>
    <t xml:space="preserve">   Ieņēmumi no akcīzes nodokļa par alkoholiskajiem dzērieniem</t>
  </si>
  <si>
    <t xml:space="preserve">   Ieņēmumi no akcīzes nodokļa par tabakas izstrādājumiem</t>
  </si>
  <si>
    <t>Īpašu uzdevumu ministra sadarbībai ar starptautiskajām finansu institūcijām sekretariāts</t>
  </si>
  <si>
    <t>tūkst.latu</t>
  </si>
  <si>
    <t>Valsts kase/ Pārskatu departaments</t>
  </si>
  <si>
    <t xml:space="preserve">                                  Valsts kases oficiālais mēneša pārskats</t>
  </si>
  <si>
    <t>7.tabula</t>
  </si>
  <si>
    <t xml:space="preserve">Valsts speciālā budžeta ieņēmumi un izdevumi </t>
  </si>
  <si>
    <t>pēc ekonomiskās klasifikācijas</t>
  </si>
  <si>
    <t>Izpilde % pret finansēšanas plānu pārskata periodam           (4/3)</t>
  </si>
  <si>
    <t>1.Ieņēmumi - kopā</t>
  </si>
  <si>
    <t>Īpašiem mērķiem iezīmēti ieņēmumi</t>
  </si>
  <si>
    <t xml:space="preserve">   t.sk.valsts pamatbudžeta dotācijas</t>
  </si>
  <si>
    <t>2.1.Uzturēšanas izdevumi</t>
  </si>
  <si>
    <t xml:space="preserve"> t.sk. atalgojumi</t>
  </si>
  <si>
    <t xml:space="preserve">        valsts sociālās apdrošināšanas obligātās iemaksas</t>
  </si>
  <si>
    <t xml:space="preserve">        pārējie kārtējie izdevumi</t>
  </si>
  <si>
    <t xml:space="preserve">        aizņēmumu atmaksa </t>
  </si>
  <si>
    <t xml:space="preserve">       procentu nomaksa par iekšējiem aizņēmumiem</t>
  </si>
  <si>
    <t xml:space="preserve">       procentu nomaksa par ārvalstu aizņēmumiem</t>
  </si>
  <si>
    <t xml:space="preserve">       subsīdijas</t>
  </si>
  <si>
    <t xml:space="preserve">        t.sk. dzelzceļam 3130</t>
  </si>
  <si>
    <t xml:space="preserve">        t.sk. dzelzceļam</t>
  </si>
  <si>
    <t xml:space="preserve">       mērķdotācijas pašvaldību budžetiem</t>
  </si>
  <si>
    <t xml:space="preserve">        t.sk. autoceļu(ielu) fondiem 3250</t>
  </si>
  <si>
    <t xml:space="preserve">        t.sk. autoceļu(ielu) fondiem</t>
  </si>
  <si>
    <t xml:space="preserve">               pasažieru regulārajiem pārvadātājiem ar autobusiem:3280</t>
  </si>
  <si>
    <t xml:space="preserve">               pasažieru regulārajiem pārvadātājiem ar autobusiem:</t>
  </si>
  <si>
    <t xml:space="preserve">                     no tiem: pašvaldībām 3281</t>
  </si>
  <si>
    <t xml:space="preserve">                     no tiem: pašvaldībām</t>
  </si>
  <si>
    <t xml:space="preserve">                                     pārējiem pārvadātājiem 3282</t>
  </si>
  <si>
    <t xml:space="preserve">                                     pārējiem pārvadātājiem</t>
  </si>
  <si>
    <t xml:space="preserve">       dotācijas pašvaldību budžetiem</t>
  </si>
  <si>
    <t xml:space="preserve">       dotācijas iestādēm, organizācijām un uzņēmumiem</t>
  </si>
  <si>
    <t xml:space="preserve">       dotācijas iedzīvotājiem</t>
  </si>
  <si>
    <t xml:space="preserve">    t.sk. pensijas</t>
  </si>
  <si>
    <t xml:space="preserve">           pabalsti</t>
  </si>
  <si>
    <t xml:space="preserve">              stipendijas</t>
  </si>
  <si>
    <t xml:space="preserve">          pārējie</t>
  </si>
  <si>
    <t xml:space="preserve">       iemaksas starptautiskajās organizācijās</t>
  </si>
  <si>
    <t xml:space="preserve">       dotācija valsts pamatbudžetam sociālās      apdrošināšanas iemaksu administrēšanai</t>
  </si>
  <si>
    <t>2.2.Izdevumi kapitālieguldījumiem</t>
  </si>
  <si>
    <t xml:space="preserve">   Kapitālie izdevumi</t>
  </si>
  <si>
    <t xml:space="preserve">   Investīcijas</t>
  </si>
  <si>
    <t>3.Valsts budžeta tīrie aizdevumi (3.1.-3.2.)</t>
  </si>
  <si>
    <t xml:space="preserve">   3.1.Valsts budžeta aizdevumi</t>
  </si>
  <si>
    <t xml:space="preserve">   3.2.Valsts budžeta aizdevumu atmaksas</t>
  </si>
  <si>
    <t>Fiskālā bilance (1.-2.-3.)</t>
  </si>
  <si>
    <t xml:space="preserve">Aizņēmums no pamatbudžeta                          </t>
  </si>
  <si>
    <t>Valsts speciālā budžeta naudas līdzekļu atlikumu izmaiņas palielinājums (-) vai samazinājums (+)</t>
  </si>
  <si>
    <t>Informatīvi:</t>
  </si>
  <si>
    <t>(2001. gada junijs)</t>
  </si>
  <si>
    <t>Valsts kases pārvaldnieks                                                                                                                                                       A. Veiss</t>
  </si>
  <si>
    <t>1. janvāris - 30. jūnijs, 2001 : kontroles rādītājs *</t>
  </si>
  <si>
    <t>* t.s. VAS "Privatizācijas aģentūra" izdevumi - 3 milj.latu</t>
  </si>
  <si>
    <t xml:space="preserve">  Indikatīvie mērķi valsts budžeta </t>
  </si>
  <si>
    <t>1. janvāris - 30. jūnijs, 2001 (indikatīvā robeža) *</t>
  </si>
  <si>
    <t xml:space="preserve">* kopējie valsts budžeta ieņēmumi (675 939 tūkst.latu) atskaitot pašvaldībām sadalāmos nodokļus (276 tūkst.latu), </t>
  </si>
  <si>
    <t>pašu ieņēmumus (28 882 tūkst.latu) un ārvalstu finansu palīdzību (15 389 tūkst.latu)</t>
  </si>
  <si>
    <t>Valsts kases pārvaldnieks                                                                                             A. Veiss</t>
  </si>
  <si>
    <t>Fondēto pensiju shēmas līdzekļi</t>
  </si>
  <si>
    <t xml:space="preserve">   t.sk. sociālās apdrošināšanas obligātās iemaksas</t>
  </si>
  <si>
    <t>2001.gada 15.februārī</t>
  </si>
  <si>
    <t xml:space="preserve">                                                      Valsts kases oficiālais mēneša pārskats</t>
  </si>
  <si>
    <t>8.tabula</t>
  </si>
  <si>
    <t xml:space="preserve"> Valsts speciālā budžeta izdevumi  un tīrie aizdevumi pēc valdības funkcijām</t>
  </si>
  <si>
    <t xml:space="preserve">Izglītība </t>
  </si>
  <si>
    <t xml:space="preserve">Izglītība  </t>
  </si>
  <si>
    <t>t.sk. tīrie  aizdevumi</t>
  </si>
  <si>
    <t>Pārējie izdevumi, kas nav atspoguļoti pamatgrupās  (ieskaitot tīros aizdevumus)</t>
  </si>
  <si>
    <t>9.tabula</t>
  </si>
  <si>
    <t xml:space="preserve">Valsts  budžeta  ziedojumu un dāvinājumu ieņēmumi un izdevumi pa ministrijām un citām centrālām valsts iestādēm </t>
  </si>
  <si>
    <t>Izpilde % pret finansēšanas plānu (3/2)</t>
  </si>
  <si>
    <t xml:space="preserve">Izdevumi - kopā </t>
  </si>
  <si>
    <t>10.tabula</t>
  </si>
  <si>
    <t xml:space="preserve">                                              Valsts kases oficiālais mēneša pārskats</t>
  </si>
  <si>
    <t>Valsts  budžeta ziedojumu un dāvinājumu ieņēmumi un izdevumi pēc ekonomiskās klasifikācijas</t>
  </si>
  <si>
    <t xml:space="preserve">Izpilde no gada sākuma </t>
  </si>
  <si>
    <t>Izpilde % pret finansēšanas plānu  (3/2)</t>
  </si>
  <si>
    <t>marts</t>
  </si>
  <si>
    <t>1.Saņemtie dāvinājumi un ziedojumi - kopā</t>
  </si>
  <si>
    <t xml:space="preserve">   no iekšzemes juridiskajām un fiziskajām personām</t>
  </si>
  <si>
    <t xml:space="preserve">   no ārvalstu juridiskajām un fiziskajām personām  </t>
  </si>
  <si>
    <t xml:space="preserve">   budžetā neiekļautā ārvalstu finansu palīdzība</t>
  </si>
  <si>
    <t xml:space="preserve">2.Izdevumi - kopā (2.1.+2.2.) </t>
  </si>
  <si>
    <t xml:space="preserve">    valsts sociālās apdrošināšanas obligātās iemaksas</t>
  </si>
  <si>
    <t xml:space="preserve">          </t>
  </si>
  <si>
    <t xml:space="preserve">     t.sk. preču un pakalpojumu izdevumi  </t>
  </si>
  <si>
    <t xml:space="preserve">            pārējie izdevumi</t>
  </si>
  <si>
    <t xml:space="preserve">     aizņēmumu atmaksa</t>
  </si>
  <si>
    <t xml:space="preserve">     procentu nomaksa par iekšējiem aizņēmumiem</t>
  </si>
  <si>
    <t xml:space="preserve">     procentu nomaksa par ārvalstu aizņēmumiem</t>
  </si>
  <si>
    <t xml:space="preserve">     dotācijas iestādēm un organizācijām</t>
  </si>
  <si>
    <t>2.2.Izdevumi  kapitālieguldījumiem</t>
  </si>
  <si>
    <t xml:space="preserve">Kapitālie izdevumi  </t>
  </si>
  <si>
    <t>Investīcijas</t>
  </si>
  <si>
    <t>Fiskālā bilance (1.-2.)</t>
  </si>
  <si>
    <t>Naudas līdzekļu atlikumu izmaiņas palielinājums (-) vai samazinājums (+)</t>
  </si>
  <si>
    <t xml:space="preserve">Valsts kases pārvaldnieks                                                                      </t>
  </si>
  <si>
    <t>11.tabula</t>
  </si>
  <si>
    <t>Valsts budžeta ziedojumu un dāvinājumu izdevumi pēc valdības funkcijām</t>
  </si>
  <si>
    <t xml:space="preserve">Valdības funkciju kods </t>
  </si>
  <si>
    <t>Izpilde % pret finansēšanas plānu  (4/3)</t>
  </si>
  <si>
    <t>01.000</t>
  </si>
  <si>
    <t>02.000</t>
  </si>
  <si>
    <t>03.000</t>
  </si>
  <si>
    <t>04.000</t>
  </si>
  <si>
    <t>05.000</t>
  </si>
  <si>
    <t>06.000</t>
  </si>
  <si>
    <t>07.000</t>
  </si>
  <si>
    <t>Brīvais laiks, sports, kultūra un reliģija</t>
  </si>
  <si>
    <t>08.000</t>
  </si>
  <si>
    <t>09.000</t>
  </si>
  <si>
    <t>Lauksaimniecība (zemkopība), mežkopība un zvejniecība</t>
  </si>
  <si>
    <t>10.000</t>
  </si>
  <si>
    <t>11.000</t>
  </si>
  <si>
    <t>12.000</t>
  </si>
  <si>
    <t>13.000</t>
  </si>
  <si>
    <t>Pārējā ekonomiskā darbība un dienesti*</t>
  </si>
  <si>
    <t>Pārējie izdevumi, kas nav atspoguļoti pamatgrupās</t>
  </si>
  <si>
    <t>14.000</t>
  </si>
  <si>
    <t>Pārējie izdevumi, kas nav atspoguļoti pamatgrupās (ieskaitot tīros aizdevumus)**</t>
  </si>
  <si>
    <t>10. tabula</t>
  </si>
  <si>
    <t>12.tabula</t>
  </si>
  <si>
    <t xml:space="preserve">Ārvalstu finansu palīdzības un valsts budžeta līdzdalības maksājumi </t>
  </si>
  <si>
    <t>(latos)</t>
  </si>
  <si>
    <t>Izpilde % pret finansēša-nas plānu pārskata periodam 
  (4/3)</t>
  </si>
  <si>
    <t>Mēneša izpilde</t>
  </si>
  <si>
    <t xml:space="preserve">   1. Ārvalstu finansu palīdzība
un valsts pamatbudžeta 
līdzdalības maksājumi kopā</t>
  </si>
  <si>
    <t xml:space="preserve">     Uzturēšanas izdevumi</t>
  </si>
  <si>
    <t xml:space="preserve">     Izdevumi kapitālieguldījumiem</t>
  </si>
  <si>
    <t>Valsts pamatbudžets</t>
  </si>
  <si>
    <t xml:space="preserve">  Ārvalstu finansu palīdzība</t>
  </si>
  <si>
    <t xml:space="preserve">  Valsts pamatbudžets</t>
  </si>
  <si>
    <t xml:space="preserve">Tieslietu ministrija </t>
  </si>
  <si>
    <t>Vides aizsardzības un reģionālās 
attīstības ministrija</t>
  </si>
  <si>
    <t>Īpašu uzdevumu ministra valsts reformu lietās sekretariāts</t>
  </si>
  <si>
    <t xml:space="preserve">   2. Ārvalstu finansu palīdzība
un valsts speciālā budžeta
līdzdalības maksājumi kopā</t>
  </si>
  <si>
    <t>Valsts speciālais budžets</t>
  </si>
  <si>
    <t xml:space="preserve">  Valsts speciālais budžets</t>
  </si>
  <si>
    <t>3. Pārējā ārvalstu finansu palīdzība</t>
  </si>
  <si>
    <t>X</t>
  </si>
  <si>
    <t>13. tabula</t>
  </si>
  <si>
    <t>Pašvaldību konsolidētā budžeta izpilde  (neieskaitot ziedojumus un dāvinājumus)</t>
  </si>
  <si>
    <t>Gada plāns</t>
  </si>
  <si>
    <t>A.1. Kopējie ieņēmumi (B.1.+ C.1)</t>
  </si>
  <si>
    <t xml:space="preserve">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</si>
  <si>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</si>
  <si>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</si>
  <si>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</si>
  <si>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</si>
  <si>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</si>
  <si>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</si>
  <si>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</si>
  <si>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</si>
  <si>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</si>
  <si>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>mīnus ieņēmumi no pašvaldību īpašuma privatizācijas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</si>
  <si>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</si>
  <si>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</si>
  <si>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</si>
  <si>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</si>
  <si>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</si>
  <si>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</si>
  <si>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</si>
  <si>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</si>
  <si>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(A.3.-A.4.)</t>
  </si>
  <si>
    <t>Finansēšana: t.sk.</t>
  </si>
  <si>
    <t xml:space="preserve">                      ieņēmumi no pašvaldību īpašuma     privatizācijas</t>
  </si>
  <si>
    <t xml:space="preserve">                      aizņēmumi no Valsts kases</t>
  </si>
  <si>
    <t xml:space="preserve">                      pārējā finansēšana</t>
  </si>
  <si>
    <t xml:space="preserve"> Pašvaldību pamatbudžeta  izdevumi (bruto)</t>
  </si>
  <si>
    <t>mīnus 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</si>
  <si>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</si>
  <si>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</si>
  <si>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mīnus  savstarpējo norēķinu kārtībā veiktie maksājumi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</si>
  <si>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</si>
  <si>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</si>
  <si>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</si>
  <si>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
 (-), pārpalikums (+)</t>
  </si>
  <si>
    <t>B.4.Pašvaldību pamatbudžeta  tīrie aizdevumi</t>
  </si>
  <si>
    <t xml:space="preserve">     Pašvaldību pamatbudžeta aizdevumi</t>
  </si>
  <si>
    <t xml:space="preserve">     Pašvaldību pamatbudžeta aizdevumu atmaksas </t>
  </si>
  <si>
    <t>B.5.Pašvaldību pamatbudžeta fiskālais deficīts (-), pārpalikums (+)</t>
  </si>
  <si>
    <t>C.2. Pašvaldību speciālā budžeta  izdevumi (bruto)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</si>
  <si>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</si>
  <si>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</si>
  <si>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</si>
  <si>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</t>
  </si>
  <si>
    <t xml:space="preserve">C.4.Pašvaldību speciālā budžeta  tīrie aizdevumi </t>
  </si>
  <si>
    <t xml:space="preserve">     Pašvaldību speciālā budžeta aizdevumi </t>
  </si>
  <si>
    <t xml:space="preserve">     Pašvaldību speciālā budžeta aizdevumu atmaksas </t>
  </si>
  <si>
    <t>C.5.Pašvaldību speciālā budžeta fiskālais deficīts
(-), pārpalikums (+)</t>
  </si>
  <si>
    <t>14.tabula</t>
  </si>
  <si>
    <t xml:space="preserve">                                       Valsts kases oficiālais mēneša pārskats</t>
  </si>
  <si>
    <t>Pašvaldību pamatbudžeta ieņēmumi</t>
  </si>
  <si>
    <t>Marts</t>
  </si>
  <si>
    <t>Izpilde % pret gada plānu (3/2)</t>
  </si>
  <si>
    <t>1</t>
  </si>
  <si>
    <t>5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</si>
  <si>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</si>
  <si>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</si>
  <si>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</si>
  <si>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</t>
  </si>
  <si>
    <t xml:space="preserve">  Iedzīvotāju ienākuma nodoklis*</t>
  </si>
  <si>
    <t xml:space="preserve">   t.sk. atlikums uz gada sākumu </t>
  </si>
  <si>
    <t xml:space="preserve">  Nekustamā īpašuma nodoklis</t>
  </si>
  <si>
    <t xml:space="preserve">   t.sk. nekustamā īpašuma nodoklis par zemi</t>
  </si>
  <si>
    <t xml:space="preserve">          nekustamā īpašuma nodoklis par ēkām
          un būvēm</t>
  </si>
  <si>
    <t xml:space="preserve">  Īpašuma nodokļa maksājumi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</si>
  <si>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</si>
  <si>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</si>
  <si>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</si>
  <si>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</si>
  <si>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</si>
  <si>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</si>
  <si>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</si>
  <si>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</si>
  <si>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</si>
  <si>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</si>
  <si>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</si>
  <si>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</si>
  <si>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</si>
  <si>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</si>
  <si>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</si>
  <si>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</si>
  <si>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</si>
  <si>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Mērķdotācijas</t>
  </si>
  <si>
    <t>Valsts budžeta dotācija iedzīvotāju ienākuma nodokļa ieņēmumu prognozes neizpildes kompensācijai</t>
  </si>
  <si>
    <t>Maksājumi no pašvaldību  finansu izlīdzināšanas fonda pašvaldību budžetiem</t>
  </si>
  <si>
    <t>Iepriekšējā gada nesaņemtā dotācija</t>
  </si>
  <si>
    <t>Pērējie maksājumi</t>
  </si>
  <si>
    <t>Pārējie maksājumi</t>
  </si>
  <si>
    <t>Maksājumi no citiem budžetiem</t>
  </si>
  <si>
    <t xml:space="preserve">* no valsts pamatbudžeta saņemtā dotācija PFIF </t>
  </si>
  <si>
    <t>tūkst. latu</t>
  </si>
  <si>
    <t>15.tabula</t>
  </si>
  <si>
    <t xml:space="preserve">                                           Valsts kases oficiālais mēneša pārskats</t>
  </si>
  <si>
    <t>Pašvaldību pamatbudžeta izdevumi un tīrie aizdevumi pēc valdības funkcijām</t>
  </si>
  <si>
    <t>(2001.gada janvāris - marts)</t>
  </si>
  <si>
    <t xml:space="preserve">                               (tūkst.latu)</t>
  </si>
  <si>
    <t>2</t>
  </si>
  <si>
    <t>3</t>
  </si>
  <si>
    <t>4</t>
  </si>
  <si>
    <t xml:space="preserve">1. Izdevumi kopā (1.1. + 1.2.) </t>
  </si>
  <si>
    <t>1.1. Izdevumi pēc valdības funkcijām</t>
  </si>
  <si>
    <t>Izpildvaras un likumdošanas varas institūcijas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</si>
  <si>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</si>
  <si>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</si>
  <si>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</si>
  <si>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</si>
  <si>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</si>
  <si>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</si>
  <si>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</si>
  <si>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</si>
  <si>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</si>
  <si>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</si>
  <si>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16.tabula</t>
  </si>
  <si>
    <t xml:space="preserve">                     Valsts kases oficiālais mēneša pārskats</t>
  </si>
  <si>
    <t>Pašvaldību pamatbudžeta izdevumi pēc ekonomiskās klasifikācijas</t>
  </si>
  <si>
    <t>(2001.gada  janvāris - februāris)</t>
  </si>
  <si>
    <t xml:space="preserve">                                                             (tūkst.latu)</t>
  </si>
  <si>
    <t xml:space="preserve">Februāra mēneša  izpilde </t>
  </si>
  <si>
    <t>(2001. gada jūnijs)</t>
  </si>
  <si>
    <t>2001. gada 16. jūlijs</t>
  </si>
  <si>
    <r>
      <t xml:space="preserve">Programmas "Valsts aizsardzība, drošība un integrācija NATO" izpilde 
</t>
    </r>
    <r>
      <rPr>
        <sz val="12"/>
        <rFont val="Arial"/>
        <family val="2"/>
      </rPr>
      <t>(2001. gada janvāris - junijs)</t>
    </r>
  </si>
  <si>
    <t xml:space="preserve">Junija  mēneša izpilde </t>
  </si>
  <si>
    <t xml:space="preserve">Valsts kases pārvaldnieks                                                                     A. Veiss                                        </t>
  </si>
  <si>
    <t>Valsts kases pārvaldnieks                                                                                                                                       A. Veiss</t>
  </si>
  <si>
    <t>2.Izdevumi  kopā (2.1. +2.2.)</t>
  </si>
  <si>
    <t xml:space="preserve">  atalgojumi </t>
  </si>
  <si>
    <t xml:space="preserve">  valsts sociālāis apdrošināšanas obligātās iemaksas 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</si>
  <si>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</si>
  <si>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</si>
  <si>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</si>
  <si>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</si>
  <si>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</si>
  <si>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</si>
  <si>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</si>
  <si>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</si>
  <si>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</si>
  <si>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 xml:space="preserve">  transferti budžetu savstarpējiem maksājumiem</t>
  </si>
  <si>
    <t>Kapitālie izdevumi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</si>
  <si>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</si>
  <si>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</si>
  <si>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</si>
  <si>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17. tabula</t>
  </si>
  <si>
    <t>Pašvaldību speciālā budžeta ieņēmumi un izdevumi (ieskaitot tīros aizdevumus)</t>
  </si>
  <si>
    <t>Ieņēmumi no īpašiem mērķiem iezīmētiem līdzekļu avotiem</t>
  </si>
  <si>
    <t>Privatizācijas fonda iemaksas</t>
  </si>
  <si>
    <t>Dabas resursu nodoklis</t>
  </si>
  <si>
    <t>Autoceļu (ielu) fonds (pārskatījumi no Valsts autoceļu fonda)</t>
  </si>
  <si>
    <t>Mērķdotācijas pasažieru regulārajiem pārvadājumiem ar autobusiem (pārskaitījumi no Valsts autoceļu fonda)</t>
  </si>
  <si>
    <t>Pārējie ieņēmumi</t>
  </si>
  <si>
    <t>Izdevumi pa speciālajiem budžetiem</t>
  </si>
  <si>
    <t>Privatizācijas fonds</t>
  </si>
  <si>
    <t>Autoceļu (ielu) fonds</t>
  </si>
  <si>
    <t>Pasažieru regulārajiem pārvadājumiem</t>
  </si>
  <si>
    <t>Pārējie speciālie budžeti</t>
  </si>
  <si>
    <t>18. tabula</t>
  </si>
  <si>
    <t xml:space="preserve">                            Valsts kases oficiālais mēneša pārskats </t>
  </si>
  <si>
    <t>Pašvaldību speciālā budžeta izdevumi pēc ekonomiskās klasifikācijas</t>
  </si>
  <si>
    <t xml:space="preserve">                                  pārējie izdevumi</t>
  </si>
  <si>
    <t xml:space="preserve">  pašvaldību budžetu transferti</t>
  </si>
  <si>
    <t>19. tabula</t>
  </si>
  <si>
    <t xml:space="preserve">      Valsts kases oficiālais mēneša pārskats</t>
  </si>
  <si>
    <t xml:space="preserve">Pašvaldību pamatbudžeta izpildes rādītāji </t>
  </si>
  <si>
    <t>Pilsētas, rajona nosaukums</t>
  </si>
  <si>
    <t>Izdevumi (ieskaitot tīros aizdevumus)</t>
  </si>
  <si>
    <t>Fiskālais deficīts (-), pārpalikums (+) (5-9)</t>
  </si>
  <si>
    <t>Finansēšana                   -(5-9)</t>
  </si>
  <si>
    <t xml:space="preserve">   Iekšējā finansēšana</t>
  </si>
  <si>
    <t>Ārējā  finansēšana</t>
  </si>
  <si>
    <t xml:space="preserve">Nodokļu un nenodokļu ieņēmumi * </t>
  </si>
  <si>
    <t>Saņemtie maksājumi</t>
  </si>
  <si>
    <t>t.sk. maksājumi no PFIFa</t>
  </si>
  <si>
    <t>Ieņēmumi kopā (2+3)</t>
  </si>
  <si>
    <t xml:space="preserve">Izdevumi </t>
  </si>
  <si>
    <t>Norēķini</t>
  </si>
  <si>
    <t>t.sk. norēķini ar  PFIFu</t>
  </si>
  <si>
    <t>Izdevumi kopā (6+7)</t>
  </si>
  <si>
    <t>tai skaitā</t>
  </si>
  <si>
    <t>Budžeta līdzekļu izmaiņas (14-15)</t>
  </si>
  <si>
    <t>Līdzekļu atlikums gada sākumā</t>
  </si>
  <si>
    <t>Līdzekļu atlikums perioda beigās</t>
  </si>
  <si>
    <t>No komerc-
bankām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</si>
  <si>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</si>
  <si>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</si>
  <si>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</si>
  <si>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</si>
  <si>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</si>
  <si>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</si>
  <si>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</si>
  <si>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</si>
  <si>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</si>
  <si>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</si>
  <si>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</si>
  <si>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</si>
  <si>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</si>
  <si>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</si>
  <si>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</si>
  <si>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</si>
  <si>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</si>
  <si>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</si>
  <si>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</si>
  <si>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</si>
  <si>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</si>
  <si>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</si>
  <si>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</si>
  <si>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</si>
  <si>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</si>
  <si>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</si>
  <si>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</si>
  <si>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</si>
  <si>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</si>
  <si>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</si>
  <si>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</si>
  <si>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</si>
  <si>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</si>
  <si>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</si>
  <si>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</si>
  <si>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</si>
  <si>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</si>
  <si>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</si>
  <si>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</t>
  </si>
  <si>
    <t xml:space="preserve"> </t>
  </si>
  <si>
    <t>Valsts kase/ Pārksatu departaments</t>
  </si>
  <si>
    <t>20.tabula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</si>
</sst>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\ ##0"/>
    <numFmt numFmtId="173" formatCode="#\ ###\ ##0"/>
    <numFmt numFmtId="174" formatCode="#\ ###\ \ ##0"/>
    <numFmt numFmtId="175" formatCode="#,##0.0"/>
    <numFmt numFmtId="176" formatCode="0.0%"/>
    <numFmt numFmtId="177" formatCode="###,##0,"/>
    <numFmt numFmtId="178" formatCode="0.0"/>
    <numFmt numFmtId="179" formatCode="00.000"/>
    <numFmt numFmtId="180" formatCode="###,###,###"/>
    <numFmt numFmtId="181" formatCode="#,###%"/>
    <numFmt numFmtId="182" formatCode="###,###,##0"/>
    <numFmt numFmtId="183" formatCode="###0"/>
    <numFmt numFmtId="184" formatCode="0;[Red]0"/>
    <numFmt numFmtId="185" formatCode="#,##0.0\ _L_s"/>
  </numFmts>
  <fonts count="2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60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 horizontal="right"/>
    </xf>
    <xf numFmtId="172" fontId="7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 horizontal="center" wrapText="1"/>
    </xf>
    <xf numFmtId="172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 wrapText="1"/>
    </xf>
    <xf numFmtId="172" fontId="7" fillId="0" borderId="1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left" vertical="center"/>
    </xf>
    <xf numFmtId="172" fontId="2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wrapText="1"/>
    </xf>
    <xf numFmtId="172" fontId="2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 horizontal="left" vertical="center" wrapText="1"/>
    </xf>
    <xf numFmtId="172" fontId="8" fillId="0" borderId="1" xfId="0" applyNumberFormat="1" applyFont="1" applyBorder="1" applyAlignment="1">
      <alignment horizontal="left" wrapText="1"/>
    </xf>
    <xf numFmtId="172" fontId="0" fillId="0" borderId="1" xfId="0" applyNumberFormat="1" applyFont="1" applyBorder="1" applyAlignment="1">
      <alignment horizontal="left"/>
    </xf>
    <xf numFmtId="172" fontId="8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0" fontId="2" fillId="0" borderId="0" xfId="0" applyFont="1" applyAlignment="1">
      <alignment horizontal="left"/>
    </xf>
    <xf numFmtId="183" fontId="2" fillId="0" borderId="0" xfId="0" applyNumberFormat="1" applyFont="1" applyAlignment="1">
      <alignment horizontal="centerContinuous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18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80" fontId="2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80" fontId="2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/>
    </xf>
    <xf numFmtId="181" fontId="7" fillId="0" borderId="1" xfId="19" applyNumberFormat="1" applyFont="1" applyBorder="1" applyAlignment="1">
      <alignment/>
    </xf>
    <xf numFmtId="180" fontId="10" fillId="0" borderId="1" xfId="0" applyNumberFormat="1" applyFont="1" applyBorder="1" applyAlignment="1">
      <alignment/>
    </xf>
    <xf numFmtId="178" fontId="10" fillId="0" borderId="1" xfId="19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80" fontId="2" fillId="0" borderId="1" xfId="0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78" fontId="1" fillId="0" borderId="1" xfId="19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80" fontId="8" fillId="0" borderId="1" xfId="0" applyNumberFormat="1" applyFont="1" applyBorder="1" applyAlignment="1">
      <alignment/>
    </xf>
    <xf numFmtId="182" fontId="8" fillId="0" borderId="1" xfId="0" applyNumberFormat="1" applyFont="1" applyBorder="1" applyAlignment="1">
      <alignment/>
    </xf>
    <xf numFmtId="178" fontId="8" fillId="0" borderId="1" xfId="19" applyNumberFormat="1" applyFont="1" applyBorder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80" fontId="12" fillId="0" borderId="1" xfId="0" applyNumberFormat="1" applyFont="1" applyBorder="1" applyAlignment="1">
      <alignment/>
    </xf>
    <xf numFmtId="178" fontId="12" fillId="0" borderId="1" xfId="19" applyNumberFormat="1" applyFont="1" applyBorder="1" applyAlignment="1">
      <alignment/>
    </xf>
    <xf numFmtId="180" fontId="1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78" fontId="2" fillId="0" borderId="1" xfId="19" applyNumberFormat="1" applyFont="1" applyBorder="1" applyAlignment="1">
      <alignment/>
    </xf>
    <xf numFmtId="0" fontId="6" fillId="0" borderId="0" xfId="0" applyFont="1" applyBorder="1" applyAlignment="1">
      <alignment wrapText="1"/>
    </xf>
    <xf numFmtId="180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2" fontId="10" fillId="0" borderId="1" xfId="19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7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178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2" fontId="1" fillId="0" borderId="1" xfId="19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5" fontId="1" fillId="0" borderId="1" xfId="0" applyNumberFormat="1" applyFont="1" applyBorder="1" applyAlignment="1">
      <alignment horizontal="center"/>
    </xf>
    <xf numFmtId="178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78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wrapText="1"/>
    </xf>
    <xf numFmtId="1" fontId="10" fillId="0" borderId="1" xfId="0" applyNumberFormat="1" applyFont="1" applyBorder="1" applyAlignment="1">
      <alignment/>
    </xf>
    <xf numFmtId="178" fontId="1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178" fontId="10" fillId="0" borderId="1" xfId="19" applyNumberFormat="1" applyFont="1" applyFill="1" applyBorder="1" applyAlignment="1">
      <alignment/>
    </xf>
    <xf numFmtId="178" fontId="1" fillId="0" borderId="1" xfId="19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78" fontId="1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78" fontId="1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right" wrapText="1" shrinkToFit="1"/>
    </xf>
    <xf numFmtId="3" fontId="10" fillId="0" borderId="1" xfId="0" applyNumberFormat="1" applyFont="1" applyFill="1" applyBorder="1" applyAlignment="1">
      <alignment horizontal="right" wrapText="1" shrinkToFit="1"/>
    </xf>
    <xf numFmtId="17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2" xfId="0" applyFont="1" applyFill="1" applyBorder="1" applyAlignment="1">
      <alignment wrapText="1"/>
    </xf>
    <xf numFmtId="3" fontId="1" fillId="0" borderId="1" xfId="0" applyNumberFormat="1" applyFont="1" applyBorder="1" applyAlignment="1">
      <alignment/>
    </xf>
    <xf numFmtId="175" fontId="1" fillId="0" borderId="1" xfId="19" applyNumberFormat="1" applyFont="1" applyBorder="1" applyAlignment="1">
      <alignment horizontal="right"/>
    </xf>
    <xf numFmtId="175" fontId="1" fillId="0" borderId="1" xfId="0" applyNumberFormat="1" applyFont="1" applyBorder="1" applyAlignment="1">
      <alignment/>
    </xf>
    <xf numFmtId="0" fontId="0" fillId="0" borderId="2" xfId="0" applyFont="1" applyFill="1" applyBorder="1" applyAlignment="1">
      <alignment wrapText="1"/>
    </xf>
    <xf numFmtId="175" fontId="6" fillId="0" borderId="1" xfId="19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175" fontId="0" fillId="0" borderId="1" xfId="19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175" fontId="0" fillId="0" borderId="1" xfId="0" applyNumberFormat="1" applyFont="1" applyBorder="1" applyAlignment="1">
      <alignment/>
    </xf>
    <xf numFmtId="175" fontId="10" fillId="0" borderId="1" xfId="19" applyNumberFormat="1" applyFont="1" applyBorder="1" applyAlignment="1">
      <alignment horizontal="right"/>
    </xf>
    <xf numFmtId="175" fontId="10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10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2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175" fontId="10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178" fontId="0" fillId="0" borderId="0" xfId="19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178" fontId="6" fillId="0" borderId="1" xfId="19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75" fontId="6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9" fontId="0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178" fontId="0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/>
    </xf>
    <xf numFmtId="0" fontId="0" fillId="3" borderId="1" xfId="0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Continuous"/>
    </xf>
    <xf numFmtId="178" fontId="0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80" fontId="4" fillId="0" borderId="1" xfId="0" applyNumberFormat="1" applyFont="1" applyBorder="1" applyAlignment="1">
      <alignment horizontal="right" wrapText="1"/>
    </xf>
    <xf numFmtId="3" fontId="4" fillId="0" borderId="1" xfId="19" applyNumberFormat="1" applyFont="1" applyBorder="1" applyAlignment="1">
      <alignment/>
    </xf>
    <xf numFmtId="184" fontId="5" fillId="0" borderId="1" xfId="19" applyNumberFormat="1" applyFont="1" applyBorder="1" applyAlignment="1">
      <alignment/>
    </xf>
    <xf numFmtId="180" fontId="6" fillId="0" borderId="1" xfId="0" applyNumberFormat="1" applyFont="1" applyBorder="1" applyAlignment="1">
      <alignment horizontal="right" wrapText="1"/>
    </xf>
    <xf numFmtId="175" fontId="4" fillId="0" borderId="1" xfId="19" applyNumberFormat="1" applyFont="1" applyBorder="1" applyAlignment="1">
      <alignment/>
    </xf>
    <xf numFmtId="180" fontId="0" fillId="0" borderId="1" xfId="0" applyNumberFormat="1" applyFont="1" applyBorder="1" applyAlignment="1">
      <alignment horizontal="right" wrapText="1"/>
    </xf>
    <xf numFmtId="3" fontId="5" fillId="0" borderId="1" xfId="19" applyNumberFormat="1" applyFont="1" applyBorder="1" applyAlignment="1">
      <alignment/>
    </xf>
    <xf numFmtId="180" fontId="5" fillId="0" borderId="1" xfId="0" applyNumberFormat="1" applyFont="1" applyBorder="1" applyAlignment="1">
      <alignment horizontal="right" wrapText="1"/>
    </xf>
    <xf numFmtId="175" fontId="5" fillId="0" borderId="1" xfId="19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 horizontal="right" vertical="center" wrapText="1"/>
    </xf>
    <xf numFmtId="180" fontId="0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80" fontId="4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80" fontId="0" fillId="0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/>
    </xf>
    <xf numFmtId="172" fontId="0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180" fontId="11" fillId="0" borderId="1" xfId="0" applyNumberFormat="1" applyFont="1" applyBorder="1" applyAlignment="1">
      <alignment horizontal="center"/>
    </xf>
    <xf numFmtId="180" fontId="0" fillId="0" borderId="1" xfId="0" applyNumberFormat="1" applyFont="1" applyBorder="1" applyAlignment="1" applyProtection="1">
      <alignment horizontal="right" wrapText="1"/>
      <protection locked="0"/>
    </xf>
    <xf numFmtId="180" fontId="11" fillId="0" borderId="1" xfId="0" applyNumberFormat="1" applyFont="1" applyBorder="1" applyAlignment="1" applyProtection="1">
      <alignment horizontal="right" wrapText="1"/>
      <protection locked="0"/>
    </xf>
    <xf numFmtId="180" fontId="0" fillId="0" borderId="1" xfId="0" applyNumberFormat="1" applyFont="1" applyBorder="1" applyAlignment="1">
      <alignment horizontal="center" wrapText="1"/>
    </xf>
    <xf numFmtId="180" fontId="0" fillId="0" borderId="1" xfId="0" applyNumberFormat="1" applyFont="1" applyFill="1" applyBorder="1" applyAlignment="1">
      <alignment horizontal="center" wrapText="1"/>
    </xf>
    <xf numFmtId="180" fontId="1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80" fontId="6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center" wrapText="1"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0" fontId="6" fillId="0" borderId="1" xfId="0" applyNumberFormat="1" applyFont="1" applyBorder="1" applyAlignment="1">
      <alignment horizontal="right"/>
    </xf>
    <xf numFmtId="185" fontId="6" fillId="0" borderId="1" xfId="19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175" fontId="6" fillId="0" borderId="1" xfId="19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0" fillId="0" borderId="1" xfId="0" applyNumberFormat="1" applyFont="1" applyBorder="1" applyAlignment="1">
      <alignment horizontal="right"/>
    </xf>
    <xf numFmtId="175" fontId="0" fillId="0" borderId="1" xfId="19" applyNumberFormat="1" applyFont="1" applyBorder="1" applyAlignment="1">
      <alignment/>
    </xf>
    <xf numFmtId="2" fontId="0" fillId="0" borderId="0" xfId="0" applyNumberFormat="1" applyAlignment="1">
      <alignment/>
    </xf>
    <xf numFmtId="0" fontId="11" fillId="0" borderId="1" xfId="0" applyFont="1" applyBorder="1" applyAlignment="1">
      <alignment/>
    </xf>
    <xf numFmtId="4" fontId="0" fillId="0" borderId="0" xfId="0" applyNumberFormat="1" applyAlignment="1">
      <alignment/>
    </xf>
    <xf numFmtId="180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72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72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72" fontId="0" fillId="0" borderId="1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 horizontal="right" vertical="center" wrapText="1"/>
    </xf>
    <xf numFmtId="172" fontId="0" fillId="0" borderId="1" xfId="0" applyNumberFormat="1" applyFont="1" applyBorder="1" applyAlignment="1">
      <alignment horizontal="right"/>
    </xf>
    <xf numFmtId="172" fontId="1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/>
    </xf>
    <xf numFmtId="178" fontId="10" fillId="0" borderId="1" xfId="0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172" fontId="10" fillId="0" borderId="1" xfId="0" applyNumberFormat="1" applyFont="1" applyFill="1" applyBorder="1" applyAlignment="1">
      <alignment/>
    </xf>
    <xf numFmtId="178" fontId="10" fillId="0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78" fontId="1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178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178" fontId="6" fillId="0" borderId="1" xfId="0" applyNumberFormat="1" applyFont="1" applyBorder="1" applyAlignment="1">
      <alignment horizontal="right" wrapText="1"/>
    </xf>
    <xf numFmtId="17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178" fontId="0" fillId="0" borderId="1" xfId="0" applyNumberFormat="1" applyFont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/>
    </xf>
    <xf numFmtId="172" fontId="11" fillId="0" borderId="1" xfId="0" applyNumberFormat="1" applyFont="1" applyBorder="1" applyAlignment="1">
      <alignment horizontal="center"/>
    </xf>
    <xf numFmtId="172" fontId="11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wrapText="1"/>
    </xf>
    <xf numFmtId="3" fontId="20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right" wrapText="1"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 horizontal="centerContinuous"/>
    </xf>
    <xf numFmtId="172" fontId="11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78" fontId="2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7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178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wrapText="1"/>
    </xf>
    <xf numFmtId="172" fontId="6" fillId="0" borderId="4" xfId="0" applyNumberFormat="1" applyFont="1" applyBorder="1" applyAlignment="1">
      <alignment horizontal="right"/>
    </xf>
    <xf numFmtId="181" fontId="6" fillId="0" borderId="4" xfId="19" applyNumberFormat="1" applyFont="1" applyBorder="1" applyAlignment="1">
      <alignment/>
    </xf>
    <xf numFmtId="172" fontId="7" fillId="0" borderId="4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/>
    </xf>
    <xf numFmtId="178" fontId="6" fillId="0" borderId="1" xfId="19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81" fontId="7" fillId="0" borderId="4" xfId="19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172" fontId="1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72" fontId="7" fillId="0" borderId="1" xfId="0" applyNumberFormat="1" applyFont="1" applyBorder="1" applyAlignment="1">
      <alignment/>
    </xf>
    <xf numFmtId="178" fontId="7" fillId="0" borderId="1" xfId="19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72" fontId="2" fillId="0" borderId="1" xfId="0" applyNumberFormat="1" applyFont="1" applyBorder="1" applyAlignment="1">
      <alignment/>
    </xf>
    <xf numFmtId="181" fontId="10" fillId="0" borderId="4" xfId="19" applyNumberFormat="1" applyFont="1" applyBorder="1" applyAlignment="1">
      <alignment/>
    </xf>
    <xf numFmtId="172" fontId="10" fillId="0" borderId="0" xfId="0" applyNumberFormat="1" applyFont="1" applyAlignment="1">
      <alignment/>
    </xf>
    <xf numFmtId="0" fontId="2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172" fontId="6" fillId="0" borderId="4" xfId="0" applyNumberFormat="1" applyFont="1" applyBorder="1" applyAlignment="1">
      <alignment/>
    </xf>
    <xf numFmtId="172" fontId="6" fillId="0" borderId="4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9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72" fontId="12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left" wrapText="1"/>
    </xf>
    <xf numFmtId="172" fontId="12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wrapText="1"/>
    </xf>
    <xf numFmtId="0" fontId="21" fillId="0" borderId="5" xfId="0" applyFont="1" applyBorder="1" applyAlignment="1">
      <alignment/>
    </xf>
    <xf numFmtId="172" fontId="1" fillId="0" borderId="5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Continuous" vertical="top" wrapText="1"/>
    </xf>
    <xf numFmtId="49" fontId="6" fillId="0" borderId="0" xfId="0" applyNumberFormat="1" applyFont="1" applyAlignment="1">
      <alignment horizontal="centerContinuous" vertical="top" wrapText="1"/>
    </xf>
    <xf numFmtId="49" fontId="15" fillId="0" borderId="0" xfId="0" applyNumberFormat="1" applyFont="1" applyAlignment="1">
      <alignment horizontal="centerContinuous" vertical="top" wrapText="1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centerContinuous"/>
      <protection locked="0"/>
    </xf>
    <xf numFmtId="49" fontId="0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0" fillId="0" borderId="1" xfId="0" applyNumberFormat="1" applyFont="1" applyFill="1" applyBorder="1" applyAlignment="1">
      <alignment horizontal="centerContinuous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49" fontId="0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justify" wrapText="1"/>
    </xf>
    <xf numFmtId="3" fontId="1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Continuous" vertical="top" wrapText="1"/>
    </xf>
    <xf numFmtId="49" fontId="6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1" fillId="0" borderId="0" xfId="0" applyNumberFormat="1" applyFont="1" applyAlignment="1">
      <alignment vertical="top" wrapText="1"/>
    </xf>
    <xf numFmtId="49" fontId="21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righ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horizontal="centerContinuous"/>
    </xf>
    <xf numFmtId="49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top" wrapText="1"/>
    </xf>
    <xf numFmtId="178" fontId="10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 wrapText="1"/>
    </xf>
    <xf numFmtId="178" fontId="1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left" vertical="top" wrapText="1"/>
    </xf>
    <xf numFmtId="3" fontId="1" fillId="0" borderId="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 applyProtection="1">
      <alignment/>
      <protection locked="0"/>
    </xf>
    <xf numFmtId="3" fontId="7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77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Continuous" wrapText="1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 wrapText="1"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176" fontId="10" fillId="0" borderId="1" xfId="19" applyNumberFormat="1" applyFont="1" applyBorder="1" applyAlignment="1">
      <alignment horizontal="right"/>
    </xf>
    <xf numFmtId="9" fontId="6" fillId="0" borderId="1" xfId="19" applyNumberFormat="1" applyFon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7" xfId="0" applyFont="1" applyBorder="1" applyAlignment="1">
      <alignment wrapText="1"/>
    </xf>
    <xf numFmtId="3" fontId="1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Continuous"/>
    </xf>
    <xf numFmtId="3" fontId="1" fillId="0" borderId="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Continuous" vertical="top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/>
    </xf>
    <xf numFmtId="0" fontId="10" fillId="0" borderId="3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178" fontId="7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178" fontId="2" fillId="0" borderId="2" xfId="0" applyNumberFormat="1" applyFont="1" applyBorder="1" applyAlignment="1">
      <alignment horizontal="right"/>
    </xf>
    <xf numFmtId="172" fontId="2" fillId="0" borderId="20" xfId="0" applyNumberFormat="1" applyFont="1" applyBorder="1" applyAlignment="1">
      <alignment horizontal="right"/>
    </xf>
    <xf numFmtId="0" fontId="10" fillId="0" borderId="4" xfId="0" applyFont="1" applyBorder="1" applyAlignment="1">
      <alignment/>
    </xf>
    <xf numFmtId="10" fontId="1" fillId="0" borderId="0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0" fontId="10" fillId="0" borderId="4" xfId="0" applyFont="1" applyBorder="1" applyAlignment="1">
      <alignment horizontal="left"/>
    </xf>
    <xf numFmtId="3" fontId="1" fillId="0" borderId="0" xfId="0" applyNumberFormat="1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10" fontId="1" fillId="0" borderId="0" xfId="0" applyNumberFormat="1" applyFont="1" applyBorder="1" applyAlignment="1">
      <alignment horizontal="centerContinuous"/>
    </xf>
    <xf numFmtId="172" fontId="12" fillId="0" borderId="0" xfId="0" applyNumberFormat="1" applyFont="1" applyAlignment="1">
      <alignment horizontal="centerContinuous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175" fontId="3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right" wrapText="1"/>
    </xf>
    <xf numFmtId="172" fontId="0" fillId="0" borderId="0" xfId="0" applyNumberFormat="1" applyFont="1" applyBorder="1" applyAlignment="1">
      <alignment horizontal="right"/>
    </xf>
    <xf numFmtId="175" fontId="10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10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>
      <alignment/>
    </xf>
    <xf numFmtId="180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/>
      <protection locked="0"/>
    </xf>
    <xf numFmtId="3" fontId="0" fillId="3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/>
      <protection locked="0"/>
    </xf>
    <xf numFmtId="3" fontId="0" fillId="3" borderId="1" xfId="0" applyNumberFormat="1" applyFont="1" applyFill="1" applyBorder="1" applyAlignment="1" applyProtection="1">
      <alignment/>
      <protection locked="0"/>
    </xf>
    <xf numFmtId="3" fontId="0" fillId="3" borderId="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3" fontId="0" fillId="3" borderId="1" xfId="0" applyNumberFormat="1" applyFont="1" applyFill="1" applyBorder="1" applyAlignment="1" applyProtection="1">
      <alignment/>
      <protection locked="0"/>
    </xf>
    <xf numFmtId="2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0" fontId="0" fillId="0" borderId="1" xfId="0" applyNumberFormat="1" applyFont="1" applyFill="1" applyBorder="1" applyAlignment="1">
      <alignment horizontal="right" wrapText="1"/>
    </xf>
    <xf numFmtId="180" fontId="0" fillId="3" borderId="1" xfId="0" applyNumberFormat="1" applyFont="1" applyFill="1" applyBorder="1" applyAlignment="1" applyProtection="1">
      <alignment horizontal="right" wrapText="1"/>
      <protection locked="0"/>
    </xf>
    <xf numFmtId="172" fontId="1" fillId="0" borderId="1" xfId="0" applyNumberFormat="1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3" fontId="26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175" fontId="6" fillId="0" borderId="1" xfId="0" applyNumberFormat="1" applyFont="1" applyBorder="1" applyAlignment="1">
      <alignment/>
    </xf>
    <xf numFmtId="175" fontId="6" fillId="0" borderId="1" xfId="0" applyNumberFormat="1" applyFont="1" applyBorder="1" applyAlignment="1">
      <alignment horizontal="right"/>
    </xf>
    <xf numFmtId="175" fontId="0" fillId="0" borderId="1" xfId="0" applyNumberFormat="1" applyFont="1" applyBorder="1" applyAlignment="1">
      <alignment horizontal="right" wrapText="1"/>
    </xf>
    <xf numFmtId="175" fontId="6" fillId="0" borderId="1" xfId="19" applyNumberFormat="1" applyFont="1" applyBorder="1" applyAlignment="1">
      <alignment horizontal="right"/>
    </xf>
    <xf numFmtId="175" fontId="0" fillId="0" borderId="1" xfId="19" applyNumberFormat="1" applyFont="1" applyBorder="1" applyAlignment="1">
      <alignment horizontal="right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 wrapText="1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Continuous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Continuous" vertical="center"/>
      <protection locked="0"/>
    </xf>
    <xf numFmtId="0" fontId="2" fillId="0" borderId="1" xfId="0" applyFont="1" applyBorder="1" applyAlignment="1" applyProtection="1">
      <alignment horizontal="centerContinuous" vertical="center" wrapText="1"/>
      <protection locked="0"/>
    </xf>
    <xf numFmtId="0" fontId="0" fillId="0" borderId="1" xfId="0" applyFont="1" applyBorder="1" applyAlignment="1" applyProtection="1">
      <alignment horizontal="centerContinuous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/>
      <protection locked="0"/>
    </xf>
    <xf numFmtId="49" fontId="23" fillId="0" borderId="4" xfId="0" applyNumberFormat="1" applyFont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3" fontId="24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3" fontId="23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2" fillId="0" borderId="1" xfId="0" applyNumberFormat="1" applyFont="1" applyFill="1" applyBorder="1" applyAlignment="1" applyProtection="1">
      <alignment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0" fontId="24" fillId="0" borderId="1" xfId="0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Alignment="1" applyProtection="1">
      <alignment horizontal="centerContinuous" vertical="top" wrapText="1"/>
      <protection locked="0"/>
    </xf>
    <xf numFmtId="0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15" fillId="0" borderId="0" xfId="0" applyNumberFormat="1" applyFont="1" applyAlignment="1">
      <alignment horizontal="center"/>
    </xf>
    <xf numFmtId="178" fontId="3" fillId="0" borderId="0" xfId="0" applyNumberFormat="1" applyFont="1" applyFill="1" applyAlignment="1">
      <alignment horizontal="center"/>
    </xf>
    <xf numFmtId="2" fontId="15" fillId="0" borderId="0" xfId="0" applyNumberFormat="1" applyFont="1" applyAlignment="1" applyProtection="1">
      <alignment horizontal="center"/>
      <protection locked="0"/>
    </xf>
    <xf numFmtId="178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 wrapText="1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11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78" fontId="11" fillId="0" borderId="0" xfId="0" applyNumberFormat="1" applyFont="1" applyBorder="1" applyAlignment="1">
      <alignment horizontal="left" wrapText="1"/>
    </xf>
    <xf numFmtId="2" fontId="0" fillId="0" borderId="0" xfId="0" applyNumberFormat="1" applyFont="1" applyAlignment="1">
      <alignment horizontal="center"/>
    </xf>
    <xf numFmtId="178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top" wrapText="1"/>
    </xf>
    <xf numFmtId="0" fontId="0" fillId="0" borderId="7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49" fontId="23" fillId="0" borderId="3" xfId="0" applyNumberFormat="1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Border="1" applyAlignment="1" applyProtection="1">
      <alignment horizontal="center" vertical="center" wrapText="1"/>
      <protection locked="0"/>
    </xf>
    <xf numFmtId="49" fontId="23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" fontId="4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externalLink" Target="externalLinks/externalLink11.xml" /><Relationship Id="rId45" Type="http://schemas.openxmlformats.org/officeDocument/2006/relationships/externalLink" Target="externalLinks/externalLink12.xml" /><Relationship Id="rId46" Type="http://schemas.openxmlformats.org/officeDocument/2006/relationships/externalLink" Target="externalLinks/externalLink13.xml" /><Relationship Id="rId47" Type="http://schemas.openxmlformats.org/officeDocument/2006/relationships/externalLink" Target="externalLinks/externalLink14.xml" /><Relationship Id="rId48" Type="http://schemas.openxmlformats.org/officeDocument/2006/relationships/externalLink" Target="externalLinks/externalLink15.xml" /><Relationship Id="rId49" Type="http://schemas.openxmlformats.org/officeDocument/2006/relationships/externalLink" Target="externalLinks/externalLink16.xml" /><Relationship Id="rId50" Type="http://schemas.openxmlformats.org/officeDocument/2006/relationships/externalLink" Target="externalLinks/externalLink17.xml" /><Relationship Id="rId51" Type="http://schemas.openxmlformats.org/officeDocument/2006/relationships/externalLink" Target="externalLinks/externalLink18.xml" /><Relationship Id="rId52" Type="http://schemas.openxmlformats.org/officeDocument/2006/relationships/externalLink" Target="externalLinks/externalLink19.xml" /><Relationship Id="rId53" Type="http://schemas.openxmlformats.org/officeDocument/2006/relationships/externalLink" Target="externalLinks/externalLink20.xml" /><Relationship Id="rId54" Type="http://schemas.openxmlformats.org/officeDocument/2006/relationships/externalLink" Target="externalLinks/externalLink21.xml" /><Relationship Id="rId55" Type="http://schemas.openxmlformats.org/officeDocument/2006/relationships/externalLink" Target="externalLinks/externalLink22.xml" /><Relationship Id="rId56" Type="http://schemas.openxmlformats.org/officeDocument/2006/relationships/externalLink" Target="externalLinks/externalLink23.xml" /><Relationship Id="rId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10.ta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Darbam-spec.bu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7-SBU-EK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8-SBU-vald.f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12-arv.fin.pal.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11.tab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Pasvaldibu%20menesis\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Pasvaldibu%20menesis\2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Pasvaldibu%20menesis\17ta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Pasvaldibu%20menesis\1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Pasvaldibu%20menesis\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ziedojdav_darbam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Pasvaldibu%20menesis\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Pasvaldibu%20menesis\1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Pasvaldibu%20menesis\13-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29-NA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kopbudze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1-konsolideta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2.tabul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3.tabul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4.tabul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5.tabu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6-%20SB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febr"/>
      <sheetName val="marts"/>
      <sheetName val="aprīlis"/>
      <sheetName val="maijs"/>
      <sheetName val="jūnijs"/>
      <sheetName val="Natalija"/>
      <sheetName val="m"/>
      <sheetName val="darbam"/>
      <sheetName val="Sheet3"/>
      <sheetName val="darbamjanv"/>
      <sheetName val="Ieva"/>
    </sheetNames>
    <sheetDataSet>
      <sheetData sheetId="5">
        <row r="10">
          <cell r="C10">
            <v>1408417</v>
          </cell>
        </row>
        <row r="11">
          <cell r="C11">
            <v>228931</v>
          </cell>
        </row>
        <row r="12">
          <cell r="C12">
            <v>53595</v>
          </cell>
        </row>
        <row r="13">
          <cell r="C13">
            <v>1672904</v>
          </cell>
        </row>
        <row r="14">
          <cell r="C14">
            <v>1518352</v>
          </cell>
        </row>
        <row r="15">
          <cell r="C15">
            <v>1338678</v>
          </cell>
        </row>
        <row r="16">
          <cell r="C16">
            <v>232457</v>
          </cell>
        </row>
        <row r="17">
          <cell r="C17">
            <v>30920</v>
          </cell>
        </row>
        <row r="18">
          <cell r="C18">
            <v>1075301</v>
          </cell>
        </row>
        <row r="19">
          <cell r="C19">
            <v>880811</v>
          </cell>
        </row>
        <row r="20">
          <cell r="C20">
            <v>194490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179674</v>
          </cell>
        </row>
        <row r="26">
          <cell r="C26">
            <v>8200</v>
          </cell>
        </row>
        <row r="27">
          <cell r="C27">
            <v>300</v>
          </cell>
        </row>
        <row r="28">
          <cell r="C28">
            <v>0</v>
          </cell>
        </row>
        <row r="29">
          <cell r="C29">
            <v>68224</v>
          </cell>
        </row>
        <row r="30">
          <cell r="C30">
            <v>102950</v>
          </cell>
        </row>
        <row r="31">
          <cell r="C31">
            <v>154552</v>
          </cell>
        </row>
        <row r="32">
          <cell r="C32">
            <v>154552</v>
          </cell>
        </row>
        <row r="33">
          <cell r="C33">
            <v>0</v>
          </cell>
        </row>
        <row r="34">
          <cell r="C34">
            <v>18039</v>
          </cell>
        </row>
        <row r="35">
          <cell r="C35">
            <v>-18039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Sheet1"/>
      <sheetName val="Sheet2"/>
    </sheetNames>
    <sheetDataSet>
      <sheetData sheetId="4">
        <row r="6">
          <cell r="F6">
            <v>338692</v>
          </cell>
          <cell r="G6">
            <v>797583</v>
          </cell>
          <cell r="K6">
            <v>823441</v>
          </cell>
          <cell r="N6">
            <v>866330</v>
          </cell>
          <cell r="P6">
            <v>53550</v>
          </cell>
          <cell r="X6">
            <v>815465</v>
          </cell>
        </row>
        <row r="7">
          <cell r="X7">
            <v>16849</v>
          </cell>
        </row>
        <row r="8">
          <cell r="C8">
            <v>209253306</v>
          </cell>
          <cell r="D8">
            <v>57390169</v>
          </cell>
          <cell r="E8">
            <v>1242136</v>
          </cell>
          <cell r="F8">
            <v>66205</v>
          </cell>
          <cell r="I8">
            <v>19967714</v>
          </cell>
          <cell r="K8">
            <v>746718</v>
          </cell>
          <cell r="L8">
            <v>175049</v>
          </cell>
          <cell r="N8">
            <v>602721</v>
          </cell>
          <cell r="O8">
            <v>569846</v>
          </cell>
          <cell r="P8">
            <v>54111</v>
          </cell>
          <cell r="Q8">
            <v>731643</v>
          </cell>
          <cell r="W8">
            <v>291042</v>
          </cell>
        </row>
        <row r="15">
          <cell r="I15">
            <v>1736363</v>
          </cell>
          <cell r="N15">
            <v>200000</v>
          </cell>
          <cell r="P15">
            <v>5449</v>
          </cell>
        </row>
        <row r="30">
          <cell r="C30">
            <v>295957</v>
          </cell>
          <cell r="D30">
            <v>1053844</v>
          </cell>
          <cell r="E30">
            <v>31172</v>
          </cell>
          <cell r="F30">
            <v>1459</v>
          </cell>
          <cell r="G30">
            <v>46433</v>
          </cell>
          <cell r="I30">
            <v>5029999</v>
          </cell>
          <cell r="L30">
            <v>34390</v>
          </cell>
          <cell r="N30">
            <v>137429</v>
          </cell>
          <cell r="P30">
            <v>170</v>
          </cell>
        </row>
        <row r="31">
          <cell r="K31">
            <v>6935</v>
          </cell>
        </row>
        <row r="33">
          <cell r="O33">
            <v>3162221</v>
          </cell>
        </row>
        <row r="39">
          <cell r="C39">
            <v>12484929</v>
          </cell>
        </row>
        <row r="43">
          <cell r="C43">
            <v>182794</v>
          </cell>
          <cell r="D43">
            <v>701547</v>
          </cell>
          <cell r="I43">
            <v>5381067</v>
          </cell>
          <cell r="O43">
            <v>3251063</v>
          </cell>
          <cell r="P43">
            <v>23646</v>
          </cell>
        </row>
      </sheetData>
      <sheetData sheetId="5">
        <row r="6">
          <cell r="F6">
            <v>420668</v>
          </cell>
          <cell r="G6">
            <v>1018800</v>
          </cell>
          <cell r="K6">
            <v>1006309</v>
          </cell>
          <cell r="N6">
            <v>991160</v>
          </cell>
          <cell r="P6">
            <v>54061</v>
          </cell>
          <cell r="X6">
            <v>815465</v>
          </cell>
        </row>
        <row r="7">
          <cell r="C7">
            <v>246684241</v>
          </cell>
          <cell r="D7">
            <v>70181744</v>
          </cell>
          <cell r="E7">
            <v>1614991</v>
          </cell>
          <cell r="F7">
            <v>99524</v>
          </cell>
          <cell r="G7">
            <v>71395</v>
          </cell>
          <cell r="I7">
            <v>30546023</v>
          </cell>
          <cell r="K7">
            <v>891354</v>
          </cell>
          <cell r="L7">
            <v>265315</v>
          </cell>
          <cell r="N7">
            <v>858126</v>
          </cell>
          <cell r="O7">
            <v>589265</v>
          </cell>
          <cell r="P7">
            <v>62993</v>
          </cell>
          <cell r="Q7">
            <v>913489</v>
          </cell>
          <cell r="W7">
            <v>374348</v>
          </cell>
          <cell r="X7">
            <v>29817</v>
          </cell>
        </row>
        <row r="8">
          <cell r="C8">
            <v>246189774</v>
          </cell>
          <cell r="D8">
            <v>68893468</v>
          </cell>
          <cell r="E8">
            <v>1518218</v>
          </cell>
          <cell r="F8">
            <v>98065</v>
          </cell>
          <cell r="I8">
            <v>23977206</v>
          </cell>
          <cell r="K8">
            <v>878166</v>
          </cell>
          <cell r="L8">
            <v>212316</v>
          </cell>
          <cell r="N8">
            <v>709624</v>
          </cell>
          <cell r="O8">
            <v>588273</v>
          </cell>
          <cell r="P8">
            <v>62823</v>
          </cell>
          <cell r="Q8">
            <v>913489</v>
          </cell>
          <cell r="W8">
            <v>374348</v>
          </cell>
        </row>
        <row r="9">
          <cell r="Z9">
            <v>15612669</v>
          </cell>
        </row>
        <row r="10">
          <cell r="Z10">
            <v>669943</v>
          </cell>
        </row>
        <row r="11">
          <cell r="Z11">
            <v>170529</v>
          </cell>
        </row>
        <row r="12">
          <cell r="Z12">
            <v>12317565</v>
          </cell>
        </row>
        <row r="15">
          <cell r="I15">
            <v>1801363</v>
          </cell>
          <cell r="N15">
            <v>200000</v>
          </cell>
          <cell r="P15">
            <v>5449</v>
          </cell>
          <cell r="Z15">
            <v>2454632</v>
          </cell>
        </row>
        <row r="16">
          <cell r="Z16">
            <v>3866537</v>
          </cell>
        </row>
        <row r="17">
          <cell r="Z17">
            <v>2567200</v>
          </cell>
        </row>
        <row r="18">
          <cell r="Z18">
            <v>1299337</v>
          </cell>
        </row>
        <row r="20">
          <cell r="Z20">
            <v>2987065</v>
          </cell>
        </row>
        <row r="21">
          <cell r="Z21">
            <v>8067270</v>
          </cell>
        </row>
        <row r="23">
          <cell r="Z23">
            <v>76146977</v>
          </cell>
        </row>
        <row r="29">
          <cell r="Z29">
            <v>5011</v>
          </cell>
        </row>
        <row r="30">
          <cell r="C30">
            <v>494467</v>
          </cell>
          <cell r="D30">
            <v>1288276</v>
          </cell>
          <cell r="E30">
            <v>96773</v>
          </cell>
          <cell r="F30">
            <v>1459</v>
          </cell>
          <cell r="G30">
            <v>71395</v>
          </cell>
          <cell r="I30">
            <v>6568817</v>
          </cell>
          <cell r="L30">
            <v>52999</v>
          </cell>
          <cell r="N30">
            <v>148502</v>
          </cell>
          <cell r="P30">
            <v>170</v>
          </cell>
        </row>
        <row r="31">
          <cell r="K31">
            <v>13188</v>
          </cell>
          <cell r="Z31">
            <v>5160737</v>
          </cell>
        </row>
        <row r="32">
          <cell r="Z32">
            <v>3576301</v>
          </cell>
        </row>
        <row r="33">
          <cell r="O33">
            <v>3503854</v>
          </cell>
        </row>
        <row r="34">
          <cell r="Z34">
            <v>3624776</v>
          </cell>
        </row>
        <row r="35">
          <cell r="Z35">
            <v>-120922</v>
          </cell>
        </row>
        <row r="39">
          <cell r="C39">
            <v>11303586</v>
          </cell>
          <cell r="Z39">
            <v>11303586</v>
          </cell>
        </row>
        <row r="43">
          <cell r="C43">
            <v>199691</v>
          </cell>
          <cell r="D43">
            <v>830208</v>
          </cell>
          <cell r="I43">
            <v>6066066</v>
          </cell>
          <cell r="O43">
            <v>3622726</v>
          </cell>
          <cell r="P43">
            <v>27435</v>
          </cell>
          <cell r="Z43">
            <v>10746126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dotiedzivotaj"/>
    </sheetNames>
    <sheetDataSet>
      <sheetData sheetId="4">
        <row r="10">
          <cell r="K10">
            <v>287363</v>
          </cell>
        </row>
        <row r="11">
          <cell r="D11">
            <v>285116738</v>
          </cell>
          <cell r="K11">
            <v>285116</v>
          </cell>
        </row>
        <row r="12">
          <cell r="K12">
            <v>0</v>
          </cell>
        </row>
        <row r="13">
          <cell r="D13">
            <v>1356969</v>
          </cell>
          <cell r="K13">
            <v>1356</v>
          </cell>
        </row>
        <row r="14">
          <cell r="D14">
            <v>890937</v>
          </cell>
          <cell r="K14">
            <v>891</v>
          </cell>
        </row>
        <row r="15">
          <cell r="K15">
            <v>297746</v>
          </cell>
        </row>
        <row r="16">
          <cell r="K16">
            <v>291108</v>
          </cell>
        </row>
        <row r="17">
          <cell r="D17">
            <v>13623529</v>
          </cell>
          <cell r="K17">
            <v>13624</v>
          </cell>
        </row>
        <row r="18">
          <cell r="D18">
            <v>528820</v>
          </cell>
          <cell r="K18">
            <v>529</v>
          </cell>
        </row>
        <row r="19">
          <cell r="D19">
            <v>131544</v>
          </cell>
          <cell r="K19">
            <v>132</v>
          </cell>
        </row>
        <row r="20">
          <cell r="D20">
            <v>10482132</v>
          </cell>
          <cell r="K20">
            <v>10492</v>
          </cell>
        </row>
        <row r="21">
          <cell r="K21">
            <v>2471</v>
          </cell>
        </row>
        <row r="22">
          <cell r="D22">
            <v>3787117</v>
          </cell>
          <cell r="K22">
            <v>3787</v>
          </cell>
        </row>
        <row r="23">
          <cell r="D23">
            <v>2487780</v>
          </cell>
          <cell r="K23">
            <v>2488</v>
          </cell>
        </row>
        <row r="24">
          <cell r="D24">
            <v>1299337</v>
          </cell>
          <cell r="K24">
            <v>1299</v>
          </cell>
        </row>
        <row r="25">
          <cell r="D25">
            <v>273696863</v>
          </cell>
          <cell r="K25">
            <v>273697</v>
          </cell>
        </row>
        <row r="26">
          <cell r="D26">
            <v>2488858</v>
          </cell>
          <cell r="K26">
            <v>2489</v>
          </cell>
        </row>
        <row r="27">
          <cell r="D27">
            <v>1626805</v>
          </cell>
          <cell r="K27">
            <v>1627</v>
          </cell>
        </row>
        <row r="28">
          <cell r="D28">
            <v>6122449</v>
          </cell>
          <cell r="K28">
            <v>6122</v>
          </cell>
        </row>
        <row r="29">
          <cell r="D29">
            <v>4061492</v>
          </cell>
          <cell r="K29">
            <v>4061</v>
          </cell>
        </row>
        <row r="30">
          <cell r="D30">
            <v>2060957</v>
          </cell>
          <cell r="K30">
            <v>2061</v>
          </cell>
        </row>
        <row r="31">
          <cell r="D31">
            <v>1086663</v>
          </cell>
          <cell r="K31">
            <v>1087</v>
          </cell>
        </row>
        <row r="32">
          <cell r="D32">
            <v>974294</v>
          </cell>
          <cell r="K32">
            <v>974</v>
          </cell>
        </row>
        <row r="33">
          <cell r="D33">
            <v>0</v>
          </cell>
          <cell r="K33">
            <v>0</v>
          </cell>
        </row>
        <row r="34">
          <cell r="D34">
            <v>62630156</v>
          </cell>
          <cell r="K34">
            <v>62630</v>
          </cell>
        </row>
        <row r="35">
          <cell r="D35">
            <v>201949889</v>
          </cell>
          <cell r="K35">
            <v>201950</v>
          </cell>
        </row>
        <row r="36">
          <cell r="D36">
            <v>185700892</v>
          </cell>
          <cell r="K36">
            <v>185701</v>
          </cell>
        </row>
        <row r="37">
          <cell r="D37">
            <v>15743360</v>
          </cell>
          <cell r="K37">
            <v>15743</v>
          </cell>
        </row>
        <row r="38">
          <cell r="D38">
            <v>324665</v>
          </cell>
          <cell r="K38">
            <v>325</v>
          </cell>
        </row>
        <row r="39">
          <cell r="D39">
            <v>180972</v>
          </cell>
          <cell r="K39">
            <v>181</v>
          </cell>
        </row>
        <row r="40">
          <cell r="D40">
            <v>5011</v>
          </cell>
          <cell r="K40">
            <v>5</v>
          </cell>
        </row>
        <row r="41">
          <cell r="D41">
            <v>500500</v>
          </cell>
          <cell r="K41">
            <v>501</v>
          </cell>
        </row>
        <row r="42">
          <cell r="D42">
            <v>6637788</v>
          </cell>
          <cell r="K42">
            <v>6638</v>
          </cell>
        </row>
        <row r="43">
          <cell r="D43">
            <v>4820168</v>
          </cell>
          <cell r="K43">
            <v>4820</v>
          </cell>
        </row>
        <row r="44">
          <cell r="D44">
            <v>1817620</v>
          </cell>
          <cell r="K44">
            <v>1818</v>
          </cell>
        </row>
        <row r="45">
          <cell r="D45">
            <v>3162221</v>
          </cell>
          <cell r="K45">
            <v>3162</v>
          </cell>
        </row>
        <row r="46">
          <cell r="D46">
            <v>3250999</v>
          </cell>
          <cell r="K46">
            <v>3251</v>
          </cell>
        </row>
        <row r="47">
          <cell r="D47">
            <v>88778</v>
          </cell>
          <cell r="K47">
            <v>89</v>
          </cell>
        </row>
        <row r="48">
          <cell r="K48">
            <v>-13545</v>
          </cell>
        </row>
        <row r="49">
          <cell r="D49">
            <v>13542874</v>
          </cell>
          <cell r="K49">
            <v>13545</v>
          </cell>
        </row>
        <row r="50">
          <cell r="D50">
            <v>22025046</v>
          </cell>
          <cell r="K50">
            <v>22025</v>
          </cell>
        </row>
        <row r="51">
          <cell r="D51">
            <v>-8482172</v>
          </cell>
          <cell r="K51">
            <v>-8480</v>
          </cell>
        </row>
      </sheetData>
      <sheetData sheetId="5">
        <row r="21">
          <cell r="D21">
            <v>2443632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Sheet1"/>
      <sheetName val="Sheet3"/>
    </sheetNames>
    <sheetDataSet>
      <sheetData sheetId="4">
        <row r="9">
          <cell r="D9">
            <v>300907518</v>
          </cell>
        </row>
        <row r="10">
          <cell r="D10">
            <v>54281</v>
          </cell>
          <cell r="J10">
            <v>54</v>
          </cell>
        </row>
        <row r="11">
          <cell r="J11">
            <v>0</v>
          </cell>
        </row>
        <row r="12">
          <cell r="J12">
            <v>0</v>
          </cell>
        </row>
        <row r="13">
          <cell r="D13">
            <v>3732067</v>
          </cell>
          <cell r="J13">
            <v>3732</v>
          </cell>
        </row>
        <row r="14">
          <cell r="D14">
            <v>3162221</v>
          </cell>
          <cell r="J14">
            <v>3162</v>
          </cell>
        </row>
        <row r="15">
          <cell r="D15">
            <v>58444013</v>
          </cell>
          <cell r="J15">
            <v>58444</v>
          </cell>
        </row>
        <row r="16">
          <cell r="D16">
            <v>209549263</v>
          </cell>
          <cell r="J16">
            <v>209549</v>
          </cell>
        </row>
        <row r="17">
          <cell r="D17">
            <v>1273308</v>
          </cell>
          <cell r="J17">
            <v>1273</v>
          </cell>
        </row>
        <row r="18">
          <cell r="D18">
            <v>1471793</v>
          </cell>
          <cell r="J18">
            <v>1472</v>
          </cell>
        </row>
        <row r="19">
          <cell r="J19">
            <v>0</v>
          </cell>
        </row>
        <row r="20">
          <cell r="D20">
            <v>209439</v>
          </cell>
          <cell r="J20">
            <v>210</v>
          </cell>
        </row>
        <row r="21">
          <cell r="J21">
            <v>0</v>
          </cell>
        </row>
        <row r="22">
          <cell r="D22">
            <v>25111810</v>
          </cell>
          <cell r="J22">
            <v>25112</v>
          </cell>
        </row>
        <row r="23">
          <cell r="D23">
            <v>1061544</v>
          </cell>
          <cell r="J23">
            <v>1062</v>
          </cell>
        </row>
        <row r="24">
          <cell r="L24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</sheetNames>
    <sheetDataSet>
      <sheetData sheetId="4">
        <row r="8">
          <cell r="D8">
            <v>8048204</v>
          </cell>
          <cell r="K8">
            <v>8048</v>
          </cell>
        </row>
        <row r="9">
          <cell r="D9">
            <v>6656799</v>
          </cell>
          <cell r="K9">
            <v>6657</v>
          </cell>
        </row>
        <row r="10">
          <cell r="D10">
            <v>2672765</v>
          </cell>
          <cell r="K10">
            <v>2673</v>
          </cell>
        </row>
        <row r="11">
          <cell r="D11">
            <v>3984034</v>
          </cell>
          <cell r="K11">
            <v>3984</v>
          </cell>
        </row>
        <row r="12">
          <cell r="D12">
            <v>1391405</v>
          </cell>
          <cell r="K12">
            <v>1391</v>
          </cell>
        </row>
        <row r="13">
          <cell r="D13">
            <v>836697</v>
          </cell>
          <cell r="K13">
            <v>836</v>
          </cell>
        </row>
        <row r="14">
          <cell r="D14">
            <v>554708</v>
          </cell>
          <cell r="K14">
            <v>555</v>
          </cell>
        </row>
        <row r="15">
          <cell r="D15">
            <v>0</v>
          </cell>
          <cell r="K15">
            <v>0</v>
          </cell>
        </row>
        <row r="16">
          <cell r="D16">
            <v>0</v>
          </cell>
          <cell r="K16">
            <v>0</v>
          </cell>
        </row>
        <row r="17">
          <cell r="K17">
            <v>0</v>
          </cell>
        </row>
        <row r="18">
          <cell r="D18">
            <v>10887</v>
          </cell>
          <cell r="K18">
            <v>11</v>
          </cell>
        </row>
        <row r="19">
          <cell r="D19">
            <v>0</v>
          </cell>
          <cell r="K19">
            <v>0</v>
          </cell>
        </row>
        <row r="20">
          <cell r="K20">
            <v>0</v>
          </cell>
        </row>
        <row r="21">
          <cell r="D21">
            <v>10887</v>
          </cell>
          <cell r="K21">
            <v>11</v>
          </cell>
        </row>
        <row r="22">
          <cell r="D22">
            <v>10887</v>
          </cell>
          <cell r="K22">
            <v>11</v>
          </cell>
        </row>
        <row r="23">
          <cell r="D23">
            <v>0</v>
          </cell>
          <cell r="K23">
            <v>0</v>
          </cell>
        </row>
        <row r="24">
          <cell r="D24">
            <v>0</v>
          </cell>
          <cell r="K24">
            <v>0</v>
          </cell>
        </row>
        <row r="25">
          <cell r="K25">
            <v>0</v>
          </cell>
        </row>
        <row r="26">
          <cell r="D26">
            <v>257375</v>
          </cell>
          <cell r="K26">
            <v>257</v>
          </cell>
        </row>
        <row r="27">
          <cell r="D27">
            <v>253140</v>
          </cell>
          <cell r="K27">
            <v>253</v>
          </cell>
        </row>
        <row r="28">
          <cell r="D28">
            <v>209815</v>
          </cell>
          <cell r="K28">
            <v>210</v>
          </cell>
        </row>
        <row r="29">
          <cell r="D29">
            <v>43325</v>
          </cell>
          <cell r="K29">
            <v>43</v>
          </cell>
        </row>
        <row r="30">
          <cell r="D30">
            <v>4235</v>
          </cell>
          <cell r="K30">
            <v>4</v>
          </cell>
        </row>
        <row r="31">
          <cell r="D31">
            <v>4235</v>
          </cell>
          <cell r="K31">
            <v>4</v>
          </cell>
        </row>
        <row r="32">
          <cell r="D32">
            <v>1050076</v>
          </cell>
          <cell r="K32">
            <v>1050</v>
          </cell>
        </row>
        <row r="33">
          <cell r="D33">
            <v>849639</v>
          </cell>
          <cell r="K33">
            <v>850</v>
          </cell>
        </row>
        <row r="34">
          <cell r="D34">
            <v>257647</v>
          </cell>
          <cell r="K34">
            <v>258</v>
          </cell>
        </row>
        <row r="35">
          <cell r="D35">
            <v>591992</v>
          </cell>
          <cell r="K35">
            <v>592</v>
          </cell>
        </row>
        <row r="36">
          <cell r="D36">
            <v>200437</v>
          </cell>
          <cell r="K36">
            <v>200</v>
          </cell>
        </row>
        <row r="37">
          <cell r="D37">
            <v>2453</v>
          </cell>
          <cell r="K37">
            <v>2</v>
          </cell>
        </row>
        <row r="38">
          <cell r="D38">
            <v>197984</v>
          </cell>
          <cell r="K38">
            <v>198</v>
          </cell>
        </row>
        <row r="39">
          <cell r="D39">
            <v>231707</v>
          </cell>
          <cell r="K39">
            <v>232</v>
          </cell>
        </row>
        <row r="40">
          <cell r="D40">
            <v>231707</v>
          </cell>
          <cell r="K40">
            <v>232</v>
          </cell>
        </row>
        <row r="41">
          <cell r="D41">
            <v>47596</v>
          </cell>
          <cell r="K41">
            <v>48</v>
          </cell>
        </row>
        <row r="42">
          <cell r="D42">
            <v>184111</v>
          </cell>
          <cell r="K42">
            <v>184</v>
          </cell>
        </row>
        <row r="43">
          <cell r="D43">
            <v>0</v>
          </cell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D46">
            <v>1960832</v>
          </cell>
          <cell r="K46">
            <v>1960</v>
          </cell>
        </row>
        <row r="47">
          <cell r="D47">
            <v>1296904</v>
          </cell>
          <cell r="K47">
            <v>1296</v>
          </cell>
        </row>
        <row r="48">
          <cell r="D48">
            <v>1221510</v>
          </cell>
          <cell r="K48">
            <v>1221</v>
          </cell>
        </row>
        <row r="49">
          <cell r="D49">
            <v>75394</v>
          </cell>
          <cell r="K49">
            <v>75</v>
          </cell>
        </row>
        <row r="50">
          <cell r="D50">
            <v>663928</v>
          </cell>
          <cell r="K50">
            <v>664</v>
          </cell>
        </row>
        <row r="51">
          <cell r="D51">
            <v>663928</v>
          </cell>
          <cell r="K51">
            <v>664</v>
          </cell>
        </row>
        <row r="52">
          <cell r="D52">
            <v>596830</v>
          </cell>
          <cell r="K52">
            <v>597</v>
          </cell>
        </row>
        <row r="53">
          <cell r="D53">
            <v>464777</v>
          </cell>
          <cell r="K53">
            <v>465</v>
          </cell>
        </row>
        <row r="54">
          <cell r="D54">
            <v>44067</v>
          </cell>
          <cell r="K54">
            <v>44</v>
          </cell>
        </row>
        <row r="55">
          <cell r="D55">
            <v>420710</v>
          </cell>
          <cell r="K55">
            <v>421</v>
          </cell>
        </row>
        <row r="56">
          <cell r="D56">
            <v>132053</v>
          </cell>
          <cell r="K56">
            <v>132</v>
          </cell>
        </row>
        <row r="57">
          <cell r="K57">
            <v>0</v>
          </cell>
        </row>
        <row r="58">
          <cell r="D58">
            <v>132053</v>
          </cell>
          <cell r="K58">
            <v>132</v>
          </cell>
        </row>
        <row r="59">
          <cell r="D59">
            <v>1255880</v>
          </cell>
          <cell r="K59">
            <v>1255</v>
          </cell>
        </row>
        <row r="60">
          <cell r="D60">
            <v>1081924</v>
          </cell>
          <cell r="K60">
            <v>1081</v>
          </cell>
        </row>
        <row r="61">
          <cell r="D61">
            <v>225676</v>
          </cell>
          <cell r="K61">
            <v>225</v>
          </cell>
        </row>
        <row r="62">
          <cell r="D62">
            <v>856248</v>
          </cell>
          <cell r="K62">
            <v>856</v>
          </cell>
        </row>
        <row r="63">
          <cell r="D63">
            <v>173956</v>
          </cell>
          <cell r="K63">
            <v>174</v>
          </cell>
        </row>
        <row r="64">
          <cell r="D64">
            <v>173956</v>
          </cell>
          <cell r="K64">
            <v>174</v>
          </cell>
        </row>
        <row r="65">
          <cell r="D65">
            <v>105314</v>
          </cell>
          <cell r="K65">
            <v>106</v>
          </cell>
        </row>
        <row r="66">
          <cell r="D66">
            <v>8539</v>
          </cell>
          <cell r="K66">
            <v>9</v>
          </cell>
        </row>
        <row r="67">
          <cell r="D67">
            <v>8539</v>
          </cell>
          <cell r="K67">
            <v>9</v>
          </cell>
        </row>
        <row r="68">
          <cell r="K68">
            <v>0</v>
          </cell>
        </row>
        <row r="69">
          <cell r="D69">
            <v>96775</v>
          </cell>
          <cell r="K69">
            <v>97</v>
          </cell>
        </row>
        <row r="70">
          <cell r="D70">
            <v>80144</v>
          </cell>
          <cell r="K70">
            <v>80</v>
          </cell>
        </row>
        <row r="71">
          <cell r="D71">
            <v>16631</v>
          </cell>
          <cell r="K71">
            <v>17</v>
          </cell>
        </row>
        <row r="72">
          <cell r="D72">
            <v>482529</v>
          </cell>
          <cell r="K72">
            <v>482</v>
          </cell>
        </row>
        <row r="73">
          <cell r="D73">
            <v>442425</v>
          </cell>
          <cell r="K73">
            <v>442</v>
          </cell>
        </row>
        <row r="74">
          <cell r="D74">
            <v>85725</v>
          </cell>
          <cell r="K74">
            <v>85</v>
          </cell>
        </row>
        <row r="75">
          <cell r="D75">
            <v>356700</v>
          </cell>
          <cell r="K75">
            <v>357</v>
          </cell>
        </row>
        <row r="76">
          <cell r="D76">
            <v>40104</v>
          </cell>
          <cell r="K76">
            <v>40</v>
          </cell>
        </row>
        <row r="77">
          <cell r="D77">
            <v>12703</v>
          </cell>
          <cell r="K77">
            <v>13</v>
          </cell>
        </row>
        <row r="78">
          <cell r="D78">
            <v>27401</v>
          </cell>
          <cell r="K78">
            <v>27</v>
          </cell>
        </row>
        <row r="79">
          <cell r="D79">
            <v>1460191</v>
          </cell>
          <cell r="K79">
            <v>1461</v>
          </cell>
        </row>
        <row r="80">
          <cell r="D80">
            <v>1460191</v>
          </cell>
          <cell r="K80">
            <v>1461</v>
          </cell>
        </row>
        <row r="81">
          <cell r="D81">
            <v>4637</v>
          </cell>
          <cell r="K81">
            <v>5</v>
          </cell>
        </row>
        <row r="82">
          <cell r="D82">
            <v>1455554</v>
          </cell>
          <cell r="K82">
            <v>1456</v>
          </cell>
        </row>
        <row r="83">
          <cell r="D83">
            <v>0</v>
          </cell>
          <cell r="K83">
            <v>0</v>
          </cell>
        </row>
        <row r="84">
          <cell r="D84">
            <v>0</v>
          </cell>
        </row>
        <row r="85">
          <cell r="K85">
            <v>0</v>
          </cell>
        </row>
        <row r="86">
          <cell r="D86">
            <v>0</v>
          </cell>
          <cell r="K86">
            <v>0</v>
          </cell>
        </row>
        <row r="87">
          <cell r="D87">
            <v>0</v>
          </cell>
          <cell r="K87">
            <v>0</v>
          </cell>
        </row>
        <row r="88">
          <cell r="K88">
            <v>0</v>
          </cell>
        </row>
        <row r="89">
          <cell r="D89">
            <v>0</v>
          </cell>
          <cell r="K89">
            <v>0</v>
          </cell>
        </row>
        <row r="90">
          <cell r="K90">
            <v>0</v>
          </cell>
        </row>
        <row r="91">
          <cell r="D91">
            <v>16683</v>
          </cell>
          <cell r="K91">
            <v>17</v>
          </cell>
        </row>
        <row r="92">
          <cell r="D92">
            <v>0</v>
          </cell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D95">
            <v>16683</v>
          </cell>
          <cell r="K95">
            <v>17</v>
          </cell>
        </row>
        <row r="96">
          <cell r="D96">
            <v>10000</v>
          </cell>
          <cell r="K96">
            <v>10</v>
          </cell>
        </row>
        <row r="97">
          <cell r="D97">
            <v>6683</v>
          </cell>
          <cell r="K97">
            <v>7</v>
          </cell>
        </row>
        <row r="98">
          <cell r="D98">
            <v>507993</v>
          </cell>
          <cell r="K98">
            <v>508</v>
          </cell>
        </row>
        <row r="99">
          <cell r="D99">
            <v>455646</v>
          </cell>
          <cell r="K99">
            <v>456</v>
          </cell>
        </row>
        <row r="100">
          <cell r="D100">
            <v>455646</v>
          </cell>
          <cell r="K100">
            <v>456</v>
          </cell>
        </row>
        <row r="101">
          <cell r="K101">
            <v>0</v>
          </cell>
        </row>
        <row r="102">
          <cell r="D102">
            <v>52347</v>
          </cell>
          <cell r="K102">
            <v>52</v>
          </cell>
        </row>
        <row r="103">
          <cell r="D103">
            <v>52347</v>
          </cell>
          <cell r="K103">
            <v>52</v>
          </cell>
        </row>
        <row r="104">
          <cell r="D104">
            <v>111907</v>
          </cell>
          <cell r="K104">
            <v>112</v>
          </cell>
        </row>
        <row r="105">
          <cell r="D105">
            <v>111907</v>
          </cell>
          <cell r="K105">
            <v>112</v>
          </cell>
        </row>
        <row r="106">
          <cell r="D106">
            <v>111907</v>
          </cell>
          <cell r="K106">
            <v>112</v>
          </cell>
        </row>
        <row r="107">
          <cell r="D107">
            <v>0</v>
          </cell>
          <cell r="K107">
            <v>0</v>
          </cell>
        </row>
        <row r="108">
          <cell r="K108">
            <v>0</v>
          </cell>
        </row>
        <row r="109">
          <cell r="D109">
            <v>890936</v>
          </cell>
          <cell r="K109">
            <v>891</v>
          </cell>
        </row>
        <row r="110">
          <cell r="D110">
            <v>890936</v>
          </cell>
          <cell r="K110">
            <v>891</v>
          </cell>
        </row>
        <row r="111">
          <cell r="D111">
            <v>167698</v>
          </cell>
          <cell r="K111">
            <v>168</v>
          </cell>
        </row>
        <row r="112">
          <cell r="D112">
            <v>723238</v>
          </cell>
          <cell r="K112">
            <v>723</v>
          </cell>
        </row>
        <row r="113">
          <cell r="D113">
            <v>0</v>
          </cell>
          <cell r="K113">
            <v>0</v>
          </cell>
        </row>
        <row r="114">
          <cell r="D114">
            <v>0</v>
          </cell>
          <cell r="K114">
            <v>0</v>
          </cell>
        </row>
        <row r="115">
          <cell r="D115">
            <v>0</v>
          </cell>
          <cell r="K115">
            <v>0</v>
          </cell>
        </row>
        <row r="116">
          <cell r="D116">
            <v>890936</v>
          </cell>
          <cell r="K116">
            <v>891</v>
          </cell>
        </row>
        <row r="117">
          <cell r="D117">
            <v>890936</v>
          </cell>
          <cell r="K117">
            <v>891</v>
          </cell>
        </row>
        <row r="118">
          <cell r="D118">
            <v>167698</v>
          </cell>
          <cell r="K118">
            <v>168</v>
          </cell>
        </row>
        <row r="119">
          <cell r="D119">
            <v>723238</v>
          </cell>
          <cell r="K119">
            <v>723</v>
          </cell>
        </row>
        <row r="120">
          <cell r="D120">
            <v>0</v>
          </cell>
          <cell r="K120">
            <v>0</v>
          </cell>
        </row>
        <row r="121">
          <cell r="K121">
            <v>0</v>
          </cell>
        </row>
        <row r="122">
          <cell r="D122">
            <v>0</v>
          </cell>
          <cell r="K122">
            <v>0</v>
          </cell>
        </row>
        <row r="123">
          <cell r="D123">
            <v>0</v>
          </cell>
          <cell r="K123">
            <v>0</v>
          </cell>
        </row>
        <row r="124">
          <cell r="K124">
            <v>0</v>
          </cell>
        </row>
        <row r="125">
          <cell r="D125">
            <v>0</v>
          </cell>
          <cell r="K125">
            <v>0</v>
          </cell>
        </row>
        <row r="126">
          <cell r="K126">
            <v>0</v>
          </cell>
        </row>
        <row r="127">
          <cell r="D127">
            <v>0</v>
          </cell>
          <cell r="K127">
            <v>0</v>
          </cell>
        </row>
        <row r="128">
          <cell r="K128">
            <v>0</v>
          </cell>
        </row>
        <row r="129">
          <cell r="K129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Natalija"/>
      <sheetName val="darbam"/>
    </sheetNames>
    <sheetDataSet>
      <sheetData sheetId="4">
        <row r="10">
          <cell r="D10">
            <v>154942</v>
          </cell>
        </row>
        <row r="11">
          <cell r="D11">
            <v>14801</v>
          </cell>
        </row>
        <row r="12">
          <cell r="D12">
            <v>99585</v>
          </cell>
        </row>
        <row r="13">
          <cell r="D13">
            <v>659893</v>
          </cell>
        </row>
        <row r="14">
          <cell r="D14">
            <v>253889</v>
          </cell>
        </row>
        <row r="15">
          <cell r="D15">
            <v>8875</v>
          </cell>
        </row>
        <row r="16">
          <cell r="D16">
            <v>14258</v>
          </cell>
        </row>
        <row r="17">
          <cell r="D17">
            <v>341625</v>
          </cell>
        </row>
        <row r="19">
          <cell r="D19">
            <v>39569</v>
          </cell>
        </row>
        <row r="22">
          <cell r="D22">
            <v>31873</v>
          </cell>
        </row>
        <row r="23">
          <cell r="D23">
            <v>53595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</sheetNames>
    <sheetDataSet>
      <sheetData sheetId="4">
        <row r="9">
          <cell r="C9">
            <v>897</v>
          </cell>
        </row>
        <row r="10">
          <cell r="C10">
            <v>895</v>
          </cell>
        </row>
        <row r="11">
          <cell r="C11">
            <v>85</v>
          </cell>
        </row>
        <row r="13">
          <cell r="C13">
            <v>3</v>
          </cell>
        </row>
        <row r="14">
          <cell r="C14">
            <v>277</v>
          </cell>
        </row>
        <row r="15">
          <cell r="C15">
            <v>9</v>
          </cell>
        </row>
        <row r="16">
          <cell r="C16">
            <v>54</v>
          </cell>
        </row>
        <row r="17">
          <cell r="C17">
            <v>860</v>
          </cell>
        </row>
        <row r="18">
          <cell r="C18">
            <v>330</v>
          </cell>
        </row>
        <row r="19">
          <cell r="C19">
            <v>-9</v>
          </cell>
        </row>
        <row r="23">
          <cell r="C23">
            <v>38</v>
          </cell>
        </row>
        <row r="28">
          <cell r="C28">
            <v>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</sheetNames>
    <sheetDataSet>
      <sheetData sheetId="4">
        <row r="9">
          <cell r="C9">
            <v>2004</v>
          </cell>
        </row>
        <row r="10">
          <cell r="C10">
            <v>1551</v>
          </cell>
        </row>
        <row r="11">
          <cell r="C11">
            <v>453</v>
          </cell>
        </row>
        <row r="13">
          <cell r="C13">
            <v>1724</v>
          </cell>
        </row>
        <row r="14">
          <cell r="C14">
            <v>987</v>
          </cell>
        </row>
        <row r="15">
          <cell r="C15">
            <v>888</v>
          </cell>
        </row>
        <row r="16">
          <cell r="C16">
            <v>131</v>
          </cell>
        </row>
        <row r="17">
          <cell r="C17">
            <v>32</v>
          </cell>
        </row>
        <row r="18">
          <cell r="C18">
            <v>725</v>
          </cell>
        </row>
        <row r="19">
          <cell r="C19">
            <v>679</v>
          </cell>
        </row>
        <row r="20">
          <cell r="C20">
            <v>46</v>
          </cell>
        </row>
        <row r="25">
          <cell r="C25">
            <v>99</v>
          </cell>
        </row>
        <row r="30">
          <cell r="C30">
            <v>18</v>
          </cell>
        </row>
        <row r="31">
          <cell r="C31">
            <v>737</v>
          </cell>
        </row>
        <row r="32">
          <cell r="C32">
            <v>688</v>
          </cell>
        </row>
        <row r="33">
          <cell r="C33">
            <v>49</v>
          </cell>
        </row>
        <row r="34">
          <cell r="C34">
            <v>-827</v>
          </cell>
        </row>
        <row r="36">
          <cell r="C36">
            <v>827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</sheetNames>
    <sheetDataSet>
      <sheetData sheetId="4">
        <row r="9">
          <cell r="B9">
            <v>37601</v>
          </cell>
          <cell r="C9">
            <v>14915</v>
          </cell>
        </row>
        <row r="10">
          <cell r="B10">
            <v>9117</v>
          </cell>
          <cell r="C10">
            <v>3914</v>
          </cell>
        </row>
        <row r="11">
          <cell r="C11">
            <v>859</v>
          </cell>
        </row>
        <row r="12">
          <cell r="C12">
            <v>4235</v>
          </cell>
        </row>
        <row r="13">
          <cell r="C13">
            <v>1085</v>
          </cell>
        </row>
        <row r="14">
          <cell r="C14">
            <v>4822</v>
          </cell>
        </row>
        <row r="16">
          <cell r="C16">
            <v>2880</v>
          </cell>
        </row>
        <row r="17">
          <cell r="C17">
            <v>554</v>
          </cell>
        </row>
        <row r="18">
          <cell r="C18">
            <v>3535</v>
          </cell>
        </row>
        <row r="19">
          <cell r="C19">
            <v>1155</v>
          </cell>
        </row>
        <row r="20">
          <cell r="C20">
            <v>3648</v>
          </cell>
        </row>
      </sheetData>
      <sheetData sheetId="5">
        <row r="9">
          <cell r="C9">
            <v>18653</v>
          </cell>
        </row>
        <row r="10">
          <cell r="C10">
            <v>4750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</sheetNames>
    <sheetDataSet>
      <sheetData sheetId="4">
        <row r="10">
          <cell r="C10">
            <v>14915</v>
          </cell>
        </row>
        <row r="11">
          <cell r="C11">
            <v>12692</v>
          </cell>
        </row>
        <row r="12">
          <cell r="B12">
            <v>39415</v>
          </cell>
          <cell r="C12">
            <v>9719</v>
          </cell>
        </row>
        <row r="13">
          <cell r="C13">
            <v>6218</v>
          </cell>
        </row>
        <row r="14">
          <cell r="C14">
            <v>891</v>
          </cell>
        </row>
        <row r="15">
          <cell r="C15">
            <v>221</v>
          </cell>
        </row>
        <row r="16">
          <cell r="C16">
            <v>5106</v>
          </cell>
        </row>
        <row r="17">
          <cell r="C17">
            <v>5054</v>
          </cell>
        </row>
        <row r="18">
          <cell r="C18">
            <v>52</v>
          </cell>
        </row>
        <row r="19">
          <cell r="C19">
            <v>42</v>
          </cell>
        </row>
        <row r="20">
          <cell r="C20">
            <v>3459</v>
          </cell>
        </row>
        <row r="21">
          <cell r="C21">
            <v>105</v>
          </cell>
        </row>
        <row r="22">
          <cell r="C22">
            <v>348</v>
          </cell>
        </row>
        <row r="23">
          <cell r="C23">
            <v>46</v>
          </cell>
        </row>
        <row r="24">
          <cell r="C24">
            <v>1707</v>
          </cell>
        </row>
        <row r="25">
          <cell r="C25">
            <v>1009</v>
          </cell>
        </row>
        <row r="26">
          <cell r="C26">
            <v>244</v>
          </cell>
        </row>
        <row r="27">
          <cell r="C27">
            <v>2973</v>
          </cell>
        </row>
        <row r="28">
          <cell r="B28">
            <v>8367</v>
          </cell>
          <cell r="C28">
            <v>2183</v>
          </cell>
        </row>
        <row r="29">
          <cell r="B29">
            <v>3284</v>
          </cell>
          <cell r="C29">
            <v>790</v>
          </cell>
        </row>
        <row r="30">
          <cell r="C30">
            <v>-920</v>
          </cell>
        </row>
        <row r="31">
          <cell r="B31">
            <v>695</v>
          </cell>
          <cell r="C31">
            <v>377</v>
          </cell>
        </row>
        <row r="32">
          <cell r="B32">
            <v>2631</v>
          </cell>
          <cell r="C32">
            <v>1297</v>
          </cell>
        </row>
        <row r="33">
          <cell r="C33">
            <v>3143</v>
          </cell>
        </row>
      </sheetData>
      <sheetData sheetId="5">
        <row r="12">
          <cell r="C12">
            <v>12237</v>
          </cell>
        </row>
        <row r="28">
          <cell r="C28">
            <v>3036</v>
          </cell>
        </row>
        <row r="29">
          <cell r="C29">
            <v>738</v>
          </cell>
        </row>
        <row r="31">
          <cell r="C31">
            <v>415</v>
          </cell>
        </row>
        <row r="32">
          <cell r="C32">
            <v>2114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</sheetNames>
    <sheetDataSet>
      <sheetData sheetId="2">
        <row r="9">
          <cell r="C9">
            <v>0</v>
          </cell>
        </row>
        <row r="15">
          <cell r="C15">
            <v>0</v>
          </cell>
        </row>
      </sheetData>
      <sheetData sheetId="4">
        <row r="11">
          <cell r="G11">
            <v>243912</v>
          </cell>
        </row>
        <row r="13">
          <cell r="H13">
            <v>81618</v>
          </cell>
        </row>
        <row r="14">
          <cell r="H14">
            <v>1055</v>
          </cell>
        </row>
        <row r="15">
          <cell r="H15">
            <v>20896</v>
          </cell>
        </row>
        <row r="16">
          <cell r="H16">
            <v>11071</v>
          </cell>
        </row>
        <row r="17">
          <cell r="H17">
            <v>9825</v>
          </cell>
        </row>
        <row r="18">
          <cell r="H18">
            <v>940</v>
          </cell>
        </row>
        <row r="19">
          <cell r="H19">
            <v>516</v>
          </cell>
        </row>
        <row r="21">
          <cell r="H21">
            <v>525</v>
          </cell>
        </row>
        <row r="22">
          <cell r="G22">
            <v>17566</v>
          </cell>
        </row>
        <row r="23">
          <cell r="H23">
            <v>194</v>
          </cell>
        </row>
        <row r="24">
          <cell r="H24">
            <v>1378</v>
          </cell>
        </row>
        <row r="25">
          <cell r="H25">
            <v>91</v>
          </cell>
        </row>
        <row r="26">
          <cell r="H26">
            <v>5714</v>
          </cell>
        </row>
        <row r="27">
          <cell r="H27">
            <v>270</v>
          </cell>
        </row>
        <row r="28">
          <cell r="H28">
            <v>59</v>
          </cell>
        </row>
        <row r="29">
          <cell r="G29">
            <v>25351</v>
          </cell>
          <cell r="H29">
            <v>11360</v>
          </cell>
        </row>
        <row r="30">
          <cell r="G30">
            <v>152615</v>
          </cell>
        </row>
        <row r="31">
          <cell r="G31">
            <v>8499</v>
          </cell>
        </row>
        <row r="32">
          <cell r="H32">
            <v>2493</v>
          </cell>
        </row>
        <row r="33">
          <cell r="H33">
            <v>194</v>
          </cell>
        </row>
        <row r="34">
          <cell r="H34">
            <v>531</v>
          </cell>
        </row>
        <row r="36">
          <cell r="H36">
            <v>107</v>
          </cell>
        </row>
        <row r="37">
          <cell r="H37">
            <v>45512</v>
          </cell>
        </row>
        <row r="40">
          <cell r="H40">
            <v>14300</v>
          </cell>
        </row>
        <row r="41">
          <cell r="H41">
            <v>0</v>
          </cell>
        </row>
        <row r="42">
          <cell r="H42">
            <v>18</v>
          </cell>
        </row>
        <row r="43">
          <cell r="H43">
            <v>580</v>
          </cell>
        </row>
      </sheetData>
      <sheetData sheetId="5">
        <row r="9">
          <cell r="H9">
            <v>234487</v>
          </cell>
        </row>
        <row r="11">
          <cell r="H11">
            <v>124834</v>
          </cell>
        </row>
        <row r="22">
          <cell r="H22">
            <v>9225</v>
          </cell>
        </row>
        <row r="29">
          <cell r="H29">
            <v>13356</v>
          </cell>
        </row>
        <row r="30">
          <cell r="H30">
            <v>87072</v>
          </cell>
        </row>
        <row r="31">
          <cell r="H31">
            <v>4081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īlis"/>
      <sheetName val="maijs"/>
      <sheetName val="jūnijs"/>
      <sheetName val="Sheet3"/>
    </sheetNames>
    <sheetDataSet>
      <sheetData sheetId="2">
        <row r="16">
          <cell r="B16">
            <v>287560</v>
          </cell>
        </row>
        <row r="17">
          <cell r="B17">
            <v>39952</v>
          </cell>
        </row>
        <row r="18">
          <cell r="B18">
            <v>1244400</v>
          </cell>
        </row>
        <row r="19">
          <cell r="B19">
            <v>1021953</v>
          </cell>
        </row>
        <row r="20">
          <cell r="B20">
            <v>222447</v>
          </cell>
        </row>
        <row r="21">
          <cell r="B21">
            <v>0</v>
          </cell>
        </row>
        <row r="23">
          <cell r="B23">
            <v>0</v>
          </cell>
        </row>
        <row r="26">
          <cell r="B26">
            <v>8200</v>
          </cell>
        </row>
        <row r="27">
          <cell r="B27">
            <v>300</v>
          </cell>
        </row>
        <row r="28">
          <cell r="B28">
            <v>0</v>
          </cell>
        </row>
        <row r="29">
          <cell r="B29">
            <v>111245</v>
          </cell>
        </row>
        <row r="30">
          <cell r="B30">
            <v>122111</v>
          </cell>
        </row>
        <row r="32">
          <cell r="B32">
            <v>187921</v>
          </cell>
        </row>
        <row r="33">
          <cell r="B33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</sheetNames>
    <sheetDataSet>
      <sheetData sheetId="2">
        <row r="9">
          <cell r="C9">
            <v>0</v>
          </cell>
        </row>
        <row r="32">
          <cell r="C32">
            <v>0</v>
          </cell>
        </row>
      </sheetData>
      <sheetData sheetId="4">
        <row r="9">
          <cell r="H9">
            <v>187296</v>
          </cell>
        </row>
        <row r="11">
          <cell r="G11">
            <v>395471</v>
          </cell>
        </row>
        <row r="13">
          <cell r="H13">
            <v>63963</v>
          </cell>
        </row>
        <row r="14">
          <cell r="H14">
            <v>16043</v>
          </cell>
        </row>
        <row r="15">
          <cell r="H15">
            <v>45947</v>
          </cell>
        </row>
        <row r="16">
          <cell r="H16">
            <v>44639</v>
          </cell>
        </row>
        <row r="17">
          <cell r="H17">
            <v>1308</v>
          </cell>
        </row>
        <row r="18">
          <cell r="H18">
            <v>2102</v>
          </cell>
        </row>
        <row r="20">
          <cell r="H20">
            <v>90</v>
          </cell>
        </row>
        <row r="21">
          <cell r="H21">
            <v>2048</v>
          </cell>
        </row>
        <row r="22">
          <cell r="H22">
            <v>11202</v>
          </cell>
        </row>
        <row r="23">
          <cell r="H23">
            <v>7765</v>
          </cell>
        </row>
        <row r="24">
          <cell r="H24">
            <v>7837</v>
          </cell>
        </row>
        <row r="25">
          <cell r="H25">
            <v>3474</v>
          </cell>
        </row>
        <row r="27">
          <cell r="H27">
            <v>6066</v>
          </cell>
        </row>
        <row r="28">
          <cell r="H28">
            <v>23849</v>
          </cell>
        </row>
        <row r="30">
          <cell r="G30">
            <v>193</v>
          </cell>
          <cell r="H30">
            <v>54</v>
          </cell>
        </row>
        <row r="31">
          <cell r="G31">
            <v>817</v>
          </cell>
          <cell r="H31">
            <v>696</v>
          </cell>
        </row>
        <row r="32">
          <cell r="H32">
            <v>-2448</v>
          </cell>
        </row>
      </sheetData>
      <sheetData sheetId="5">
        <row r="11">
          <cell r="H11">
            <v>203100</v>
          </cell>
        </row>
        <row r="27">
          <cell r="H27">
            <v>7475</v>
          </cell>
        </row>
        <row r="28">
          <cell r="H28">
            <v>28358</v>
          </cell>
        </row>
        <row r="30">
          <cell r="H30">
            <v>73</v>
          </cell>
        </row>
        <row r="31">
          <cell r="H31">
            <v>777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</sheetNames>
    <sheetDataSet>
      <sheetData sheetId="4">
        <row r="11">
          <cell r="H11">
            <v>19338</v>
          </cell>
        </row>
        <row r="12">
          <cell r="H12">
            <v>54</v>
          </cell>
        </row>
        <row r="13">
          <cell r="H13">
            <v>2443</v>
          </cell>
        </row>
        <row r="14">
          <cell r="H14">
            <v>82973</v>
          </cell>
        </row>
        <row r="15">
          <cell r="H15">
            <v>2740</v>
          </cell>
        </row>
        <row r="16">
          <cell r="H16">
            <v>15716</v>
          </cell>
        </row>
        <row r="17">
          <cell r="H17">
            <v>28974</v>
          </cell>
        </row>
        <row r="18">
          <cell r="H18">
            <v>13566</v>
          </cell>
        </row>
        <row r="19">
          <cell r="H19">
            <v>246</v>
          </cell>
        </row>
        <row r="20">
          <cell r="H20">
            <v>602</v>
          </cell>
        </row>
        <row r="21">
          <cell r="H21">
            <v>15</v>
          </cell>
        </row>
        <row r="22">
          <cell r="H22">
            <v>5060</v>
          </cell>
        </row>
        <row r="23">
          <cell r="H23">
            <v>531</v>
          </cell>
        </row>
        <row r="24">
          <cell r="H24">
            <v>1684</v>
          </cell>
        </row>
        <row r="25">
          <cell r="H25">
            <v>340</v>
          </cell>
        </row>
        <row r="26">
          <cell r="H26">
            <v>10</v>
          </cell>
        </row>
        <row r="27">
          <cell r="H27">
            <v>776</v>
          </cell>
        </row>
        <row r="31">
          <cell r="H31">
            <v>2902</v>
          </cell>
        </row>
        <row r="32">
          <cell r="H32">
            <v>274</v>
          </cell>
        </row>
        <row r="33">
          <cell r="H33">
            <v>298</v>
          </cell>
        </row>
        <row r="34">
          <cell r="G34">
            <v>27208</v>
          </cell>
        </row>
        <row r="35">
          <cell r="H35">
            <v>11202</v>
          </cell>
        </row>
      </sheetData>
      <sheetData sheetId="5">
        <row r="34">
          <cell r="H34">
            <v>13447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</sheetNames>
    <sheetDataSet>
      <sheetData sheetId="4">
        <row r="11">
          <cell r="C11">
            <v>104495</v>
          </cell>
        </row>
        <row r="12">
          <cell r="C12">
            <v>7706</v>
          </cell>
        </row>
        <row r="13">
          <cell r="C13">
            <v>11360</v>
          </cell>
        </row>
        <row r="14">
          <cell r="C14">
            <v>63735</v>
          </cell>
        </row>
        <row r="15">
          <cell r="C15">
            <v>3218</v>
          </cell>
        </row>
        <row r="16">
          <cell r="C16">
            <v>11202</v>
          </cell>
        </row>
        <row r="18">
          <cell r="C18">
            <v>14915</v>
          </cell>
        </row>
        <row r="19">
          <cell r="C19">
            <v>14915</v>
          </cell>
        </row>
        <row r="20">
          <cell r="C20">
            <v>3914</v>
          </cell>
        </row>
        <row r="31">
          <cell r="C31">
            <v>3914</v>
          </cell>
        </row>
        <row r="32">
          <cell r="C32">
            <v>-959</v>
          </cell>
        </row>
        <row r="33">
          <cell r="C33">
            <v>264</v>
          </cell>
        </row>
        <row r="35">
          <cell r="C35">
            <v>14420</v>
          </cell>
        </row>
        <row r="37">
          <cell r="C37">
            <v>160471</v>
          </cell>
        </row>
        <row r="38">
          <cell r="C38">
            <v>14420</v>
          </cell>
        </row>
        <row r="40">
          <cell r="C40">
            <v>6066</v>
          </cell>
        </row>
        <row r="41">
          <cell r="C41">
            <v>23849</v>
          </cell>
        </row>
        <row r="44">
          <cell r="C44">
            <v>54</v>
          </cell>
        </row>
        <row r="45">
          <cell r="C45">
            <v>696</v>
          </cell>
        </row>
        <row r="48">
          <cell r="C48">
            <v>9719</v>
          </cell>
        </row>
        <row r="49">
          <cell r="C49">
            <v>2183</v>
          </cell>
        </row>
        <row r="50">
          <cell r="C50">
            <v>790</v>
          </cell>
        </row>
        <row r="53">
          <cell r="C53">
            <v>377</v>
          </cell>
        </row>
        <row r="54">
          <cell r="C54">
            <v>1297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</sheetNames>
    <sheetDataSet>
      <sheetData sheetId="4">
        <row r="9">
          <cell r="C9">
            <v>21563888</v>
          </cell>
          <cell r="H9">
            <v>21564</v>
          </cell>
        </row>
        <row r="10">
          <cell r="C10">
            <v>18929722</v>
          </cell>
          <cell r="H10">
            <v>18930</v>
          </cell>
        </row>
        <row r="11">
          <cell r="C11">
            <v>115960</v>
          </cell>
          <cell r="H11">
            <v>116</v>
          </cell>
        </row>
        <row r="12">
          <cell r="C12">
            <v>20762</v>
          </cell>
          <cell r="H12">
            <v>21</v>
          </cell>
        </row>
        <row r="13">
          <cell r="C13">
            <v>95198</v>
          </cell>
          <cell r="H13">
            <v>95</v>
          </cell>
        </row>
        <row r="14">
          <cell r="C14">
            <v>471602</v>
          </cell>
          <cell r="H14">
            <v>472</v>
          </cell>
        </row>
        <row r="15">
          <cell r="C15">
            <v>64631</v>
          </cell>
          <cell r="H15">
            <v>65</v>
          </cell>
        </row>
        <row r="16">
          <cell r="C16">
            <v>2246</v>
          </cell>
          <cell r="H16">
            <v>2</v>
          </cell>
        </row>
        <row r="17">
          <cell r="C17">
            <v>344725</v>
          </cell>
          <cell r="H17">
            <v>345</v>
          </cell>
        </row>
        <row r="18">
          <cell r="C18">
            <v>60000</v>
          </cell>
          <cell r="H18">
            <v>60</v>
          </cell>
        </row>
        <row r="19">
          <cell r="C19">
            <v>126045</v>
          </cell>
          <cell r="H19">
            <v>126</v>
          </cell>
        </row>
        <row r="20">
          <cell r="C20">
            <v>126045</v>
          </cell>
          <cell r="H20">
            <v>126</v>
          </cell>
        </row>
        <row r="21">
          <cell r="C21">
            <v>173956</v>
          </cell>
          <cell r="H21">
            <v>174</v>
          </cell>
        </row>
        <row r="22">
          <cell r="C22">
            <v>173956</v>
          </cell>
          <cell r="H22">
            <v>174</v>
          </cell>
        </row>
        <row r="23">
          <cell r="C23">
            <v>1291813</v>
          </cell>
          <cell r="H23">
            <v>1291</v>
          </cell>
        </row>
        <row r="24">
          <cell r="C24">
            <v>517914</v>
          </cell>
          <cell r="H24">
            <v>518</v>
          </cell>
        </row>
        <row r="25">
          <cell r="C25">
            <v>391578</v>
          </cell>
          <cell r="H25">
            <v>391</v>
          </cell>
        </row>
        <row r="26">
          <cell r="C26">
            <v>55064</v>
          </cell>
          <cell r="H26">
            <v>55</v>
          </cell>
        </row>
        <row r="27">
          <cell r="C27">
            <v>66211</v>
          </cell>
          <cell r="H27">
            <v>66</v>
          </cell>
        </row>
        <row r="28">
          <cell r="C28">
            <v>47580</v>
          </cell>
          <cell r="H28">
            <v>48</v>
          </cell>
        </row>
        <row r="29">
          <cell r="C29">
            <v>213466</v>
          </cell>
          <cell r="H29">
            <v>213</v>
          </cell>
        </row>
        <row r="30">
          <cell r="C30">
            <v>454790</v>
          </cell>
          <cell r="H30">
            <v>455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</sheetNames>
    <sheetDataSet>
      <sheetData sheetId="4">
        <row r="12">
          <cell r="D12">
            <v>743394</v>
          </cell>
        </row>
        <row r="13">
          <cell r="D13">
            <v>46991</v>
          </cell>
        </row>
        <row r="14">
          <cell r="D14">
            <v>5148</v>
          </cell>
        </row>
        <row r="15">
          <cell r="D15">
            <v>691255</v>
          </cell>
        </row>
        <row r="16">
          <cell r="D16">
            <v>771156</v>
          </cell>
        </row>
        <row r="17">
          <cell r="D17">
            <v>46991</v>
          </cell>
        </row>
        <row r="18">
          <cell r="D18">
            <v>5148</v>
          </cell>
        </row>
        <row r="19">
          <cell r="D19">
            <v>719017</v>
          </cell>
        </row>
        <row r="20">
          <cell r="D20">
            <v>-27762</v>
          </cell>
        </row>
        <row r="21">
          <cell r="D21">
            <v>-618</v>
          </cell>
        </row>
        <row r="22">
          <cell r="D22">
            <v>11375</v>
          </cell>
        </row>
        <row r="23">
          <cell r="D23">
            <v>5297</v>
          </cell>
        </row>
        <row r="24">
          <cell r="D24">
            <v>6078</v>
          </cell>
        </row>
        <row r="25">
          <cell r="D25">
            <v>12952</v>
          </cell>
        </row>
        <row r="26">
          <cell r="D26">
            <v>6256</v>
          </cell>
        </row>
        <row r="27">
          <cell r="D27">
            <v>6696</v>
          </cell>
        </row>
        <row r="28">
          <cell r="D28">
            <v>-27144</v>
          </cell>
        </row>
        <row r="29">
          <cell r="D29">
            <v>27144</v>
          </cell>
        </row>
        <row r="30">
          <cell r="D30">
            <v>33011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-959</v>
          </cell>
        </row>
        <row r="34">
          <cell r="D34">
            <v>959</v>
          </cell>
        </row>
        <row r="36">
          <cell r="D36">
            <v>-23869</v>
          </cell>
        </row>
        <row r="37">
          <cell r="D37">
            <v>-10154</v>
          </cell>
        </row>
        <row r="38">
          <cell r="D38">
            <v>9527</v>
          </cell>
        </row>
        <row r="39">
          <cell r="D39">
            <v>-5512</v>
          </cell>
        </row>
        <row r="40">
          <cell r="D40">
            <v>-17730</v>
          </cell>
        </row>
        <row r="41">
          <cell r="D41">
            <v>-33845</v>
          </cell>
        </row>
        <row r="42">
          <cell r="D42">
            <v>-100</v>
          </cell>
        </row>
        <row r="43">
          <cell r="D43">
            <v>-49682</v>
          </cell>
        </row>
        <row r="44">
          <cell r="D44">
            <v>-12722</v>
          </cell>
        </row>
        <row r="45">
          <cell r="D45">
            <v>-39</v>
          </cell>
        </row>
        <row r="46">
          <cell r="D46">
            <v>28698</v>
          </cell>
        </row>
        <row r="47">
          <cell r="D47">
            <v>90725</v>
          </cell>
        </row>
        <row r="48">
          <cell r="D48">
            <v>7662</v>
          </cell>
        </row>
        <row r="49">
          <cell r="D49">
            <v>55945</v>
          </cell>
        </row>
        <row r="50">
          <cell r="D50">
            <v>27118</v>
          </cell>
        </row>
        <row r="51">
          <cell r="D51">
            <v>-5867</v>
          </cell>
        </row>
        <row r="52">
          <cell r="D52">
            <v>-4544</v>
          </cell>
        </row>
        <row r="53">
          <cell r="D53">
            <v>-1323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</sheetNames>
    <sheetDataSet>
      <sheetData sheetId="4">
        <row r="10">
          <cell r="H10">
            <v>555822</v>
          </cell>
        </row>
        <row r="11">
          <cell r="H11">
            <v>297304</v>
          </cell>
        </row>
        <row r="12">
          <cell r="H12">
            <v>233621</v>
          </cell>
        </row>
        <row r="13">
          <cell r="H13">
            <v>46208</v>
          </cell>
        </row>
        <row r="14">
          <cell r="H14">
            <v>46208</v>
          </cell>
        </row>
        <row r="15">
          <cell r="H15">
            <v>186491</v>
          </cell>
        </row>
        <row r="16">
          <cell r="H16">
            <v>135971</v>
          </cell>
        </row>
        <row r="17">
          <cell r="H17">
            <v>44480</v>
          </cell>
        </row>
        <row r="18">
          <cell r="H18">
            <v>6040</v>
          </cell>
        </row>
        <row r="19">
          <cell r="H19">
            <v>922</v>
          </cell>
        </row>
        <row r="20">
          <cell r="H20">
            <v>28597</v>
          </cell>
        </row>
        <row r="21">
          <cell r="H21">
            <v>24510</v>
          </cell>
        </row>
        <row r="22">
          <cell r="H22">
            <v>10576</v>
          </cell>
        </row>
        <row r="23">
          <cell r="H23">
            <v>501</v>
          </cell>
        </row>
        <row r="24">
          <cell r="H24">
            <v>296803</v>
          </cell>
        </row>
        <row r="25">
          <cell r="H25">
            <v>287363</v>
          </cell>
        </row>
        <row r="26">
          <cell r="H26">
            <v>287363</v>
          </cell>
        </row>
        <row r="27">
          <cell r="H27">
            <v>196410</v>
          </cell>
        </row>
        <row r="28">
          <cell r="H28">
            <v>16561</v>
          </cell>
        </row>
        <row r="29">
          <cell r="H29">
            <v>31442</v>
          </cell>
        </row>
        <row r="30">
          <cell r="H30">
            <v>891</v>
          </cell>
        </row>
        <row r="31">
          <cell r="H31">
            <v>42059</v>
          </cell>
        </row>
        <row r="32">
          <cell r="H32">
            <v>28344</v>
          </cell>
        </row>
        <row r="33">
          <cell r="H33">
            <v>259019</v>
          </cell>
        </row>
        <row r="34">
          <cell r="H34">
            <v>579101</v>
          </cell>
        </row>
        <row r="35">
          <cell r="H35">
            <v>553844</v>
          </cell>
        </row>
        <row r="36">
          <cell r="H36">
            <v>11761</v>
          </cell>
        </row>
        <row r="37">
          <cell r="H37">
            <v>13496</v>
          </cell>
        </row>
        <row r="38">
          <cell r="H38">
            <v>-23279</v>
          </cell>
        </row>
        <row r="39">
          <cell r="H39">
            <v>812</v>
          </cell>
        </row>
        <row r="40">
          <cell r="H40">
            <v>579913</v>
          </cell>
        </row>
        <row r="41">
          <cell r="H41">
            <v>-24091</v>
          </cell>
        </row>
        <row r="43">
          <cell r="H43">
            <v>3443</v>
          </cell>
        </row>
        <row r="44">
          <cell r="H44">
            <v>305</v>
          </cell>
        </row>
        <row r="45">
          <cell r="H45">
            <v>66913</v>
          </cell>
        </row>
        <row r="46">
          <cell r="H46">
            <v>-46570</v>
          </cell>
        </row>
        <row r="47">
          <cell r="H47">
            <v>310201</v>
          </cell>
        </row>
        <row r="48">
          <cell r="H48">
            <v>28345</v>
          </cell>
        </row>
        <row r="49">
          <cell r="H49">
            <v>281856</v>
          </cell>
        </row>
        <row r="50">
          <cell r="H50">
            <v>291091</v>
          </cell>
        </row>
        <row r="51">
          <cell r="H51">
            <v>27854</v>
          </cell>
        </row>
        <row r="52">
          <cell r="H52">
            <v>263237</v>
          </cell>
        </row>
        <row r="53">
          <cell r="H53">
            <v>6941</v>
          </cell>
        </row>
        <row r="54">
          <cell r="H54">
            <v>6941</v>
          </cell>
        </row>
        <row r="55">
          <cell r="H55">
            <v>12169</v>
          </cell>
        </row>
        <row r="56">
          <cell r="H56">
            <v>491</v>
          </cell>
        </row>
        <row r="57">
          <cell r="H57">
            <v>11678</v>
          </cell>
        </row>
        <row r="58">
          <cell r="H58">
            <v>-12897</v>
          </cell>
        </row>
        <row r="59">
          <cell r="H59">
            <v>-2350</v>
          </cell>
        </row>
        <row r="60">
          <cell r="H60">
            <v>17214</v>
          </cell>
        </row>
        <row r="61">
          <cell r="H61">
            <v>19564</v>
          </cell>
        </row>
        <row r="62">
          <cell r="H62">
            <v>-2350</v>
          </cell>
        </row>
        <row r="63">
          <cell r="H63">
            <v>-30111</v>
          </cell>
        </row>
        <row r="64">
          <cell r="H64">
            <v>297746</v>
          </cell>
        </row>
        <row r="65">
          <cell r="H65">
            <v>501</v>
          </cell>
        </row>
        <row r="66">
          <cell r="H66">
            <v>297245</v>
          </cell>
        </row>
        <row r="67">
          <cell r="H67">
            <v>291108</v>
          </cell>
        </row>
        <row r="68">
          <cell r="H68">
            <v>501</v>
          </cell>
        </row>
        <row r="69">
          <cell r="H69">
            <v>290607</v>
          </cell>
        </row>
        <row r="70">
          <cell r="H70">
            <v>4820</v>
          </cell>
        </row>
        <row r="71">
          <cell r="H71">
            <v>4820</v>
          </cell>
        </row>
        <row r="72">
          <cell r="H72">
            <v>1818</v>
          </cell>
        </row>
        <row r="73">
          <cell r="H73">
            <v>1818</v>
          </cell>
        </row>
        <row r="74">
          <cell r="H74">
            <v>-10383</v>
          </cell>
        </row>
        <row r="75">
          <cell r="H75">
            <v>3162</v>
          </cell>
        </row>
        <row r="76">
          <cell r="H76">
            <v>3162</v>
          </cell>
        </row>
        <row r="77">
          <cell r="H77">
            <v>3162</v>
          </cell>
        </row>
        <row r="78">
          <cell r="H78">
            <v>-13545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ūnijs"/>
      <sheetName val="Darba tab."/>
      <sheetName val="Janvāris"/>
      <sheetName val="februāris"/>
      <sheetName val="marts"/>
      <sheetName val="aprīlis"/>
      <sheetName val="maijs"/>
    </sheetNames>
    <sheetDataSet>
      <sheetData sheetId="6">
        <row r="12">
          <cell r="D12">
            <v>46208173.39</v>
          </cell>
        </row>
        <row r="13">
          <cell r="D13">
            <v>186488957.35000002</v>
          </cell>
        </row>
        <row r="14">
          <cell r="D14">
            <v>135971055.49</v>
          </cell>
        </row>
        <row r="15">
          <cell r="D15">
            <v>44478302.96</v>
          </cell>
        </row>
        <row r="16">
          <cell r="D16">
            <v>6039598.9</v>
          </cell>
        </row>
        <row r="17">
          <cell r="D17">
            <v>922421.01</v>
          </cell>
        </row>
        <row r="18">
          <cell r="D18">
            <v>7402.84</v>
          </cell>
        </row>
        <row r="19">
          <cell r="D19">
            <v>28598459.58</v>
          </cell>
        </row>
        <row r="20">
          <cell r="D20">
            <v>1014267.22</v>
          </cell>
        </row>
        <row r="21">
          <cell r="D21">
            <v>7020596.68</v>
          </cell>
        </row>
        <row r="22">
          <cell r="D22">
            <v>6882757.4</v>
          </cell>
        </row>
        <row r="23">
          <cell r="D23">
            <v>352648.55</v>
          </cell>
        </row>
        <row r="24">
          <cell r="D24">
            <v>267230.93</v>
          </cell>
        </row>
        <row r="25">
          <cell r="D25">
            <v>3403826.06</v>
          </cell>
        </row>
        <row r="26">
          <cell r="D26">
            <v>1083523.56</v>
          </cell>
        </row>
        <row r="27">
          <cell r="D27">
            <v>2010405.29</v>
          </cell>
        </row>
        <row r="28">
          <cell r="D28">
            <v>119740</v>
          </cell>
        </row>
        <row r="29">
          <cell r="D29">
            <v>3031055.48</v>
          </cell>
        </row>
        <row r="30">
          <cell r="D30">
            <v>6626077.26</v>
          </cell>
        </row>
        <row r="31">
          <cell r="D31">
            <v>500500</v>
          </cell>
        </row>
        <row r="32">
          <cell r="D32">
            <v>3390000</v>
          </cell>
        </row>
        <row r="33">
          <cell r="D33">
            <v>96574</v>
          </cell>
        </row>
        <row r="34">
          <cell r="D34">
            <v>100000</v>
          </cell>
        </row>
        <row r="36">
          <cell r="D36">
            <v>24510287.05</v>
          </cell>
        </row>
        <row r="37">
          <cell r="D37">
            <v>24510287.05</v>
          </cell>
        </row>
        <row r="38">
          <cell r="D38">
            <v>10575789.49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</sheetNames>
    <sheetDataSet>
      <sheetData sheetId="4">
        <row r="23">
          <cell r="D23">
            <v>446773</v>
          </cell>
        </row>
        <row r="25">
          <cell r="D25">
            <v>424868.96</v>
          </cell>
        </row>
        <row r="26">
          <cell r="D26">
            <v>21728.95</v>
          </cell>
        </row>
        <row r="29">
          <cell r="D29">
            <v>2766613</v>
          </cell>
        </row>
        <row r="30">
          <cell r="D30">
            <v>141073.52</v>
          </cell>
        </row>
        <row r="32">
          <cell r="D32">
            <v>2171480.66</v>
          </cell>
        </row>
        <row r="33">
          <cell r="D33">
            <v>376301.29</v>
          </cell>
        </row>
        <row r="36">
          <cell r="D36">
            <v>1188717</v>
          </cell>
        </row>
        <row r="37">
          <cell r="D37">
            <v>98740.78</v>
          </cell>
        </row>
        <row r="40">
          <cell r="D40">
            <v>1211541.82</v>
          </cell>
        </row>
        <row r="41">
          <cell r="D41">
            <v>48569.58</v>
          </cell>
        </row>
        <row r="44">
          <cell r="D44">
            <v>19608894</v>
          </cell>
        </row>
        <row r="45">
          <cell r="D45">
            <v>704530.35</v>
          </cell>
        </row>
        <row r="47">
          <cell r="D47">
            <v>17297635.04</v>
          </cell>
        </row>
        <row r="48">
          <cell r="D48">
            <v>1632088.34</v>
          </cell>
        </row>
        <row r="51">
          <cell r="D51">
            <v>4707949</v>
          </cell>
        </row>
        <row r="52">
          <cell r="D52">
            <v>72154.69</v>
          </cell>
        </row>
        <row r="54">
          <cell r="D54">
            <v>4502680.16</v>
          </cell>
        </row>
        <row r="55">
          <cell r="D55">
            <v>139831.06</v>
          </cell>
        </row>
        <row r="58">
          <cell r="D58">
            <v>1890424</v>
          </cell>
        </row>
        <row r="59">
          <cell r="D59">
            <v>11722.22</v>
          </cell>
        </row>
        <row r="60">
          <cell r="D60">
            <v>242502.26</v>
          </cell>
        </row>
        <row r="61">
          <cell r="D61">
            <v>253139.79</v>
          </cell>
        </row>
        <row r="63">
          <cell r="D63">
            <v>2215164.39</v>
          </cell>
        </row>
        <row r="64">
          <cell r="D64">
            <v>86554.49</v>
          </cell>
        </row>
        <row r="67">
          <cell r="D67">
            <v>39654044</v>
          </cell>
        </row>
        <row r="68">
          <cell r="D68">
            <v>275646.07</v>
          </cell>
        </row>
        <row r="69">
          <cell r="D69">
            <v>1791883.47</v>
          </cell>
        </row>
        <row r="70">
          <cell r="D70">
            <v>849639.18</v>
          </cell>
        </row>
        <row r="72">
          <cell r="D72">
            <v>37895687.55</v>
          </cell>
        </row>
        <row r="73">
          <cell r="D73">
            <v>2792299.89</v>
          </cell>
        </row>
        <row r="74">
          <cell r="D74">
            <v>17213974</v>
          </cell>
        </row>
        <row r="75">
          <cell r="D75">
            <v>-15330748.719999999</v>
          </cell>
        </row>
        <row r="78">
          <cell r="D78">
            <v>30964283</v>
          </cell>
        </row>
        <row r="79">
          <cell r="D79">
            <v>2815821.82</v>
          </cell>
        </row>
        <row r="80">
          <cell r="D80">
            <v>231706.81</v>
          </cell>
        </row>
        <row r="82">
          <cell r="D82">
            <v>30258576.53</v>
          </cell>
        </row>
        <row r="83">
          <cell r="D83">
            <v>2727266.61</v>
          </cell>
        </row>
        <row r="86">
          <cell r="D86">
            <v>23399568</v>
          </cell>
        </row>
        <row r="87">
          <cell r="D87">
            <v>244781.12</v>
          </cell>
        </row>
        <row r="88">
          <cell r="D88">
            <v>8297983.11</v>
          </cell>
        </row>
        <row r="89">
          <cell r="D89">
            <v>1296903.98</v>
          </cell>
        </row>
        <row r="91">
          <cell r="D91">
            <v>27723820.78</v>
          </cell>
        </row>
        <row r="92">
          <cell r="D92">
            <v>1268703.44</v>
          </cell>
        </row>
        <row r="95">
          <cell r="D95">
            <v>21105676</v>
          </cell>
        </row>
        <row r="96">
          <cell r="D96">
            <v>3235467.01</v>
          </cell>
        </row>
        <row r="97">
          <cell r="D97">
            <v>464777.25</v>
          </cell>
        </row>
        <row r="99">
          <cell r="D99">
            <v>20992863.12</v>
          </cell>
        </row>
        <row r="100">
          <cell r="D100">
            <v>1766540.06</v>
          </cell>
        </row>
        <row r="103">
          <cell r="D103">
            <v>3413469</v>
          </cell>
        </row>
        <row r="104">
          <cell r="D104">
            <v>4610.98</v>
          </cell>
        </row>
        <row r="105">
          <cell r="D105">
            <v>1081923.88</v>
          </cell>
        </row>
        <row r="107">
          <cell r="D107">
            <v>3026472.08</v>
          </cell>
        </row>
        <row r="108">
          <cell r="D108">
            <v>1047986.32</v>
          </cell>
        </row>
        <row r="111">
          <cell r="D111">
            <v>65432834</v>
          </cell>
        </row>
        <row r="113">
          <cell r="D113">
            <v>1770405.07</v>
          </cell>
        </row>
        <row r="114">
          <cell r="D114">
            <v>8538.69</v>
          </cell>
        </row>
        <row r="116">
          <cell r="D116">
            <v>65621575.34</v>
          </cell>
        </row>
        <row r="117">
          <cell r="D117">
            <v>1084970.64</v>
          </cell>
        </row>
        <row r="120">
          <cell r="D120">
            <v>10377047</v>
          </cell>
        </row>
        <row r="121">
          <cell r="D121">
            <v>344871.59</v>
          </cell>
        </row>
        <row r="122">
          <cell r="D122">
            <v>442424.84</v>
          </cell>
        </row>
        <row r="124">
          <cell r="D124">
            <v>9441698.37</v>
          </cell>
        </row>
        <row r="125">
          <cell r="D125">
            <v>1537466.87</v>
          </cell>
        </row>
        <row r="128">
          <cell r="D128">
            <v>2875561</v>
          </cell>
        </row>
        <row r="129">
          <cell r="D129">
            <v>530800.68</v>
          </cell>
        </row>
        <row r="130">
          <cell r="D130">
            <v>1460191.63</v>
          </cell>
        </row>
        <row r="132">
          <cell r="D132">
            <v>2692400.69</v>
          </cell>
        </row>
        <row r="133">
          <cell r="D133">
            <v>1769301.3</v>
          </cell>
        </row>
        <row r="136">
          <cell r="D136">
            <v>7358140</v>
          </cell>
        </row>
        <row r="137">
          <cell r="D137">
            <v>1087977.49</v>
          </cell>
        </row>
        <row r="140">
          <cell r="D140">
            <v>7769728.83</v>
          </cell>
        </row>
        <row r="141">
          <cell r="D141">
            <v>229969.44</v>
          </cell>
        </row>
        <row r="144">
          <cell r="D144">
            <v>2194933</v>
          </cell>
        </row>
        <row r="145">
          <cell r="D145">
            <v>3358482.78</v>
          </cell>
        </row>
        <row r="147">
          <cell r="D147">
            <v>5153744.91</v>
          </cell>
        </row>
        <row r="148">
          <cell r="D148">
            <v>211911.78</v>
          </cell>
        </row>
        <row r="151">
          <cell r="D151">
            <v>464507</v>
          </cell>
        </row>
        <row r="152">
          <cell r="D152">
            <v>231</v>
          </cell>
        </row>
        <row r="155">
          <cell r="D155">
            <v>454512.48</v>
          </cell>
        </row>
        <row r="156">
          <cell r="D156">
            <v>6682.82</v>
          </cell>
        </row>
        <row r="159">
          <cell r="D159">
            <v>287706</v>
          </cell>
        </row>
        <row r="162">
          <cell r="D162">
            <v>287689.53</v>
          </cell>
        </row>
        <row r="165">
          <cell r="D165">
            <v>123477</v>
          </cell>
        </row>
        <row r="166">
          <cell r="D166">
            <v>1595.38</v>
          </cell>
        </row>
        <row r="168">
          <cell r="D168">
            <v>121413</v>
          </cell>
        </row>
        <row r="169">
          <cell r="D169">
            <v>947.6</v>
          </cell>
        </row>
        <row r="172">
          <cell r="D172">
            <v>2537092</v>
          </cell>
        </row>
        <row r="173">
          <cell r="D173">
            <v>8750.3</v>
          </cell>
        </row>
        <row r="175">
          <cell r="D175">
            <v>2500849.56</v>
          </cell>
        </row>
        <row r="176">
          <cell r="D176">
            <v>9252.41</v>
          </cell>
        </row>
        <row r="179">
          <cell r="D179">
            <v>165119</v>
          </cell>
        </row>
        <row r="181">
          <cell r="D181">
            <v>125637.96</v>
          </cell>
        </row>
        <row r="182">
          <cell r="D182">
            <v>13557.23</v>
          </cell>
        </row>
        <row r="185">
          <cell r="D185">
            <v>20453</v>
          </cell>
        </row>
        <row r="187">
          <cell r="D187">
            <v>17784.69</v>
          </cell>
        </row>
        <row r="190">
          <cell r="D190">
            <v>1007117</v>
          </cell>
        </row>
        <row r="192">
          <cell r="D192">
            <v>454790</v>
          </cell>
        </row>
        <row r="195">
          <cell r="D195">
            <v>2822466</v>
          </cell>
        </row>
        <row r="196">
          <cell r="D196">
            <v>2170</v>
          </cell>
        </row>
        <row r="198">
          <cell r="D198">
            <v>2728955.79</v>
          </cell>
        </row>
        <row r="199">
          <cell r="D199">
            <v>65811.51</v>
          </cell>
        </row>
        <row r="202">
          <cell r="D202">
            <v>40079</v>
          </cell>
        </row>
        <row r="204">
          <cell r="D204">
            <v>40079</v>
          </cell>
        </row>
        <row r="207">
          <cell r="D207">
            <v>254358</v>
          </cell>
        </row>
        <row r="209">
          <cell r="D209">
            <v>455645.95</v>
          </cell>
        </row>
        <row r="211">
          <cell r="D211">
            <v>657962.53</v>
          </cell>
        </row>
        <row r="215">
          <cell r="D215">
            <v>568979</v>
          </cell>
        </row>
        <row r="216">
          <cell r="D216">
            <v>193.34</v>
          </cell>
        </row>
        <row r="217">
          <cell r="D217">
            <v>111906.65</v>
          </cell>
        </row>
        <row r="219">
          <cell r="D219">
            <v>462616.69</v>
          </cell>
        </row>
        <row r="220">
          <cell r="D220">
            <v>120802.8</v>
          </cell>
        </row>
        <row r="230">
          <cell r="D230">
            <v>45542207</v>
          </cell>
        </row>
        <row r="232">
          <cell r="D232">
            <v>41617694</v>
          </cell>
        </row>
        <row r="233">
          <cell r="D233">
            <v>2151630.43</v>
          </cell>
        </row>
        <row r="236">
          <cell r="D236">
            <v>3315292</v>
          </cell>
        </row>
        <row r="238">
          <cell r="D238">
            <v>3220596.09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Janvāris"/>
      <sheetName val="februāris"/>
      <sheetName val="sadaletab"/>
      <sheetName val="sadale"/>
      <sheetName val="dotspec"/>
      <sheetName val="jūnijs"/>
      <sheetName val="aizd_atm"/>
      <sheetName val="marts"/>
      <sheetName val="aprīlis"/>
      <sheetName val="maijs"/>
    </sheetNames>
    <sheetDataSet>
      <sheetData sheetId="9">
        <row r="12">
          <cell r="D12">
            <v>294533777</v>
          </cell>
        </row>
        <row r="13">
          <cell r="D13">
            <v>532149.41</v>
          </cell>
        </row>
        <row r="14">
          <cell r="D14">
            <v>24510287.05</v>
          </cell>
        </row>
        <row r="15">
          <cell r="D15">
            <v>6656799</v>
          </cell>
        </row>
        <row r="16">
          <cell r="D16">
            <v>310200694.26</v>
          </cell>
        </row>
        <row r="17">
          <cell r="D17">
            <v>291090519.55</v>
          </cell>
        </row>
        <row r="18">
          <cell r="D18">
            <v>141028639.12</v>
          </cell>
        </row>
        <row r="19">
          <cell r="D19">
            <v>64982030.01</v>
          </cell>
        </row>
        <row r="20">
          <cell r="D20">
            <v>16434043.53</v>
          </cell>
        </row>
        <row r="21">
          <cell r="D21">
            <v>59612565.58</v>
          </cell>
        </row>
        <row r="22">
          <cell r="D22">
            <v>21320774.2</v>
          </cell>
        </row>
        <row r="23">
          <cell r="D23">
            <v>8631195.6</v>
          </cell>
        </row>
        <row r="24">
          <cell r="D24">
            <v>12609731.6</v>
          </cell>
        </row>
        <row r="25">
          <cell r="D25">
            <v>79847</v>
          </cell>
        </row>
        <row r="26">
          <cell r="D26">
            <v>128741106.23</v>
          </cell>
        </row>
        <row r="27">
          <cell r="D27">
            <v>9381403.93</v>
          </cell>
        </row>
        <row r="28">
          <cell r="D28">
            <v>41627694</v>
          </cell>
        </row>
        <row r="29">
          <cell r="D29">
            <v>3173918</v>
          </cell>
        </row>
        <row r="30">
          <cell r="D30">
            <v>11489620.39</v>
          </cell>
        </row>
        <row r="32">
          <cell r="D32">
            <v>31842321.24</v>
          </cell>
        </row>
        <row r="33">
          <cell r="D33">
            <v>788046.87</v>
          </cell>
        </row>
        <row r="34">
          <cell r="D34">
            <v>23296065.54</v>
          </cell>
        </row>
        <row r="35">
          <cell r="D35">
            <v>3044020.45</v>
          </cell>
        </row>
        <row r="36">
          <cell r="D36">
            <v>4714188.38</v>
          </cell>
        </row>
        <row r="37">
          <cell r="D37">
            <v>3372254.67</v>
          </cell>
        </row>
        <row r="38">
          <cell r="D38">
            <v>27853894</v>
          </cell>
        </row>
        <row r="39">
          <cell r="D39">
            <v>27853894</v>
          </cell>
        </row>
        <row r="41">
          <cell r="D41">
            <v>19110174.71</v>
          </cell>
        </row>
        <row r="42">
          <cell r="D42">
            <v>6940817</v>
          </cell>
        </row>
        <row r="43">
          <cell r="D43">
            <v>12169357.71</v>
          </cell>
        </row>
        <row r="44">
          <cell r="D44">
            <v>490680</v>
          </cell>
        </row>
        <row r="45">
          <cell r="D45">
            <v>2151630.43</v>
          </cell>
        </row>
        <row r="46">
          <cell r="D46">
            <v>17213974</v>
          </cell>
        </row>
        <row r="47">
          <cell r="D47">
            <v>30067960</v>
          </cell>
        </row>
        <row r="48">
          <cell r="D48">
            <v>22375046</v>
          </cell>
        </row>
        <row r="49">
          <cell r="D49">
            <v>12853986</v>
          </cell>
        </row>
        <row r="50">
          <cell r="D50">
            <v>2811224</v>
          </cell>
        </row>
        <row r="51">
          <cell r="D51">
            <v>-30110580</v>
          </cell>
        </row>
        <row r="52">
          <cell r="D52">
            <v>30110580</v>
          </cell>
        </row>
        <row r="53">
          <cell r="D53">
            <v>3443000</v>
          </cell>
        </row>
        <row r="54">
          <cell r="D54">
            <v>304893.67</v>
          </cell>
        </row>
        <row r="55">
          <cell r="D55">
            <v>26362686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aldfunkc"/>
      <sheetName val="janvāris"/>
      <sheetName val="februāris"/>
      <sheetName val="marts"/>
      <sheetName val="aprīlis"/>
      <sheetName val="jūnijs"/>
      <sheetName val="maijs"/>
    </sheetNames>
    <sheetDataSet>
      <sheetData sheetId="6">
        <row r="11">
          <cell r="D11">
            <v>31758075.07</v>
          </cell>
        </row>
        <row r="12">
          <cell r="D12">
            <v>18782922.97</v>
          </cell>
        </row>
        <row r="13">
          <cell r="D13">
            <v>43515834.06</v>
          </cell>
        </row>
        <row r="14">
          <cell r="D14">
            <v>36174191.71</v>
          </cell>
        </row>
        <row r="15">
          <cell r="D15">
            <v>29503936.55</v>
          </cell>
        </row>
        <row r="16">
          <cell r="D16">
            <v>34010561.68</v>
          </cell>
        </row>
        <row r="17">
          <cell r="D17">
            <v>3273468.29</v>
          </cell>
        </row>
        <row r="18">
          <cell r="D18">
            <v>9483363.65</v>
          </cell>
        </row>
        <row r="19">
          <cell r="D19">
            <v>73320.79</v>
          </cell>
        </row>
        <row r="20">
          <cell r="D20">
            <v>23848713.33</v>
          </cell>
        </row>
        <row r="21">
          <cell r="D21">
            <v>327065.42</v>
          </cell>
        </row>
        <row r="22">
          <cell r="D22">
            <v>4132959.16</v>
          </cell>
        </row>
        <row r="23">
          <cell r="D23">
            <v>6766055.08</v>
          </cell>
        </row>
        <row r="24">
          <cell r="D24">
            <v>85764200.65</v>
          </cell>
        </row>
        <row r="25">
          <cell r="D25">
            <v>17213974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</sheetNames>
    <sheetDataSet>
      <sheetData sheetId="4">
        <row r="10">
          <cell r="J10">
            <v>287363</v>
          </cell>
        </row>
        <row r="11">
          <cell r="J11">
            <v>297746</v>
          </cell>
        </row>
        <row r="12">
          <cell r="J12">
            <v>291108</v>
          </cell>
        </row>
        <row r="13">
          <cell r="J13">
            <v>2481</v>
          </cell>
        </row>
        <row r="14">
          <cell r="J14">
            <v>6638</v>
          </cell>
        </row>
        <row r="15">
          <cell r="J15">
            <v>3162</v>
          </cell>
        </row>
        <row r="16">
          <cell r="J16">
            <v>-13545</v>
          </cell>
        </row>
        <row r="17">
          <cell r="J17">
            <v>22025</v>
          </cell>
        </row>
        <row r="20">
          <cell r="D20">
            <v>823441</v>
          </cell>
          <cell r="J20">
            <v>823</v>
          </cell>
        </row>
        <row r="21">
          <cell r="D21">
            <v>823441</v>
          </cell>
          <cell r="J21">
            <v>823</v>
          </cell>
        </row>
        <row r="22">
          <cell r="D22">
            <v>753653</v>
          </cell>
          <cell r="J22">
            <v>754</v>
          </cell>
        </row>
        <row r="23">
          <cell r="D23">
            <v>746718</v>
          </cell>
          <cell r="J23">
            <v>747</v>
          </cell>
        </row>
        <row r="25">
          <cell r="D25">
            <v>6935</v>
          </cell>
          <cell r="J25">
            <v>7</v>
          </cell>
        </row>
        <row r="28">
          <cell r="D28">
            <v>1144965</v>
          </cell>
          <cell r="J28">
            <v>1145</v>
          </cell>
        </row>
        <row r="29">
          <cell r="D29">
            <v>888964</v>
          </cell>
          <cell r="J29">
            <v>889</v>
          </cell>
        </row>
        <row r="30">
          <cell r="D30">
            <v>643089</v>
          </cell>
          <cell r="J30">
            <v>643</v>
          </cell>
        </row>
        <row r="31">
          <cell r="D31">
            <v>104225</v>
          </cell>
          <cell r="J31">
            <v>104</v>
          </cell>
        </row>
        <row r="32">
          <cell r="D32">
            <v>62970</v>
          </cell>
          <cell r="J32">
            <v>63</v>
          </cell>
        </row>
        <row r="33">
          <cell r="D33">
            <v>78680</v>
          </cell>
          <cell r="J33">
            <v>79</v>
          </cell>
        </row>
        <row r="34">
          <cell r="J34">
            <v>0</v>
          </cell>
        </row>
        <row r="35">
          <cell r="D35">
            <v>86433</v>
          </cell>
          <cell r="J35">
            <v>86</v>
          </cell>
        </row>
        <row r="36">
          <cell r="D36">
            <v>169568</v>
          </cell>
          <cell r="J36">
            <v>170</v>
          </cell>
        </row>
        <row r="37">
          <cell r="D37">
            <v>291042</v>
          </cell>
          <cell r="J37">
            <v>291</v>
          </cell>
        </row>
        <row r="38">
          <cell r="D38">
            <v>291042</v>
          </cell>
          <cell r="J38">
            <v>291</v>
          </cell>
        </row>
        <row r="40">
          <cell r="D40">
            <v>815465</v>
          </cell>
          <cell r="J40">
            <v>815</v>
          </cell>
        </row>
        <row r="41">
          <cell r="D41">
            <v>815465</v>
          </cell>
          <cell r="J41">
            <v>815</v>
          </cell>
        </row>
        <row r="42">
          <cell r="D42">
            <v>16849</v>
          </cell>
          <cell r="J42">
            <v>17</v>
          </cell>
        </row>
        <row r="43">
          <cell r="D43">
            <v>16849</v>
          </cell>
          <cell r="J43">
            <v>17</v>
          </cell>
        </row>
        <row r="45">
          <cell r="D45">
            <v>65085</v>
          </cell>
          <cell r="J45">
            <v>65</v>
          </cell>
        </row>
        <row r="46">
          <cell r="D46">
            <v>65085</v>
          </cell>
          <cell r="J46">
            <v>65</v>
          </cell>
        </row>
        <row r="47">
          <cell r="D47">
            <v>8213</v>
          </cell>
          <cell r="J47">
            <v>8</v>
          </cell>
        </row>
        <row r="48">
          <cell r="D48">
            <v>56872</v>
          </cell>
          <cell r="J48">
            <v>57</v>
          </cell>
        </row>
        <row r="51">
          <cell r="D51">
            <v>866330</v>
          </cell>
          <cell r="J51">
            <v>866</v>
          </cell>
        </row>
        <row r="52">
          <cell r="D52">
            <v>866330</v>
          </cell>
          <cell r="J52">
            <v>866</v>
          </cell>
        </row>
        <row r="53">
          <cell r="D53">
            <v>740150</v>
          </cell>
          <cell r="J53">
            <v>740</v>
          </cell>
        </row>
        <row r="54">
          <cell r="D54">
            <v>602721</v>
          </cell>
          <cell r="J54">
            <v>603</v>
          </cell>
        </row>
        <row r="55">
          <cell r="D55">
            <v>200000</v>
          </cell>
          <cell r="J55">
            <v>200</v>
          </cell>
        </row>
        <row r="56">
          <cell r="D56">
            <v>137429</v>
          </cell>
          <cell r="J56">
            <v>137</v>
          </cell>
        </row>
        <row r="58">
          <cell r="D58">
            <v>635009</v>
          </cell>
          <cell r="J58">
            <v>635</v>
          </cell>
        </row>
        <row r="59">
          <cell r="D59">
            <v>635009</v>
          </cell>
          <cell r="J59">
            <v>635</v>
          </cell>
        </row>
        <row r="60">
          <cell r="J60">
            <v>0</v>
          </cell>
        </row>
        <row r="61">
          <cell r="D61">
            <v>569846</v>
          </cell>
          <cell r="J61">
            <v>570</v>
          </cell>
        </row>
        <row r="62">
          <cell r="D62">
            <v>569846</v>
          </cell>
          <cell r="J62">
            <v>570</v>
          </cell>
        </row>
        <row r="63">
          <cell r="D63">
            <v>28571</v>
          </cell>
          <cell r="J63">
            <v>29</v>
          </cell>
        </row>
        <row r="65">
          <cell r="D65">
            <v>3162221</v>
          </cell>
          <cell r="J65">
            <v>3162</v>
          </cell>
        </row>
        <row r="66">
          <cell r="D66">
            <v>-3097058</v>
          </cell>
          <cell r="J66">
            <v>-3097</v>
          </cell>
        </row>
        <row r="67">
          <cell r="D67">
            <v>3251063</v>
          </cell>
          <cell r="J67">
            <v>3251</v>
          </cell>
        </row>
        <row r="70">
          <cell r="D70">
            <v>302282</v>
          </cell>
          <cell r="J70">
            <v>302</v>
          </cell>
        </row>
        <row r="71">
          <cell r="D71">
            <v>180854</v>
          </cell>
          <cell r="J71">
            <v>181</v>
          </cell>
        </row>
        <row r="72">
          <cell r="D72">
            <v>121428</v>
          </cell>
          <cell r="J72">
            <v>121</v>
          </cell>
        </row>
        <row r="73">
          <cell r="D73">
            <v>209439</v>
          </cell>
          <cell r="J73">
            <v>209</v>
          </cell>
        </row>
        <row r="74">
          <cell r="D74">
            <v>175049</v>
          </cell>
          <cell r="J74">
            <v>175</v>
          </cell>
        </row>
        <row r="75">
          <cell r="D75">
            <v>34390</v>
          </cell>
          <cell r="J75">
            <v>34</v>
          </cell>
        </row>
        <row r="78">
          <cell r="D78">
            <v>20609203</v>
          </cell>
          <cell r="J78">
            <v>20608</v>
          </cell>
        </row>
        <row r="79">
          <cell r="D79">
            <v>4041366</v>
          </cell>
          <cell r="J79">
            <v>4041</v>
          </cell>
        </row>
        <row r="80">
          <cell r="D80">
            <v>15646480</v>
          </cell>
          <cell r="J80">
            <v>15646</v>
          </cell>
        </row>
        <row r="81">
          <cell r="D81">
            <v>30420</v>
          </cell>
          <cell r="J81">
            <v>30</v>
          </cell>
        </row>
        <row r="82">
          <cell r="D82">
            <v>890937</v>
          </cell>
          <cell r="J82">
            <v>891</v>
          </cell>
        </row>
        <row r="83">
          <cell r="D83">
            <v>24997713</v>
          </cell>
          <cell r="J83">
            <v>24998</v>
          </cell>
        </row>
        <row r="84">
          <cell r="D84">
            <v>19967714</v>
          </cell>
          <cell r="J84">
            <v>19968</v>
          </cell>
        </row>
        <row r="85">
          <cell r="D85">
            <v>1736363</v>
          </cell>
          <cell r="J85">
            <v>1736</v>
          </cell>
        </row>
        <row r="86">
          <cell r="D86">
            <v>5029999</v>
          </cell>
          <cell r="J86">
            <v>5030</v>
          </cell>
        </row>
        <row r="87">
          <cell r="D87">
            <v>-4388510</v>
          </cell>
          <cell r="J87">
            <v>-4390</v>
          </cell>
        </row>
        <row r="88">
          <cell r="D88">
            <v>5381067</v>
          </cell>
          <cell r="J88">
            <v>5381</v>
          </cell>
        </row>
        <row r="90">
          <cell r="D90">
            <v>338692</v>
          </cell>
          <cell r="J90">
            <v>339</v>
          </cell>
        </row>
        <row r="91">
          <cell r="D91">
            <v>338692</v>
          </cell>
          <cell r="J91">
            <v>339</v>
          </cell>
        </row>
        <row r="92">
          <cell r="D92">
            <v>67664</v>
          </cell>
          <cell r="J92">
            <v>67</v>
          </cell>
        </row>
        <row r="93">
          <cell r="D93">
            <v>66205</v>
          </cell>
          <cell r="J93">
            <v>66</v>
          </cell>
        </row>
        <row r="94">
          <cell r="D94">
            <v>1459</v>
          </cell>
          <cell r="J94">
            <v>1</v>
          </cell>
        </row>
        <row r="96">
          <cell r="D96">
            <v>797583</v>
          </cell>
          <cell r="J96">
            <v>798</v>
          </cell>
        </row>
        <row r="97">
          <cell r="D97">
            <v>797583</v>
          </cell>
          <cell r="J97">
            <v>798</v>
          </cell>
        </row>
        <row r="98">
          <cell r="D98">
            <v>46433</v>
          </cell>
          <cell r="J98">
            <v>46</v>
          </cell>
        </row>
        <row r="100">
          <cell r="D100">
            <v>46433</v>
          </cell>
          <cell r="J100">
            <v>46</v>
          </cell>
        </row>
        <row r="103">
          <cell r="D103">
            <v>56934528</v>
          </cell>
          <cell r="J103">
            <v>56935</v>
          </cell>
        </row>
        <row r="104">
          <cell r="D104">
            <v>31441478</v>
          </cell>
          <cell r="J104">
            <v>31442</v>
          </cell>
        </row>
        <row r="105">
          <cell r="D105">
            <v>24264878</v>
          </cell>
          <cell r="J105">
            <v>24265</v>
          </cell>
        </row>
        <row r="106">
          <cell r="D106">
            <v>1228172</v>
          </cell>
          <cell r="J106">
            <v>1228</v>
          </cell>
        </row>
        <row r="108">
          <cell r="D108">
            <v>58444013</v>
          </cell>
          <cell r="J108">
            <v>58444</v>
          </cell>
        </row>
        <row r="109">
          <cell r="D109">
            <v>57390169</v>
          </cell>
          <cell r="J109">
            <v>57390</v>
          </cell>
        </row>
        <row r="110">
          <cell r="D110">
            <v>510650</v>
          </cell>
          <cell r="J110">
            <v>511</v>
          </cell>
        </row>
        <row r="111">
          <cell r="D111">
            <v>1053844</v>
          </cell>
          <cell r="J111">
            <v>1054</v>
          </cell>
        </row>
        <row r="112">
          <cell r="D112">
            <v>-1509485</v>
          </cell>
          <cell r="J112">
            <v>-1509</v>
          </cell>
        </row>
        <row r="113">
          <cell r="D113">
            <v>701547</v>
          </cell>
          <cell r="J113">
            <v>702</v>
          </cell>
        </row>
        <row r="115">
          <cell r="D115">
            <v>200028375</v>
          </cell>
          <cell r="J115">
            <v>200028</v>
          </cell>
        </row>
        <row r="116">
          <cell r="D116">
            <v>196410315</v>
          </cell>
          <cell r="J116">
            <v>196410</v>
          </cell>
        </row>
        <row r="117">
          <cell r="D117">
            <v>2577763</v>
          </cell>
          <cell r="J117">
            <v>2578</v>
          </cell>
        </row>
        <row r="118">
          <cell r="D118">
            <v>1040297</v>
          </cell>
          <cell r="J118">
            <v>1040</v>
          </cell>
        </row>
        <row r="119">
          <cell r="D119">
            <v>209549263</v>
          </cell>
          <cell r="J119">
            <v>209549</v>
          </cell>
        </row>
        <row r="120">
          <cell r="D120">
            <v>209253306</v>
          </cell>
          <cell r="J120">
            <v>209253</v>
          </cell>
        </row>
        <row r="121">
          <cell r="D121">
            <v>0</v>
          </cell>
        </row>
        <row r="122">
          <cell r="D122">
            <v>295957</v>
          </cell>
          <cell r="J122">
            <v>296</v>
          </cell>
        </row>
        <row r="123">
          <cell r="D123">
            <v>-9520888</v>
          </cell>
          <cell r="J123">
            <v>-9521</v>
          </cell>
        </row>
        <row r="124">
          <cell r="D124">
            <v>12667723</v>
          </cell>
          <cell r="J124">
            <v>12668</v>
          </cell>
        </row>
        <row r="126">
          <cell r="D126">
            <v>161591300</v>
          </cell>
          <cell r="J126">
            <v>161592</v>
          </cell>
        </row>
        <row r="127">
          <cell r="D127">
            <v>151554683</v>
          </cell>
          <cell r="J127">
            <v>151555</v>
          </cell>
        </row>
        <row r="128">
          <cell r="D128">
            <v>1527785</v>
          </cell>
          <cell r="J128">
            <v>1528</v>
          </cell>
        </row>
        <row r="129">
          <cell r="D129">
            <v>8508832</v>
          </cell>
          <cell r="J129">
            <v>8509</v>
          </cell>
        </row>
        <row r="130">
          <cell r="D130">
            <v>169683226</v>
          </cell>
          <cell r="J130">
            <v>169683</v>
          </cell>
        </row>
        <row r="131">
          <cell r="D131">
            <v>169683226</v>
          </cell>
          <cell r="J131">
            <v>169683</v>
          </cell>
        </row>
        <row r="132">
          <cell r="D132">
            <v>-8091926</v>
          </cell>
          <cell r="J132">
            <v>-8091</v>
          </cell>
        </row>
        <row r="133">
          <cell r="D133">
            <v>8105268</v>
          </cell>
          <cell r="J133">
            <v>8105</v>
          </cell>
        </row>
        <row r="135">
          <cell r="D135">
            <v>14415948</v>
          </cell>
          <cell r="J135">
            <v>14415</v>
          </cell>
        </row>
        <row r="136">
          <cell r="D136">
            <v>11999471</v>
          </cell>
          <cell r="J136">
            <v>11999</v>
          </cell>
        </row>
        <row r="137">
          <cell r="D137">
            <v>163498</v>
          </cell>
          <cell r="J137">
            <v>163</v>
          </cell>
        </row>
        <row r="138">
          <cell r="D138">
            <v>2252979</v>
          </cell>
          <cell r="J138">
            <v>2253</v>
          </cell>
        </row>
        <row r="139">
          <cell r="D139">
            <v>11838843</v>
          </cell>
          <cell r="J139">
            <v>11839</v>
          </cell>
        </row>
        <row r="140">
          <cell r="D140">
            <v>11838843</v>
          </cell>
          <cell r="J140">
            <v>11839</v>
          </cell>
        </row>
        <row r="141">
          <cell r="D141">
            <v>2577105</v>
          </cell>
          <cell r="J141">
            <v>2576</v>
          </cell>
        </row>
        <row r="144">
          <cell r="D144">
            <v>516840</v>
          </cell>
          <cell r="J144">
            <v>517</v>
          </cell>
        </row>
        <row r="145">
          <cell r="D145">
            <v>510616</v>
          </cell>
          <cell r="J145">
            <v>511</v>
          </cell>
        </row>
        <row r="146">
          <cell r="D146">
            <v>6224</v>
          </cell>
          <cell r="J146">
            <v>6</v>
          </cell>
        </row>
        <row r="147">
          <cell r="D147">
            <v>367246</v>
          </cell>
          <cell r="J147">
            <v>367</v>
          </cell>
        </row>
        <row r="148">
          <cell r="D148">
            <v>367246</v>
          </cell>
          <cell r="J148">
            <v>367</v>
          </cell>
        </row>
        <row r="149">
          <cell r="D149">
            <v>149594</v>
          </cell>
          <cell r="J149">
            <v>150</v>
          </cell>
        </row>
        <row r="151">
          <cell r="D151">
            <v>32566527</v>
          </cell>
          <cell r="J151">
            <v>32567</v>
          </cell>
        </row>
        <row r="152">
          <cell r="D152">
            <v>32345545</v>
          </cell>
          <cell r="J152">
            <v>32346</v>
          </cell>
        </row>
        <row r="153">
          <cell r="D153">
            <v>220982</v>
          </cell>
          <cell r="J153">
            <v>221</v>
          </cell>
        </row>
        <row r="154">
          <cell r="D154">
            <v>36946074</v>
          </cell>
          <cell r="J154">
            <v>36946</v>
          </cell>
        </row>
        <row r="155">
          <cell r="D155">
            <v>36946074</v>
          </cell>
          <cell r="J155">
            <v>36946</v>
          </cell>
        </row>
        <row r="156">
          <cell r="D156">
            <v>-4379547</v>
          </cell>
          <cell r="J156">
            <v>-4379</v>
          </cell>
        </row>
        <row r="157">
          <cell r="D157">
            <v>4379661</v>
          </cell>
          <cell r="J157">
            <v>4380</v>
          </cell>
        </row>
        <row r="159">
          <cell r="D159">
            <v>3922042</v>
          </cell>
          <cell r="J159">
            <v>3922</v>
          </cell>
        </row>
        <row r="160">
          <cell r="D160">
            <v>886480</v>
          </cell>
          <cell r="J160">
            <v>886</v>
          </cell>
        </row>
        <row r="161">
          <cell r="D161">
            <v>3035562</v>
          </cell>
          <cell r="J161">
            <v>3036</v>
          </cell>
        </row>
        <row r="162">
          <cell r="D162">
            <v>3698158</v>
          </cell>
          <cell r="J162">
            <v>3698</v>
          </cell>
        </row>
        <row r="163">
          <cell r="D163">
            <v>3402201</v>
          </cell>
          <cell r="J163">
            <v>3402</v>
          </cell>
        </row>
        <row r="165">
          <cell r="D165">
            <v>295957</v>
          </cell>
          <cell r="J165">
            <v>296</v>
          </cell>
        </row>
        <row r="166">
          <cell r="D166">
            <v>223884</v>
          </cell>
          <cell r="J166">
            <v>224</v>
          </cell>
        </row>
        <row r="167">
          <cell r="D167">
            <v>182794</v>
          </cell>
          <cell r="J167">
            <v>183</v>
          </cell>
        </row>
        <row r="170">
          <cell r="D170">
            <v>3219914</v>
          </cell>
          <cell r="J170">
            <v>3220</v>
          </cell>
        </row>
        <row r="171">
          <cell r="D171">
            <v>2990398</v>
          </cell>
          <cell r="J171">
            <v>2990</v>
          </cell>
        </row>
        <row r="172">
          <cell r="D172">
            <v>184689</v>
          </cell>
          <cell r="J172">
            <v>185</v>
          </cell>
        </row>
        <row r="173">
          <cell r="D173">
            <v>44827</v>
          </cell>
          <cell r="J173">
            <v>45</v>
          </cell>
        </row>
        <row r="174">
          <cell r="D174">
            <v>1273308</v>
          </cell>
          <cell r="J174">
            <v>1273</v>
          </cell>
        </row>
        <row r="175">
          <cell r="D175">
            <v>1242136</v>
          </cell>
          <cell r="J175">
            <v>1242</v>
          </cell>
        </row>
        <row r="176">
          <cell r="D176">
            <v>31172</v>
          </cell>
          <cell r="J176">
            <v>31</v>
          </cell>
        </row>
        <row r="179">
          <cell r="D179">
            <v>730222</v>
          </cell>
          <cell r="J179">
            <v>730</v>
          </cell>
        </row>
        <row r="180">
          <cell r="D180">
            <v>473055</v>
          </cell>
          <cell r="J180">
            <v>473</v>
          </cell>
        </row>
        <row r="181">
          <cell r="D181">
            <v>257167</v>
          </cell>
          <cell r="J181">
            <v>257</v>
          </cell>
        </row>
        <row r="182">
          <cell r="D182">
            <v>731643</v>
          </cell>
          <cell r="J182">
            <v>732</v>
          </cell>
        </row>
        <row r="183">
          <cell r="D183">
            <v>731643</v>
          </cell>
          <cell r="J183">
            <v>732</v>
          </cell>
        </row>
        <row r="185">
          <cell r="D185">
            <v>53550</v>
          </cell>
          <cell r="J185">
            <v>54</v>
          </cell>
        </row>
        <row r="186">
          <cell r="D186">
            <v>53550</v>
          </cell>
          <cell r="J186">
            <v>54</v>
          </cell>
        </row>
        <row r="187">
          <cell r="D187">
            <v>54281</v>
          </cell>
          <cell r="J187">
            <v>54</v>
          </cell>
        </row>
        <row r="188">
          <cell r="D188">
            <v>54111</v>
          </cell>
          <cell r="J188">
            <v>54</v>
          </cell>
        </row>
        <row r="189">
          <cell r="D189">
            <v>5449</v>
          </cell>
          <cell r="J189">
            <v>5</v>
          </cell>
        </row>
        <row r="190">
          <cell r="D190">
            <v>170</v>
          </cell>
        </row>
        <row r="191">
          <cell r="D191">
            <v>-731</v>
          </cell>
          <cell r="J191">
            <v>0</v>
          </cell>
        </row>
        <row r="192">
          <cell r="D192">
            <v>23646</v>
          </cell>
          <cell r="J192">
            <v>24</v>
          </cell>
        </row>
      </sheetData>
      <sheetData sheetId="5">
        <row r="17">
          <cell r="C17">
            <v>35449114</v>
          </cell>
        </row>
        <row r="20">
          <cell r="D20">
            <v>1006309</v>
          </cell>
        </row>
        <row r="28">
          <cell r="D28">
            <v>1322017</v>
          </cell>
        </row>
        <row r="40">
          <cell r="D40">
            <v>815465</v>
          </cell>
        </row>
        <row r="45">
          <cell r="D45">
            <v>76459</v>
          </cell>
        </row>
        <row r="51">
          <cell r="D51">
            <v>991160</v>
          </cell>
        </row>
        <row r="58">
          <cell r="D58">
            <v>643721</v>
          </cell>
        </row>
        <row r="70">
          <cell r="D70">
            <v>342223</v>
          </cell>
        </row>
        <row r="79">
          <cell r="D79">
            <v>4887043</v>
          </cell>
        </row>
        <row r="80">
          <cell r="D80">
            <v>18600568</v>
          </cell>
        </row>
        <row r="81">
          <cell r="D81">
            <v>40144</v>
          </cell>
        </row>
        <row r="82">
          <cell r="D82">
            <v>1033629</v>
          </cell>
        </row>
        <row r="90">
          <cell r="D90">
            <v>420668</v>
          </cell>
        </row>
        <row r="96">
          <cell r="D96">
            <v>1018800</v>
          </cell>
        </row>
        <row r="104">
          <cell r="D104">
            <v>38064351</v>
          </cell>
        </row>
        <row r="105">
          <cell r="D105">
            <v>28958831</v>
          </cell>
        </row>
        <row r="106">
          <cell r="D106">
            <v>1463434</v>
          </cell>
        </row>
        <row r="115">
          <cell r="D115">
            <v>238334608</v>
          </cell>
        </row>
        <row r="171">
          <cell r="D171">
            <v>3536237</v>
          </cell>
        </row>
        <row r="172">
          <cell r="D172">
            <v>190927</v>
          </cell>
        </row>
        <row r="173">
          <cell r="D173">
            <v>64288</v>
          </cell>
        </row>
        <row r="179">
          <cell r="D179">
            <v>914116</v>
          </cell>
        </row>
        <row r="185">
          <cell r="D185">
            <v>54061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workbookViewId="0" topLeftCell="A1">
      <selection activeCell="A7" sqref="A7:E7"/>
    </sheetView>
  </sheetViews>
  <sheetFormatPr defaultColWidth="9.140625" defaultRowHeight="12.75"/>
  <cols>
    <col min="1" max="1" width="43.421875" style="1" customWidth="1"/>
    <col min="2" max="2" width="11.8515625" style="1" customWidth="1"/>
    <col min="3" max="3" width="13.421875" style="1" customWidth="1"/>
    <col min="4" max="4" width="11.421875" style="1" customWidth="1"/>
    <col min="5" max="5" width="12.7109375" style="1" customWidth="1"/>
  </cols>
  <sheetData>
    <row r="1" ht="12.75">
      <c r="E1" s="2"/>
    </row>
    <row r="2" spans="1:5" ht="12.75">
      <c r="A2" s="827" t="s">
        <v>190</v>
      </c>
      <c r="B2" s="827"/>
      <c r="C2" s="827"/>
      <c r="E2" s="2"/>
    </row>
    <row r="3" ht="12.75">
      <c r="E3" s="2"/>
    </row>
    <row r="4" spans="1:5" ht="11.25" customHeight="1">
      <c r="A4" s="4"/>
      <c r="B4" s="4"/>
      <c r="C4" s="4"/>
      <c r="D4" s="4"/>
      <c r="E4" s="4"/>
    </row>
    <row r="5" spans="1:5" s="5" customFormat="1" ht="15.75" customHeight="1">
      <c r="A5" s="828" t="s">
        <v>191</v>
      </c>
      <c r="B5" s="828"/>
      <c r="C5" s="828"/>
      <c r="D5" s="828"/>
      <c r="E5" s="828"/>
    </row>
    <row r="6" spans="1:5" s="5" customFormat="1" ht="14.25" hidden="1">
      <c r="A6" s="828"/>
      <c r="B6" s="828"/>
      <c r="C6" s="828"/>
      <c r="D6" s="828"/>
      <c r="E6" s="828"/>
    </row>
    <row r="7" spans="1:5" s="5" customFormat="1" ht="14.25">
      <c r="A7" s="829" t="s">
        <v>309</v>
      </c>
      <c r="B7" s="829"/>
      <c r="C7" s="829"/>
      <c r="D7" s="829"/>
      <c r="E7" s="829"/>
    </row>
    <row r="8" ht="10.5" customHeight="1"/>
    <row r="9" spans="1:5" ht="12.75">
      <c r="A9" s="7"/>
      <c r="E9" s="2" t="s">
        <v>192</v>
      </c>
    </row>
    <row r="10" spans="1:5" ht="31.5" customHeight="1">
      <c r="A10" s="8" t="s">
        <v>193</v>
      </c>
      <c r="B10" s="9" t="s">
        <v>194</v>
      </c>
      <c r="C10" s="9" t="s">
        <v>195</v>
      </c>
      <c r="D10" s="9" t="s">
        <v>196</v>
      </c>
      <c r="E10" s="9" t="s">
        <v>310</v>
      </c>
    </row>
    <row r="11" spans="1:5" ht="12.75">
      <c r="A11" s="10" t="s">
        <v>197</v>
      </c>
      <c r="B11" s="11">
        <v>677955</v>
      </c>
      <c r="C11" s="12">
        <v>233411</v>
      </c>
      <c r="D11" s="11">
        <f>B11+C11</f>
        <v>911366</v>
      </c>
      <c r="E11" s="11">
        <f>D11-'[3]Maijs'!D12</f>
        <v>167972</v>
      </c>
    </row>
    <row r="12" spans="1:5" ht="22.5">
      <c r="A12" s="13" t="s">
        <v>198</v>
      </c>
      <c r="B12" s="14" t="s">
        <v>199</v>
      </c>
      <c r="C12" s="14" t="s">
        <v>199</v>
      </c>
      <c r="D12" s="15">
        <f>62285+3855</f>
        <v>66140</v>
      </c>
      <c r="E12" s="15">
        <f>D12-'[3]Maijs'!D13</f>
        <v>19149</v>
      </c>
    </row>
    <row r="13" spans="1:5" ht="22.5">
      <c r="A13" s="13" t="s">
        <v>200</v>
      </c>
      <c r="B13" s="14" t="s">
        <v>199</v>
      </c>
      <c r="C13" s="14" t="s">
        <v>199</v>
      </c>
      <c r="D13" s="15">
        <f>5377+1419</f>
        <v>6796</v>
      </c>
      <c r="E13" s="15">
        <f>D13-'[3]Maijs'!D14</f>
        <v>1648</v>
      </c>
    </row>
    <row r="14" spans="1:5" ht="12.75">
      <c r="A14" s="16" t="s">
        <v>201</v>
      </c>
      <c r="B14" s="17" t="s">
        <v>199</v>
      </c>
      <c r="C14" s="17" t="s">
        <v>199</v>
      </c>
      <c r="D14" s="11">
        <f>D11-D12-D13</f>
        <v>838430</v>
      </c>
      <c r="E14" s="11">
        <f>D14-'[3]Maijs'!D15</f>
        <v>147175</v>
      </c>
    </row>
    <row r="15" spans="1:5" ht="12.75">
      <c r="A15" s="10" t="s">
        <v>202</v>
      </c>
      <c r="B15" s="11">
        <v>704203</v>
      </c>
      <c r="C15" s="12">
        <v>240070</v>
      </c>
      <c r="D15" s="11">
        <f>B15+C15</f>
        <v>944273</v>
      </c>
      <c r="E15" s="11">
        <f>D15-'[3]Maijs'!D16</f>
        <v>173117</v>
      </c>
    </row>
    <row r="16" spans="1:5" ht="22.5">
      <c r="A16" s="13" t="s">
        <v>203</v>
      </c>
      <c r="B16" s="14" t="s">
        <v>199</v>
      </c>
      <c r="C16" s="14" t="s">
        <v>199</v>
      </c>
      <c r="D16" s="15">
        <v>66140</v>
      </c>
      <c r="E16" s="15">
        <f>D16-'[3]Maijs'!D17</f>
        <v>19149</v>
      </c>
    </row>
    <row r="17" spans="1:5" ht="22.5">
      <c r="A17" s="13" t="s">
        <v>204</v>
      </c>
      <c r="B17" s="14" t="s">
        <v>199</v>
      </c>
      <c r="C17" s="14" t="s">
        <v>199</v>
      </c>
      <c r="D17" s="15">
        <v>6796</v>
      </c>
      <c r="E17" s="15">
        <f>D17-'[3]Maijs'!D18</f>
        <v>1648</v>
      </c>
    </row>
    <row r="18" spans="1:5" ht="12.75">
      <c r="A18" s="16" t="s">
        <v>205</v>
      </c>
      <c r="B18" s="17" t="s">
        <v>199</v>
      </c>
      <c r="C18" s="17" t="s">
        <v>199</v>
      </c>
      <c r="D18" s="11">
        <f>D15-D16-D17</f>
        <v>871337</v>
      </c>
      <c r="E18" s="11">
        <f>D18-'[3]Maijs'!D19</f>
        <v>152320</v>
      </c>
    </row>
    <row r="19" spans="1:5" ht="12.75">
      <c r="A19" s="16" t="s">
        <v>206</v>
      </c>
      <c r="B19" s="11">
        <f>B11-B15</f>
        <v>-26248</v>
      </c>
      <c r="C19" s="12">
        <f>C11-C15</f>
        <v>-6659</v>
      </c>
      <c r="D19" s="11">
        <f>D14-D18</f>
        <v>-32907</v>
      </c>
      <c r="E19" s="11">
        <f>D19-'[3]Maijs'!D20</f>
        <v>-5145</v>
      </c>
    </row>
    <row r="20" spans="1:5" ht="12.75">
      <c r="A20" s="18" t="s">
        <v>207</v>
      </c>
      <c r="B20" s="12">
        <f>B21-B24</f>
        <v>-3132</v>
      </c>
      <c r="C20" s="12">
        <f>C21-C24</f>
        <v>-3239</v>
      </c>
      <c r="D20" s="12">
        <f>D23-D26</f>
        <v>-3294</v>
      </c>
      <c r="E20" s="12">
        <f>D20-'[3]Maijs'!D21</f>
        <v>-2676</v>
      </c>
    </row>
    <row r="21" spans="1:5" ht="12.75">
      <c r="A21" s="19" t="s">
        <v>208</v>
      </c>
      <c r="B21" s="20">
        <v>14889</v>
      </c>
      <c r="C21" s="21">
        <v>488</v>
      </c>
      <c r="D21" s="20">
        <f>B21+C21</f>
        <v>15377</v>
      </c>
      <c r="E21" s="20">
        <f>D21-'[3]Maijs'!D22</f>
        <v>4002</v>
      </c>
    </row>
    <row r="22" spans="1:5" ht="22.5">
      <c r="A22" s="13" t="s">
        <v>209</v>
      </c>
      <c r="B22" s="14" t="s">
        <v>199</v>
      </c>
      <c r="C22" s="14" t="s">
        <v>199</v>
      </c>
      <c r="D22" s="15">
        <v>8753</v>
      </c>
      <c r="E22" s="15">
        <f>D22-'[3]Maijs'!D23</f>
        <v>3456</v>
      </c>
    </row>
    <row r="23" spans="1:5" ht="12.75">
      <c r="A23" s="18" t="s">
        <v>210</v>
      </c>
      <c r="B23" s="17" t="s">
        <v>199</v>
      </c>
      <c r="C23" s="17" t="s">
        <v>199</v>
      </c>
      <c r="D23" s="11">
        <f>D21-D22</f>
        <v>6624</v>
      </c>
      <c r="E23" s="11">
        <f>D23-'[3]Maijs'!D24</f>
        <v>546</v>
      </c>
    </row>
    <row r="24" spans="1:5" ht="12.75">
      <c r="A24" s="19" t="s">
        <v>211</v>
      </c>
      <c r="B24" s="20">
        <v>18021</v>
      </c>
      <c r="C24" s="21">
        <v>3727</v>
      </c>
      <c r="D24" s="20">
        <f>B24+C24</f>
        <v>21748</v>
      </c>
      <c r="E24" s="20">
        <f>D24-'[3]Maijs'!D25</f>
        <v>8796</v>
      </c>
    </row>
    <row r="25" spans="1:5" ht="22.5">
      <c r="A25" s="13" t="s">
        <v>212</v>
      </c>
      <c r="B25" s="22" t="s">
        <v>199</v>
      </c>
      <c r="C25" s="22" t="s">
        <v>199</v>
      </c>
      <c r="D25" s="15">
        <v>11830</v>
      </c>
      <c r="E25" s="15">
        <f>D25-'[3]Maijs'!D26</f>
        <v>5574</v>
      </c>
    </row>
    <row r="26" spans="1:5" ht="12.75">
      <c r="A26" s="18" t="s">
        <v>213</v>
      </c>
      <c r="B26" s="17" t="s">
        <v>199</v>
      </c>
      <c r="C26" s="17" t="s">
        <v>199</v>
      </c>
      <c r="D26" s="11">
        <f>D24-D25</f>
        <v>9918</v>
      </c>
      <c r="E26" s="11">
        <f>D26-'[3]Maijs'!D27</f>
        <v>3222</v>
      </c>
    </row>
    <row r="27" spans="1:5" ht="12.75">
      <c r="A27" s="16" t="s">
        <v>214</v>
      </c>
      <c r="B27" s="12">
        <f>B19-B20</f>
        <v>-23116</v>
      </c>
      <c r="C27" s="12">
        <f>C19-C20</f>
        <v>-3420</v>
      </c>
      <c r="D27" s="11">
        <f>D19-D20</f>
        <v>-29613</v>
      </c>
      <c r="E27" s="11">
        <f>D27-'[3]Maijs'!D28</f>
        <v>-2469</v>
      </c>
    </row>
    <row r="28" spans="1:5" ht="12.75">
      <c r="A28" s="10" t="s">
        <v>215</v>
      </c>
      <c r="B28" s="11">
        <f>B29+B50</f>
        <v>23116</v>
      </c>
      <c r="C28" s="12">
        <f>C29+C50</f>
        <v>3420</v>
      </c>
      <c r="D28" s="11">
        <f>D29+D50</f>
        <v>29613</v>
      </c>
      <c r="E28" s="11">
        <f>D28-'[3]Maijs'!D29</f>
        <v>2469</v>
      </c>
    </row>
    <row r="29" spans="1:5" ht="12.75">
      <c r="A29" s="10" t="s">
        <v>216</v>
      </c>
      <c r="B29" s="11">
        <f>B30+B35+B40+B46</f>
        <v>30156</v>
      </c>
      <c r="C29" s="12">
        <f>C30+C35+C40+C46</f>
        <v>3420</v>
      </c>
      <c r="D29" s="12">
        <f>D30+D35+D40+D46</f>
        <v>36653</v>
      </c>
      <c r="E29" s="12">
        <f>D29-'[3]Maijs'!D30</f>
        <v>3642</v>
      </c>
    </row>
    <row r="30" spans="1:5" ht="12.75">
      <c r="A30" s="23" t="s">
        <v>217</v>
      </c>
      <c r="B30" s="24">
        <f>B31+B32</f>
        <v>0</v>
      </c>
      <c r="C30" s="24">
        <f>C31+C32</f>
        <v>-3077</v>
      </c>
      <c r="D30" s="24">
        <f>D31+D34</f>
        <v>0</v>
      </c>
      <c r="E30" s="24">
        <f>D30-'[3]Maijs'!D31</f>
        <v>0</v>
      </c>
    </row>
    <row r="31" spans="1:5" ht="12.75" hidden="1">
      <c r="A31" s="13" t="s">
        <v>218</v>
      </c>
      <c r="B31" s="15"/>
      <c r="C31" s="25"/>
      <c r="D31" s="15">
        <f>B31+C31</f>
        <v>0</v>
      </c>
      <c r="E31" s="15">
        <f>D31-'[3]Maijs'!D32</f>
        <v>0</v>
      </c>
    </row>
    <row r="32" spans="1:5" ht="12.75">
      <c r="A32" s="13" t="s">
        <v>219</v>
      </c>
      <c r="B32" s="15"/>
      <c r="C32" s="25">
        <v>-3077</v>
      </c>
      <c r="D32" s="15">
        <f>B32+C32</f>
        <v>-3077</v>
      </c>
      <c r="E32" s="15">
        <f>D32-'[3]Maijs'!D33</f>
        <v>-2118</v>
      </c>
    </row>
    <row r="33" spans="1:5" ht="12.75">
      <c r="A33" s="26" t="s">
        <v>220</v>
      </c>
      <c r="B33" s="22" t="s">
        <v>199</v>
      </c>
      <c r="C33" s="22" t="s">
        <v>199</v>
      </c>
      <c r="D33" s="27"/>
      <c r="E33" s="27">
        <f>D33-'[3]Maijs'!D34</f>
        <v>-959</v>
      </c>
    </row>
    <row r="34" spans="1:5" ht="12.75" hidden="1">
      <c r="A34" s="13" t="s">
        <v>221</v>
      </c>
      <c r="B34" s="22" t="s">
        <v>199</v>
      </c>
      <c r="C34" s="22" t="s">
        <v>199</v>
      </c>
      <c r="D34" s="27"/>
      <c r="E34" s="27">
        <f>D34-'[3]Maijs'!D35</f>
        <v>0</v>
      </c>
    </row>
    <row r="35" spans="1:5" ht="12.75">
      <c r="A35" s="28" t="s">
        <v>222</v>
      </c>
      <c r="B35" s="27">
        <f>SUM(B36:B39)</f>
        <v>-62322</v>
      </c>
      <c r="C35" s="24">
        <f>SUM(C36:C39)</f>
        <v>0</v>
      </c>
      <c r="D35" s="27">
        <f aca="true" t="shared" si="0" ref="D35:D49">B35+C35</f>
        <v>-62322</v>
      </c>
      <c r="E35" s="27">
        <f>D35-'[3]Maijs'!D36</f>
        <v>-38453</v>
      </c>
    </row>
    <row r="36" spans="1:5" ht="12.75">
      <c r="A36" s="29" t="s">
        <v>223</v>
      </c>
      <c r="B36" s="15">
        <v>-48694</v>
      </c>
      <c r="C36" s="25"/>
      <c r="D36" s="15">
        <f t="shared" si="0"/>
        <v>-48694</v>
      </c>
      <c r="E36" s="15">
        <f>D36-'[3]Maijs'!D37</f>
        <v>-38540</v>
      </c>
    </row>
    <row r="37" spans="1:5" ht="12.75">
      <c r="A37" s="29" t="s">
        <v>224</v>
      </c>
      <c r="B37" s="15">
        <v>9338</v>
      </c>
      <c r="C37" s="25"/>
      <c r="D37" s="15">
        <f t="shared" si="0"/>
        <v>9338</v>
      </c>
      <c r="E37" s="15">
        <f>D37-'[3]Maijs'!D38</f>
        <v>-189</v>
      </c>
    </row>
    <row r="38" spans="1:5" ht="22.5">
      <c r="A38" s="29" t="s">
        <v>225</v>
      </c>
      <c r="B38" s="15">
        <v>-5253</v>
      </c>
      <c r="C38" s="25"/>
      <c r="D38" s="15">
        <f t="shared" si="0"/>
        <v>-5253</v>
      </c>
      <c r="E38" s="15">
        <f>D38-'[3]Maijs'!D39</f>
        <v>259</v>
      </c>
    </row>
    <row r="39" spans="1:5" ht="12.75">
      <c r="A39" s="29" t="s">
        <v>226</v>
      </c>
      <c r="B39" s="15">
        <v>-17713</v>
      </c>
      <c r="C39" s="25"/>
      <c r="D39" s="15">
        <f t="shared" si="0"/>
        <v>-17713</v>
      </c>
      <c r="E39" s="15">
        <f>D39-'[3]Maijs'!D40</f>
        <v>17</v>
      </c>
    </row>
    <row r="40" spans="1:5" ht="12.75">
      <c r="A40" s="30" t="s">
        <v>227</v>
      </c>
      <c r="B40" s="27">
        <f>SUM(B41:B45)</f>
        <v>38748</v>
      </c>
      <c r="C40" s="25">
        <f>SUM(C41:C45)</f>
        <v>-13997</v>
      </c>
      <c r="D40" s="27">
        <f t="shared" si="0"/>
        <v>24751</v>
      </c>
      <c r="E40" s="27">
        <f>D40-'[3]Maijs'!D41</f>
        <v>58596</v>
      </c>
    </row>
    <row r="41" spans="1:5" ht="12.75">
      <c r="A41" s="31" t="s">
        <v>228</v>
      </c>
      <c r="B41" s="15"/>
      <c r="C41" s="25">
        <v>-136</v>
      </c>
      <c r="D41" s="15">
        <f t="shared" si="0"/>
        <v>-136</v>
      </c>
      <c r="E41" s="15">
        <f>D41-'[3]Maijs'!D42</f>
        <v>-36</v>
      </c>
    </row>
    <row r="42" spans="1:5" ht="12.75">
      <c r="A42" s="29" t="s">
        <v>223</v>
      </c>
      <c r="B42" s="15">
        <v>-6091</v>
      </c>
      <c r="C42" s="25"/>
      <c r="D42" s="15">
        <f t="shared" si="0"/>
        <v>-6091</v>
      </c>
      <c r="E42" s="15">
        <f>D42-'[3]Maijs'!D43</f>
        <v>43591</v>
      </c>
    </row>
    <row r="43" spans="1:5" ht="12.75">
      <c r="A43" s="29" t="s">
        <v>224</v>
      </c>
      <c r="B43" s="15">
        <v>-2211</v>
      </c>
      <c r="C43" s="25">
        <v>-13861</v>
      </c>
      <c r="D43" s="15">
        <f t="shared" si="0"/>
        <v>-16072</v>
      </c>
      <c r="E43" s="15">
        <f>D43-'[3]Maijs'!D44</f>
        <v>-3350</v>
      </c>
    </row>
    <row r="44" spans="1:5" ht="22.5">
      <c r="A44" s="29" t="s">
        <v>225</v>
      </c>
      <c r="B44" s="15">
        <v>28</v>
      </c>
      <c r="C44" s="25"/>
      <c r="D44" s="15">
        <f t="shared" si="0"/>
        <v>28</v>
      </c>
      <c r="E44" s="15">
        <f>D44-'[3]Maijs'!D45</f>
        <v>67</v>
      </c>
    </row>
    <row r="45" spans="1:5" ht="12.75">
      <c r="A45" s="29" t="s">
        <v>226</v>
      </c>
      <c r="B45" s="15">
        <v>47022</v>
      </c>
      <c r="C45" s="25"/>
      <c r="D45" s="15">
        <f t="shared" si="0"/>
        <v>47022</v>
      </c>
      <c r="E45" s="15">
        <f>D45-'[3]Maijs'!D46</f>
        <v>18324</v>
      </c>
    </row>
    <row r="46" spans="1:5" ht="12.75">
      <c r="A46" s="30" t="s">
        <v>229</v>
      </c>
      <c r="B46" s="27">
        <f>SUM(B47:B49)</f>
        <v>53730</v>
      </c>
      <c r="C46" s="27">
        <f>SUM(C47:C49)</f>
        <v>20494</v>
      </c>
      <c r="D46" s="15">
        <f t="shared" si="0"/>
        <v>74224</v>
      </c>
      <c r="E46" s="15">
        <f>D46-'[3]Maijs'!D47</f>
        <v>-16501</v>
      </c>
    </row>
    <row r="47" spans="1:5" ht="22.5">
      <c r="A47" s="29" t="s">
        <v>230</v>
      </c>
      <c r="B47" s="27">
        <v>3790</v>
      </c>
      <c r="C47" s="24">
        <v>4750</v>
      </c>
      <c r="D47" s="15">
        <f t="shared" si="0"/>
        <v>8540</v>
      </c>
      <c r="E47" s="15">
        <f>D47-'[3]Maijs'!D48</f>
        <v>878</v>
      </c>
    </row>
    <row r="48" spans="1:5" ht="22.5" customHeight="1">
      <c r="A48" s="29" t="s">
        <v>231</v>
      </c>
      <c r="B48" s="27">
        <v>34882</v>
      </c>
      <c r="C48" s="24"/>
      <c r="D48" s="15">
        <f t="shared" si="0"/>
        <v>34882</v>
      </c>
      <c r="E48" s="15">
        <f>D48-'[3]Maijs'!D49</f>
        <v>-21063</v>
      </c>
    </row>
    <row r="49" spans="1:5" ht="12.75">
      <c r="A49" s="29" t="s">
        <v>232</v>
      </c>
      <c r="B49" s="27">
        <v>15058</v>
      </c>
      <c r="C49" s="24">
        <v>15744</v>
      </c>
      <c r="D49" s="15">
        <f t="shared" si="0"/>
        <v>30802</v>
      </c>
      <c r="E49" s="15">
        <f>D49-'[3]Maijs'!D50</f>
        <v>3684</v>
      </c>
    </row>
    <row r="50" spans="1:5" ht="12.75">
      <c r="A50" s="32" t="s">
        <v>233</v>
      </c>
      <c r="B50" s="11">
        <f>SUM(B51:B52)</f>
        <v>-7040</v>
      </c>
      <c r="C50" s="12"/>
      <c r="D50" s="11">
        <f>B50+C50</f>
        <v>-7040</v>
      </c>
      <c r="E50" s="11">
        <f>D50-'[3]Maijs'!D51</f>
        <v>-1173</v>
      </c>
    </row>
    <row r="51" spans="1:5" ht="12.75">
      <c r="A51" s="30" t="s">
        <v>234</v>
      </c>
      <c r="B51" s="15">
        <v>-5397</v>
      </c>
      <c r="C51" s="25"/>
      <c r="D51" s="27">
        <f>B51+C51</f>
        <v>-5397</v>
      </c>
      <c r="E51" s="27">
        <f>D51-'[3]Maijs'!D52</f>
        <v>-853</v>
      </c>
    </row>
    <row r="52" spans="1:5" ht="12.75">
      <c r="A52" s="30" t="s">
        <v>235</v>
      </c>
      <c r="B52" s="15">
        <v>-1643</v>
      </c>
      <c r="C52" s="25"/>
      <c r="D52" s="27">
        <f>B52+C52</f>
        <v>-1643</v>
      </c>
      <c r="E52" s="27">
        <f>D52-'[3]Maijs'!D53</f>
        <v>-320</v>
      </c>
    </row>
    <row r="53" spans="1:5" s="38" customFormat="1" ht="11.25">
      <c r="A53" s="33"/>
      <c r="B53" s="34"/>
      <c r="C53" s="35"/>
      <c r="D53" s="36"/>
      <c r="E53" s="37"/>
    </row>
    <row r="54" spans="1:5" ht="12.75">
      <c r="A54" s="830"/>
      <c r="B54" s="830"/>
      <c r="C54" s="830"/>
      <c r="D54" s="830"/>
      <c r="E54" s="40"/>
    </row>
    <row r="56" spans="1:5" ht="12.75">
      <c r="A56" s="41" t="s">
        <v>311</v>
      </c>
      <c r="B56" s="39"/>
      <c r="C56" s="39"/>
      <c r="D56" s="39"/>
      <c r="E56" s="42"/>
    </row>
    <row r="57" spans="1:5" ht="12.75">
      <c r="A57" s="38"/>
      <c r="B57" s="38"/>
      <c r="C57" s="35"/>
      <c r="D57" s="43"/>
      <c r="E57" s="44"/>
    </row>
    <row r="58" spans="2:5" ht="12.75">
      <c r="B58" s="45"/>
      <c r="C58" s="46"/>
      <c r="D58" s="47"/>
      <c r="E58" s="40"/>
    </row>
    <row r="59" spans="1:5" ht="12.75">
      <c r="A59" s="38" t="s">
        <v>236</v>
      </c>
      <c r="B59" s="45"/>
      <c r="C59" s="46"/>
      <c r="D59" s="47"/>
      <c r="E59" s="40"/>
    </row>
    <row r="60" ht="12.75">
      <c r="A60" s="38" t="s">
        <v>312</v>
      </c>
    </row>
  </sheetData>
  <mergeCells count="4">
    <mergeCell ref="A2:C2"/>
    <mergeCell ref="A5:E6"/>
    <mergeCell ref="A7:E7"/>
    <mergeCell ref="A54:D54"/>
  </mergeCells>
  <printOptions/>
  <pageMargins left="0.75" right="0.27" top="0.25" bottom="0.2" header="0.5" footer="0.5"/>
  <pageSetup firstPageNumber="4" useFirstPageNumber="1" fitToHeight="1" fitToWidth="1" horizontalDpi="600" verticalDpi="600" orientation="portrait" paperSize="9" scale="99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8"/>
  <sheetViews>
    <sheetView workbookViewId="0" topLeftCell="A147">
      <selection activeCell="F13" sqref="F13"/>
    </sheetView>
  </sheetViews>
  <sheetFormatPr defaultColWidth="9.140625" defaultRowHeight="12.75"/>
  <cols>
    <col min="1" max="1" width="34.140625" style="0" customWidth="1"/>
    <col min="2" max="2" width="13.28125" style="0" customWidth="1"/>
    <col min="3" max="3" width="12.28125" style="0" customWidth="1"/>
    <col min="4" max="4" width="13.7109375" style="0" customWidth="1"/>
    <col min="5" max="5" width="13.57421875" style="0" customWidth="1"/>
  </cols>
  <sheetData>
    <row r="1" spans="1:5" ht="12.75">
      <c r="A1" s="49"/>
      <c r="B1" s="51"/>
      <c r="C1" s="51"/>
      <c r="D1" s="51"/>
      <c r="E1" s="2" t="s">
        <v>687</v>
      </c>
    </row>
    <row r="2" spans="1:5" ht="12.75">
      <c r="A2" s="830" t="s">
        <v>379</v>
      </c>
      <c r="B2" s="830"/>
      <c r="C2" s="830"/>
      <c r="D2" s="830"/>
      <c r="E2" s="830"/>
    </row>
    <row r="3" spans="1:5" ht="12.75">
      <c r="A3" s="39"/>
      <c r="B3" s="39"/>
      <c r="C3" s="39"/>
      <c r="D3" s="39"/>
      <c r="E3" s="39"/>
    </row>
    <row r="4" spans="1:5" ht="15.75">
      <c r="A4" s="813" t="s">
        <v>688</v>
      </c>
      <c r="B4" s="813"/>
      <c r="C4" s="813"/>
      <c r="D4" s="813"/>
      <c r="E4" s="813"/>
    </row>
    <row r="5" spans="1:5" ht="12.75">
      <c r="A5" s="814" t="s">
        <v>145</v>
      </c>
      <c r="B5" s="814"/>
      <c r="C5" s="814"/>
      <c r="D5" s="814"/>
      <c r="E5" s="814"/>
    </row>
    <row r="6" spans="1:5" ht="12.75">
      <c r="A6" s="389"/>
      <c r="B6" s="389"/>
      <c r="C6" s="389"/>
      <c r="D6" s="389"/>
      <c r="E6" s="2" t="s">
        <v>240</v>
      </c>
    </row>
    <row r="7" spans="1:5" ht="36">
      <c r="A7" s="312" t="s">
        <v>193</v>
      </c>
      <c r="B7" s="391" t="s">
        <v>382</v>
      </c>
      <c r="C7" s="391" t="s">
        <v>242</v>
      </c>
      <c r="D7" s="391" t="s">
        <v>689</v>
      </c>
      <c r="E7" s="750" t="s">
        <v>317</v>
      </c>
    </row>
    <row r="8" spans="1:5" ht="12.75">
      <c r="A8" s="312">
        <v>1</v>
      </c>
      <c r="B8" s="270">
        <v>2</v>
      </c>
      <c r="C8" s="270">
        <v>3</v>
      </c>
      <c r="D8" s="270">
        <v>4</v>
      </c>
      <c r="E8" s="392">
        <v>5</v>
      </c>
    </row>
    <row r="9" spans="1:5" ht="15">
      <c r="A9" s="393" t="s">
        <v>385</v>
      </c>
      <c r="B9" s="394">
        <v>4024</v>
      </c>
      <c r="C9" s="394">
        <v>2023</v>
      </c>
      <c r="D9" s="395">
        <v>50.27335984095428</v>
      </c>
      <c r="E9" s="394">
        <v>332</v>
      </c>
    </row>
    <row r="10" spans="1:5" ht="15">
      <c r="A10" s="327" t="s">
        <v>690</v>
      </c>
      <c r="B10" s="396">
        <v>4426</v>
      </c>
      <c r="C10" s="396">
        <v>2001</v>
      </c>
      <c r="D10" s="395">
        <v>45.21012200632625</v>
      </c>
      <c r="E10" s="396">
        <v>328</v>
      </c>
    </row>
    <row r="11" spans="1:5" ht="14.25">
      <c r="A11" s="397" t="s">
        <v>392</v>
      </c>
      <c r="B11" s="398">
        <v>3981</v>
      </c>
      <c r="C11" s="398">
        <v>1813</v>
      </c>
      <c r="D11" s="399">
        <v>45.54132127606129</v>
      </c>
      <c r="E11" s="400">
        <v>295</v>
      </c>
    </row>
    <row r="12" spans="1:5" ht="14.25">
      <c r="A12" s="397" t="s">
        <v>393</v>
      </c>
      <c r="B12" s="398">
        <v>445</v>
      </c>
      <c r="C12" s="398">
        <v>188</v>
      </c>
      <c r="D12" s="399">
        <v>42.247191011235955</v>
      </c>
      <c r="E12" s="400">
        <v>33</v>
      </c>
    </row>
    <row r="13" spans="1:5" ht="12.75">
      <c r="A13" s="94" t="s">
        <v>397</v>
      </c>
      <c r="B13" s="401"/>
      <c r="C13" s="401"/>
      <c r="D13" s="399"/>
      <c r="E13" s="401"/>
    </row>
    <row r="14" spans="1:5" ht="12.75">
      <c r="A14" s="402" t="s">
        <v>559</v>
      </c>
      <c r="B14" s="401">
        <v>0</v>
      </c>
      <c r="C14" s="401">
        <v>0</v>
      </c>
      <c r="D14" s="399"/>
      <c r="E14" s="401">
        <v>0</v>
      </c>
    </row>
    <row r="15" spans="1:5" ht="12.75">
      <c r="A15" s="100" t="s">
        <v>398</v>
      </c>
      <c r="B15" s="401">
        <v>0</v>
      </c>
      <c r="C15" s="401">
        <v>0</v>
      </c>
      <c r="D15" s="399"/>
      <c r="E15" s="403">
        <v>0</v>
      </c>
    </row>
    <row r="16" spans="1:5" ht="12.75">
      <c r="A16" s="109" t="s">
        <v>392</v>
      </c>
      <c r="B16" s="403">
        <v>0</v>
      </c>
      <c r="C16" s="403">
        <v>0</v>
      </c>
      <c r="D16" s="399"/>
      <c r="E16" s="403">
        <v>0</v>
      </c>
    </row>
    <row r="17" spans="1:5" ht="12.75">
      <c r="A17" s="109" t="s">
        <v>393</v>
      </c>
      <c r="B17" s="403">
        <v>0</v>
      </c>
      <c r="C17" s="403">
        <v>0</v>
      </c>
      <c r="D17" s="399"/>
      <c r="E17" s="403">
        <v>0</v>
      </c>
    </row>
    <row r="18" spans="1:5" ht="12.75">
      <c r="A18" s="244" t="s">
        <v>400</v>
      </c>
      <c r="B18" s="401"/>
      <c r="C18" s="401"/>
      <c r="D18" s="399"/>
      <c r="E18" s="401"/>
    </row>
    <row r="19" spans="1:5" ht="12.75">
      <c r="A19" s="402" t="s">
        <v>559</v>
      </c>
      <c r="B19" s="401">
        <v>14</v>
      </c>
      <c r="C19" s="401">
        <v>0</v>
      </c>
      <c r="D19" s="404">
        <v>0</v>
      </c>
      <c r="E19" s="403">
        <v>0</v>
      </c>
    </row>
    <row r="20" spans="1:5" ht="12.75">
      <c r="A20" s="100" t="s">
        <v>690</v>
      </c>
      <c r="B20" s="401">
        <v>14</v>
      </c>
      <c r="C20" s="401">
        <v>14</v>
      </c>
      <c r="D20" s="404">
        <v>100</v>
      </c>
      <c r="E20" s="403">
        <v>5</v>
      </c>
    </row>
    <row r="21" spans="1:5" ht="12.75">
      <c r="A21" s="109" t="s">
        <v>392</v>
      </c>
      <c r="B21" s="403">
        <v>14</v>
      </c>
      <c r="C21" s="403">
        <v>14</v>
      </c>
      <c r="D21" s="405">
        <v>100</v>
      </c>
      <c r="E21" s="403">
        <v>5</v>
      </c>
    </row>
    <row r="22" spans="1:5" ht="12.75">
      <c r="A22" s="109" t="s">
        <v>393</v>
      </c>
      <c r="B22" s="403">
        <v>0</v>
      </c>
      <c r="C22" s="403">
        <v>0</v>
      </c>
      <c r="D22" s="405">
        <v>0</v>
      </c>
      <c r="E22" s="403">
        <v>0</v>
      </c>
    </row>
    <row r="23" spans="1:5" ht="12.75">
      <c r="A23" s="244" t="s">
        <v>402</v>
      </c>
      <c r="B23" s="401"/>
      <c r="C23" s="401"/>
      <c r="D23" s="399"/>
      <c r="E23" s="403"/>
    </row>
    <row r="24" spans="1:5" ht="12.75">
      <c r="A24" s="402" t="s">
        <v>559</v>
      </c>
      <c r="B24" s="401">
        <v>6</v>
      </c>
      <c r="C24" s="401">
        <v>0</v>
      </c>
      <c r="D24" s="404">
        <v>0</v>
      </c>
      <c r="E24" s="403">
        <v>0</v>
      </c>
    </row>
    <row r="25" spans="1:5" ht="12.75">
      <c r="A25" s="100" t="s">
        <v>690</v>
      </c>
      <c r="B25" s="401">
        <v>22</v>
      </c>
      <c r="C25" s="401">
        <v>17</v>
      </c>
      <c r="D25" s="404">
        <v>77.27272727272727</v>
      </c>
      <c r="E25" s="403">
        <v>6</v>
      </c>
    </row>
    <row r="26" spans="1:5" ht="12.75">
      <c r="A26" s="109" t="s">
        <v>392</v>
      </c>
      <c r="B26" s="403">
        <v>22</v>
      </c>
      <c r="C26" s="403">
        <v>17</v>
      </c>
      <c r="D26" s="405">
        <v>77.27272727272727</v>
      </c>
      <c r="E26" s="403">
        <v>6</v>
      </c>
    </row>
    <row r="27" spans="1:5" ht="12.75">
      <c r="A27" s="109" t="s">
        <v>393</v>
      </c>
      <c r="B27" s="403">
        <v>0</v>
      </c>
      <c r="C27" s="403">
        <v>0</v>
      </c>
      <c r="D27" s="405">
        <v>0</v>
      </c>
      <c r="E27" s="403">
        <v>0</v>
      </c>
    </row>
    <row r="28" spans="1:5" ht="12.75">
      <c r="A28" s="244" t="s">
        <v>404</v>
      </c>
      <c r="B28" s="401"/>
      <c r="C28" s="401"/>
      <c r="D28" s="399"/>
      <c r="E28" s="403"/>
    </row>
    <row r="29" spans="1:5" ht="12.75">
      <c r="A29" s="402" t="s">
        <v>559</v>
      </c>
      <c r="B29" s="401">
        <v>30</v>
      </c>
      <c r="C29" s="401">
        <v>17</v>
      </c>
      <c r="D29" s="404">
        <v>56.666666666666664</v>
      </c>
      <c r="E29" s="403">
        <v>1</v>
      </c>
    </row>
    <row r="30" spans="1:5" ht="12.75">
      <c r="A30" s="100" t="s">
        <v>690</v>
      </c>
      <c r="B30" s="401">
        <v>31</v>
      </c>
      <c r="C30" s="401">
        <v>18</v>
      </c>
      <c r="D30" s="404">
        <v>58.06451612903226</v>
      </c>
      <c r="E30" s="403">
        <v>3</v>
      </c>
    </row>
    <row r="31" spans="1:5" ht="12.75">
      <c r="A31" s="109" t="s">
        <v>392</v>
      </c>
      <c r="B31" s="403">
        <v>10</v>
      </c>
      <c r="C31" s="403">
        <v>2</v>
      </c>
      <c r="D31" s="405">
        <v>20</v>
      </c>
      <c r="E31" s="403">
        <v>0</v>
      </c>
    </row>
    <row r="32" spans="1:5" ht="12.75">
      <c r="A32" s="109" t="s">
        <v>393</v>
      </c>
      <c r="B32" s="403">
        <v>21</v>
      </c>
      <c r="C32" s="403">
        <v>16</v>
      </c>
      <c r="D32" s="405">
        <v>76.19047619047619</v>
      </c>
      <c r="E32" s="403">
        <v>3</v>
      </c>
    </row>
    <row r="33" spans="1:5" ht="12.75">
      <c r="A33" s="244" t="s">
        <v>406</v>
      </c>
      <c r="B33" s="401"/>
      <c r="C33" s="401"/>
      <c r="D33" s="405"/>
      <c r="E33" s="403"/>
    </row>
    <row r="34" spans="1:5" ht="12.75">
      <c r="A34" s="402" t="s">
        <v>559</v>
      </c>
      <c r="B34" s="401">
        <v>6</v>
      </c>
      <c r="C34" s="401">
        <v>3</v>
      </c>
      <c r="D34" s="404">
        <v>50</v>
      </c>
      <c r="E34" s="403">
        <v>0</v>
      </c>
    </row>
    <row r="35" spans="1:5" ht="12.75">
      <c r="A35" s="100" t="s">
        <v>690</v>
      </c>
      <c r="B35" s="401">
        <v>6</v>
      </c>
      <c r="C35" s="401">
        <v>3</v>
      </c>
      <c r="D35" s="404">
        <v>50</v>
      </c>
      <c r="E35" s="403">
        <v>0</v>
      </c>
    </row>
    <row r="36" spans="1:5" ht="12.75">
      <c r="A36" s="109" t="s">
        <v>392</v>
      </c>
      <c r="B36" s="403">
        <v>6</v>
      </c>
      <c r="C36" s="403">
        <v>3</v>
      </c>
      <c r="D36" s="405">
        <v>50</v>
      </c>
      <c r="E36" s="403">
        <v>0</v>
      </c>
    </row>
    <row r="37" spans="1:5" ht="12.75">
      <c r="A37" s="109" t="s">
        <v>393</v>
      </c>
      <c r="B37" s="403">
        <v>0</v>
      </c>
      <c r="C37" s="403">
        <v>0</v>
      </c>
      <c r="D37" s="405">
        <v>0</v>
      </c>
      <c r="E37" s="403">
        <v>0</v>
      </c>
    </row>
    <row r="38" spans="1:5" ht="12.75">
      <c r="A38" s="244" t="s">
        <v>408</v>
      </c>
      <c r="B38" s="401"/>
      <c r="C38" s="401"/>
      <c r="D38" s="399"/>
      <c r="E38" s="403"/>
    </row>
    <row r="39" spans="1:5" ht="12.75">
      <c r="A39" s="402" t="s">
        <v>559</v>
      </c>
      <c r="B39" s="401">
        <v>60</v>
      </c>
      <c r="C39" s="401">
        <v>56</v>
      </c>
      <c r="D39" s="404">
        <v>93.33333333333333</v>
      </c>
      <c r="E39" s="403">
        <v>3</v>
      </c>
    </row>
    <row r="40" spans="1:5" ht="12.75">
      <c r="A40" s="100" t="s">
        <v>391</v>
      </c>
      <c r="B40" s="401">
        <v>62</v>
      </c>
      <c r="C40" s="401">
        <v>58</v>
      </c>
      <c r="D40" s="404">
        <v>93.54838709677419</v>
      </c>
      <c r="E40" s="403">
        <v>9</v>
      </c>
    </row>
    <row r="41" spans="1:5" ht="12.75">
      <c r="A41" s="109" t="s">
        <v>392</v>
      </c>
      <c r="B41" s="403">
        <v>62</v>
      </c>
      <c r="C41" s="403">
        <v>58</v>
      </c>
      <c r="D41" s="405">
        <v>93.54838709677419</v>
      </c>
      <c r="E41" s="403">
        <v>9</v>
      </c>
    </row>
    <row r="42" spans="1:5" ht="12.75">
      <c r="A42" s="109" t="s">
        <v>393</v>
      </c>
      <c r="B42" s="403">
        <v>0</v>
      </c>
      <c r="C42" s="403">
        <v>0</v>
      </c>
      <c r="D42" s="405">
        <v>0</v>
      </c>
      <c r="E42" s="403">
        <v>0</v>
      </c>
    </row>
    <row r="43" spans="1:5" ht="12.75">
      <c r="A43" s="244" t="s">
        <v>410</v>
      </c>
      <c r="B43" s="401"/>
      <c r="C43" s="401"/>
      <c r="D43" s="405"/>
      <c r="E43" s="403"/>
    </row>
    <row r="44" spans="1:5" ht="12.75">
      <c r="A44" s="406" t="s">
        <v>146</v>
      </c>
      <c r="B44" s="407">
        <v>70</v>
      </c>
      <c r="C44" s="407">
        <v>5</v>
      </c>
      <c r="D44" s="408">
        <v>7.142857142857142</v>
      </c>
      <c r="E44" s="409">
        <v>0</v>
      </c>
    </row>
    <row r="45" spans="1:5" ht="12.75">
      <c r="A45" s="410" t="s">
        <v>690</v>
      </c>
      <c r="B45" s="407">
        <v>70</v>
      </c>
      <c r="C45" s="407">
        <v>40</v>
      </c>
      <c r="D45" s="408">
        <v>57.14285714285714</v>
      </c>
      <c r="E45" s="409">
        <v>0</v>
      </c>
    </row>
    <row r="46" spans="1:5" ht="12.75">
      <c r="A46" s="411" t="s">
        <v>392</v>
      </c>
      <c r="B46" s="409">
        <v>70</v>
      </c>
      <c r="C46" s="409">
        <v>40</v>
      </c>
      <c r="D46" s="412">
        <v>57.14285714285714</v>
      </c>
      <c r="E46" s="409">
        <v>0</v>
      </c>
    </row>
    <row r="47" spans="1:5" ht="12.75">
      <c r="A47" s="411" t="s">
        <v>393</v>
      </c>
      <c r="B47" s="409">
        <v>0</v>
      </c>
      <c r="C47" s="409">
        <v>0</v>
      </c>
      <c r="D47" s="412">
        <v>0</v>
      </c>
      <c r="E47" s="409">
        <v>0</v>
      </c>
    </row>
    <row r="48" spans="1:5" ht="12.75">
      <c r="A48" s="413" t="s">
        <v>412</v>
      </c>
      <c r="B48" s="407"/>
      <c r="C48" s="407"/>
      <c r="D48" s="414"/>
      <c r="E48" s="409"/>
    </row>
    <row r="49" spans="1:5" ht="12.75">
      <c r="A49" s="402" t="s">
        <v>559</v>
      </c>
      <c r="B49" s="401">
        <v>282</v>
      </c>
      <c r="C49" s="401">
        <v>115</v>
      </c>
      <c r="D49" s="404">
        <v>40.78014184397163</v>
      </c>
      <c r="E49" s="403">
        <v>26</v>
      </c>
    </row>
    <row r="50" spans="1:5" ht="12.75">
      <c r="A50" s="100" t="s">
        <v>690</v>
      </c>
      <c r="B50" s="401">
        <v>289</v>
      </c>
      <c r="C50" s="401">
        <v>108</v>
      </c>
      <c r="D50" s="404">
        <v>37.37024221453287</v>
      </c>
      <c r="E50" s="403">
        <v>18</v>
      </c>
    </row>
    <row r="51" spans="1:5" ht="12.75">
      <c r="A51" s="109" t="s">
        <v>392</v>
      </c>
      <c r="B51" s="403">
        <v>169</v>
      </c>
      <c r="C51" s="403">
        <v>60</v>
      </c>
      <c r="D51" s="405">
        <v>35.50295857988166</v>
      </c>
      <c r="E51" s="403">
        <v>8</v>
      </c>
    </row>
    <row r="52" spans="1:5" ht="12.75">
      <c r="A52" s="109" t="s">
        <v>393</v>
      </c>
      <c r="B52" s="403">
        <v>120</v>
      </c>
      <c r="C52" s="403">
        <v>48</v>
      </c>
      <c r="D52" s="405">
        <v>40</v>
      </c>
      <c r="E52" s="403">
        <v>10</v>
      </c>
    </row>
    <row r="53" spans="1:5" ht="12.75">
      <c r="A53" s="244" t="s">
        <v>414</v>
      </c>
      <c r="B53" s="401"/>
      <c r="C53" s="401"/>
      <c r="D53" s="399"/>
      <c r="E53" s="403"/>
    </row>
    <row r="54" spans="1:5" ht="12.75">
      <c r="A54" s="402" t="s">
        <v>559</v>
      </c>
      <c r="B54" s="401">
        <v>1416</v>
      </c>
      <c r="C54" s="401">
        <v>622</v>
      </c>
      <c r="D54" s="404">
        <v>43.92655367231638</v>
      </c>
      <c r="E54" s="403">
        <v>108</v>
      </c>
    </row>
    <row r="55" spans="1:5" ht="12.75">
      <c r="A55" s="100" t="s">
        <v>690</v>
      </c>
      <c r="B55" s="401">
        <v>1451</v>
      </c>
      <c r="C55" s="401">
        <v>592</v>
      </c>
      <c r="D55" s="404">
        <v>40.799448656099244</v>
      </c>
      <c r="E55" s="403">
        <v>88</v>
      </c>
    </row>
    <row r="56" spans="1:5" ht="12.75">
      <c r="A56" s="109" t="s">
        <v>392</v>
      </c>
      <c r="B56" s="403">
        <v>1318</v>
      </c>
      <c r="C56" s="403">
        <v>556</v>
      </c>
      <c r="D56" s="405">
        <v>42.18512898330804</v>
      </c>
      <c r="E56" s="403">
        <v>81</v>
      </c>
    </row>
    <row r="57" spans="1:5" ht="12.75">
      <c r="A57" s="109" t="s">
        <v>393</v>
      </c>
      <c r="B57" s="403">
        <v>133</v>
      </c>
      <c r="C57" s="403">
        <v>36</v>
      </c>
      <c r="D57" s="405"/>
      <c r="E57" s="403">
        <v>7</v>
      </c>
    </row>
    <row r="58" spans="1:5" ht="12.75">
      <c r="A58" s="244" t="s">
        <v>416</v>
      </c>
      <c r="B58" s="401"/>
      <c r="C58" s="401"/>
      <c r="D58" s="399"/>
      <c r="E58" s="403"/>
    </row>
    <row r="59" spans="1:5" ht="12.75">
      <c r="A59" s="402" t="s">
        <v>559</v>
      </c>
      <c r="B59" s="401">
        <v>302</v>
      </c>
      <c r="C59" s="401">
        <v>121</v>
      </c>
      <c r="D59" s="404">
        <v>40.06622516556291</v>
      </c>
      <c r="E59" s="403">
        <v>-3</v>
      </c>
    </row>
    <row r="60" spans="1:5" ht="12.75">
      <c r="A60" s="100" t="s">
        <v>690</v>
      </c>
      <c r="B60" s="401">
        <v>313</v>
      </c>
      <c r="C60" s="401">
        <v>144</v>
      </c>
      <c r="D60" s="404">
        <v>46.00638977635783</v>
      </c>
      <c r="E60" s="403">
        <v>24</v>
      </c>
    </row>
    <row r="61" spans="1:5" ht="12.75">
      <c r="A61" s="109" t="s">
        <v>392</v>
      </c>
      <c r="B61" s="403">
        <v>260</v>
      </c>
      <c r="C61" s="403">
        <v>116</v>
      </c>
      <c r="D61" s="405">
        <v>44.61538461538462</v>
      </c>
      <c r="E61" s="403">
        <v>13</v>
      </c>
    </row>
    <row r="62" spans="1:5" ht="12.75">
      <c r="A62" s="109" t="s">
        <v>393</v>
      </c>
      <c r="B62" s="403">
        <v>53</v>
      </c>
      <c r="C62" s="403">
        <v>28</v>
      </c>
      <c r="D62" s="405">
        <v>52.83018867924528</v>
      </c>
      <c r="E62" s="403">
        <v>11</v>
      </c>
    </row>
    <row r="63" spans="1:5" ht="12.75">
      <c r="A63" s="244" t="s">
        <v>418</v>
      </c>
      <c r="B63" s="401"/>
      <c r="C63" s="401"/>
      <c r="D63" s="399"/>
      <c r="E63" s="403"/>
    </row>
    <row r="64" spans="1:5" ht="12.75">
      <c r="A64" s="402" t="s">
        <v>559</v>
      </c>
      <c r="B64" s="401">
        <v>0</v>
      </c>
      <c r="C64" s="401">
        <v>0</v>
      </c>
      <c r="D64" s="401">
        <v>0</v>
      </c>
      <c r="E64" s="403">
        <v>0</v>
      </c>
    </row>
    <row r="65" spans="1:5" ht="12.75">
      <c r="A65" s="100" t="s">
        <v>690</v>
      </c>
      <c r="B65" s="401">
        <v>0</v>
      </c>
      <c r="C65" s="401">
        <v>0</v>
      </c>
      <c r="D65" s="401">
        <v>0</v>
      </c>
      <c r="E65" s="403">
        <v>0</v>
      </c>
    </row>
    <row r="66" spans="1:5" ht="12.75">
      <c r="A66" s="109" t="s">
        <v>392</v>
      </c>
      <c r="B66" s="403">
        <v>0</v>
      </c>
      <c r="C66" s="403">
        <v>0</v>
      </c>
      <c r="D66" s="405"/>
      <c r="E66" s="403">
        <v>0</v>
      </c>
    </row>
    <row r="67" spans="1:5" ht="12.75">
      <c r="A67" s="109" t="s">
        <v>393</v>
      </c>
      <c r="B67" s="403">
        <v>0</v>
      </c>
      <c r="C67" s="403">
        <v>0</v>
      </c>
      <c r="D67" s="405"/>
      <c r="E67" s="403">
        <v>0</v>
      </c>
    </row>
    <row r="68" spans="1:5" ht="12.75">
      <c r="A68" s="244" t="s">
        <v>420</v>
      </c>
      <c r="B68" s="401"/>
      <c r="C68" s="401"/>
      <c r="D68" s="399"/>
      <c r="E68" s="403"/>
    </row>
    <row r="69" spans="1:5" ht="12.75">
      <c r="A69" s="406" t="s">
        <v>146</v>
      </c>
      <c r="B69" s="407">
        <v>393</v>
      </c>
      <c r="C69" s="407">
        <v>357</v>
      </c>
      <c r="D69" s="408">
        <v>90.83969465648855</v>
      </c>
      <c r="E69" s="409">
        <v>30</v>
      </c>
    </row>
    <row r="70" spans="1:5" ht="12.75">
      <c r="A70" s="410" t="s">
        <v>690</v>
      </c>
      <c r="B70" s="407">
        <v>464</v>
      </c>
      <c r="C70" s="407">
        <v>426</v>
      </c>
      <c r="D70" s="408">
        <v>91.8103448275862</v>
      </c>
      <c r="E70" s="409">
        <v>38</v>
      </c>
    </row>
    <row r="71" spans="1:5" ht="12.75">
      <c r="A71" s="411" t="s">
        <v>147</v>
      </c>
      <c r="B71" s="409">
        <v>444</v>
      </c>
      <c r="C71" s="409">
        <v>415</v>
      </c>
      <c r="D71" s="412">
        <v>93.46846846846847</v>
      </c>
      <c r="E71" s="409">
        <v>37</v>
      </c>
    </row>
    <row r="72" spans="1:5" ht="12.75">
      <c r="A72" s="411" t="s">
        <v>393</v>
      </c>
      <c r="B72" s="409">
        <v>20</v>
      </c>
      <c r="C72" s="409">
        <v>11</v>
      </c>
      <c r="D72" s="412">
        <v>55</v>
      </c>
      <c r="E72" s="409">
        <v>1</v>
      </c>
    </row>
    <row r="73" spans="1:5" ht="12.75">
      <c r="A73" s="244" t="s">
        <v>422</v>
      </c>
      <c r="B73" s="401"/>
      <c r="C73" s="401"/>
      <c r="D73" s="399"/>
      <c r="E73" s="403"/>
    </row>
    <row r="74" spans="1:5" ht="12.75">
      <c r="A74" s="402" t="s">
        <v>559</v>
      </c>
      <c r="B74" s="401">
        <v>188</v>
      </c>
      <c r="C74" s="401">
        <v>57</v>
      </c>
      <c r="D74" s="404">
        <v>30.319148936170215</v>
      </c>
      <c r="E74" s="403">
        <v>31</v>
      </c>
    </row>
    <row r="75" spans="1:5" ht="12.75">
      <c r="A75" s="100" t="s">
        <v>690</v>
      </c>
      <c r="B75" s="401">
        <v>223</v>
      </c>
      <c r="C75" s="401">
        <v>31</v>
      </c>
      <c r="D75" s="404">
        <v>13.901345291479823</v>
      </c>
      <c r="E75" s="403">
        <v>4</v>
      </c>
    </row>
    <row r="76" spans="1:5" ht="12.75">
      <c r="A76" s="109" t="s">
        <v>392</v>
      </c>
      <c r="B76" s="403">
        <v>219</v>
      </c>
      <c r="C76" s="403">
        <v>30</v>
      </c>
      <c r="D76" s="405">
        <v>13.698630136986301</v>
      </c>
      <c r="E76" s="403">
        <v>4</v>
      </c>
    </row>
    <row r="77" spans="1:5" ht="12.75">
      <c r="A77" s="109" t="s">
        <v>393</v>
      </c>
      <c r="B77" s="403">
        <v>4</v>
      </c>
      <c r="C77" s="403">
        <v>1</v>
      </c>
      <c r="D77" s="405">
        <v>25</v>
      </c>
      <c r="E77" s="403">
        <v>0</v>
      </c>
    </row>
    <row r="78" spans="1:5" ht="25.5">
      <c r="A78" s="94" t="s">
        <v>424</v>
      </c>
      <c r="B78" s="401"/>
      <c r="C78" s="401"/>
      <c r="D78" s="399"/>
      <c r="E78" s="403"/>
    </row>
    <row r="79" spans="1:5" ht="12.75">
      <c r="A79" s="402" t="s">
        <v>559</v>
      </c>
      <c r="B79" s="401">
        <v>36</v>
      </c>
      <c r="C79" s="401">
        <v>21</v>
      </c>
      <c r="D79" s="404">
        <v>58.333333333333336</v>
      </c>
      <c r="E79" s="403">
        <v>7</v>
      </c>
    </row>
    <row r="80" spans="1:5" ht="12.75">
      <c r="A80" s="100" t="s">
        <v>690</v>
      </c>
      <c r="B80" s="401">
        <v>142</v>
      </c>
      <c r="C80" s="401">
        <v>22</v>
      </c>
      <c r="D80" s="404">
        <v>15.492957746478872</v>
      </c>
      <c r="E80" s="403">
        <v>4</v>
      </c>
    </row>
    <row r="81" spans="1:5" ht="12.75">
      <c r="A81" s="109" t="s">
        <v>392</v>
      </c>
      <c r="B81" s="403">
        <v>131</v>
      </c>
      <c r="C81" s="403">
        <v>13</v>
      </c>
      <c r="D81" s="405">
        <v>9.923664122137405</v>
      </c>
      <c r="E81" s="403">
        <v>4</v>
      </c>
    </row>
    <row r="82" spans="1:5" ht="12.75">
      <c r="A82" s="109" t="s">
        <v>393</v>
      </c>
      <c r="B82" s="403">
        <v>11</v>
      </c>
      <c r="C82" s="403">
        <v>9</v>
      </c>
      <c r="D82" s="405">
        <v>81.81818181818183</v>
      </c>
      <c r="E82" s="403">
        <v>0</v>
      </c>
    </row>
    <row r="83" spans="1:5" ht="12.75">
      <c r="A83" s="244" t="s">
        <v>426</v>
      </c>
      <c r="B83" s="401"/>
      <c r="C83" s="401"/>
      <c r="D83" s="399"/>
      <c r="E83" s="403"/>
    </row>
    <row r="84" spans="1:5" ht="12.75">
      <c r="A84" s="402" t="s">
        <v>559</v>
      </c>
      <c r="B84" s="401">
        <v>840</v>
      </c>
      <c r="C84" s="401">
        <v>605</v>
      </c>
      <c r="D84" s="404">
        <v>72.02380952380952</v>
      </c>
      <c r="E84" s="403">
        <v>129</v>
      </c>
    </row>
    <row r="85" spans="1:5" ht="12.75">
      <c r="A85" s="100" t="s">
        <v>690</v>
      </c>
      <c r="B85" s="401">
        <v>958</v>
      </c>
      <c r="C85" s="401">
        <v>492</v>
      </c>
      <c r="D85" s="404">
        <v>51.356993736951985</v>
      </c>
      <c r="E85" s="403">
        <v>119</v>
      </c>
    </row>
    <row r="86" spans="1:5" ht="12.75">
      <c r="A86" s="109" t="s">
        <v>392</v>
      </c>
      <c r="B86" s="403">
        <v>875</v>
      </c>
      <c r="C86" s="403">
        <v>453</v>
      </c>
      <c r="D86" s="405">
        <v>51.771428571428565</v>
      </c>
      <c r="E86" s="403">
        <v>118</v>
      </c>
    </row>
    <row r="87" spans="1:5" ht="12.75">
      <c r="A87" s="109" t="s">
        <v>393</v>
      </c>
      <c r="B87" s="403">
        <v>83</v>
      </c>
      <c r="C87" s="403">
        <v>39</v>
      </c>
      <c r="D87" s="405">
        <v>46.98795180722892</v>
      </c>
      <c r="E87" s="403">
        <v>1</v>
      </c>
    </row>
    <row r="88" spans="1:5" ht="12.75">
      <c r="A88" s="244" t="s">
        <v>428</v>
      </c>
      <c r="B88" s="401"/>
      <c r="C88" s="401"/>
      <c r="D88" s="399"/>
      <c r="E88" s="403"/>
    </row>
    <row r="89" spans="1:5" ht="12.75">
      <c r="A89" s="402" t="s">
        <v>559</v>
      </c>
      <c r="B89" s="401">
        <v>0</v>
      </c>
      <c r="C89" s="401">
        <v>0</v>
      </c>
      <c r="D89" s="404"/>
      <c r="E89" s="403">
        <v>0</v>
      </c>
    </row>
    <row r="90" spans="1:5" ht="12.75">
      <c r="A90" s="100" t="s">
        <v>690</v>
      </c>
      <c r="B90" s="401">
        <v>0</v>
      </c>
      <c r="C90" s="401">
        <v>0</v>
      </c>
      <c r="D90" s="404"/>
      <c r="E90" s="403">
        <v>0</v>
      </c>
    </row>
    <row r="91" spans="1:5" ht="12.75">
      <c r="A91" s="109" t="s">
        <v>392</v>
      </c>
      <c r="B91" s="403">
        <v>0</v>
      </c>
      <c r="C91" s="403">
        <v>0</v>
      </c>
      <c r="D91" s="405"/>
      <c r="E91" s="403">
        <v>0</v>
      </c>
    </row>
    <row r="92" spans="1:5" ht="12.75">
      <c r="A92" s="109" t="s">
        <v>393</v>
      </c>
      <c r="B92" s="403">
        <v>0</v>
      </c>
      <c r="C92" s="403">
        <v>0</v>
      </c>
      <c r="D92" s="405"/>
      <c r="E92" s="403">
        <v>0</v>
      </c>
    </row>
    <row r="93" spans="1:5" ht="12.75">
      <c r="A93" s="244" t="s">
        <v>430</v>
      </c>
      <c r="B93" s="401"/>
      <c r="C93" s="401"/>
      <c r="D93" s="399"/>
      <c r="E93" s="403"/>
    </row>
    <row r="94" spans="1:5" ht="12.75">
      <c r="A94" s="402" t="s">
        <v>559</v>
      </c>
      <c r="B94" s="401">
        <v>0</v>
      </c>
      <c r="C94" s="401">
        <v>0</v>
      </c>
      <c r="D94" s="404"/>
      <c r="E94" s="403">
        <v>0</v>
      </c>
    </row>
    <row r="95" spans="1:5" ht="12.75">
      <c r="A95" s="100" t="s">
        <v>690</v>
      </c>
      <c r="B95" s="401">
        <v>0</v>
      </c>
      <c r="C95" s="401">
        <v>0</v>
      </c>
      <c r="D95" s="404"/>
      <c r="E95" s="403">
        <v>0</v>
      </c>
    </row>
    <row r="96" spans="1:5" ht="12.75">
      <c r="A96" s="109" t="s">
        <v>392</v>
      </c>
      <c r="B96" s="403">
        <v>0</v>
      </c>
      <c r="C96" s="403">
        <v>0</v>
      </c>
      <c r="D96" s="405"/>
      <c r="E96" s="403">
        <v>0</v>
      </c>
    </row>
    <row r="97" spans="1:5" ht="12.75">
      <c r="A97" s="109" t="s">
        <v>393</v>
      </c>
      <c r="B97" s="403">
        <v>0</v>
      </c>
      <c r="C97" s="403">
        <v>0</v>
      </c>
      <c r="D97" s="405"/>
      <c r="E97" s="403">
        <v>0</v>
      </c>
    </row>
    <row r="98" spans="1:5" ht="12.75">
      <c r="A98" s="244" t="s">
        <v>432</v>
      </c>
      <c r="B98" s="401"/>
      <c r="C98" s="401"/>
      <c r="D98" s="399"/>
      <c r="E98" s="403"/>
    </row>
    <row r="99" spans="1:5" ht="12.75">
      <c r="A99" s="402" t="s">
        <v>559</v>
      </c>
      <c r="B99" s="401">
        <v>0</v>
      </c>
      <c r="C99" s="401">
        <v>0</v>
      </c>
      <c r="D99" s="404"/>
      <c r="E99" s="403">
        <v>0</v>
      </c>
    </row>
    <row r="100" spans="1:5" ht="12.75">
      <c r="A100" s="100" t="s">
        <v>690</v>
      </c>
      <c r="B100" s="401">
        <v>0</v>
      </c>
      <c r="C100" s="401">
        <v>0</v>
      </c>
      <c r="D100" s="404"/>
      <c r="E100" s="403">
        <v>0</v>
      </c>
    </row>
    <row r="101" spans="1:5" ht="12.75">
      <c r="A101" s="109" t="s">
        <v>392</v>
      </c>
      <c r="B101" s="403">
        <v>0</v>
      </c>
      <c r="C101" s="403">
        <v>0</v>
      </c>
      <c r="D101" s="405"/>
      <c r="E101" s="403">
        <v>0</v>
      </c>
    </row>
    <row r="102" spans="1:5" ht="12.75">
      <c r="A102" s="109" t="s">
        <v>393</v>
      </c>
      <c r="B102" s="403">
        <v>0</v>
      </c>
      <c r="C102" s="403">
        <v>0</v>
      </c>
      <c r="D102" s="405"/>
      <c r="E102" s="403">
        <v>0</v>
      </c>
    </row>
    <row r="103" spans="1:5" ht="12.75">
      <c r="A103" s="244" t="s">
        <v>434</v>
      </c>
      <c r="B103" s="401"/>
      <c r="C103" s="401"/>
      <c r="D103" s="399"/>
      <c r="E103" s="403"/>
    </row>
    <row r="104" spans="1:5" ht="12.75">
      <c r="A104" s="402" t="s">
        <v>559</v>
      </c>
      <c r="B104" s="401">
        <v>0</v>
      </c>
      <c r="C104" s="401">
        <v>0</v>
      </c>
      <c r="D104" s="404"/>
      <c r="E104" s="403">
        <v>0</v>
      </c>
    </row>
    <row r="105" spans="1:5" ht="12.75">
      <c r="A105" s="100" t="s">
        <v>690</v>
      </c>
      <c r="B105" s="401">
        <v>0</v>
      </c>
      <c r="C105" s="401">
        <v>0</v>
      </c>
      <c r="D105" s="404"/>
      <c r="E105" s="403">
        <v>0</v>
      </c>
    </row>
    <row r="106" spans="1:5" ht="12.75">
      <c r="A106" s="109" t="s">
        <v>392</v>
      </c>
      <c r="B106" s="403">
        <v>0</v>
      </c>
      <c r="C106" s="403">
        <v>0</v>
      </c>
      <c r="D106" s="405"/>
      <c r="E106" s="403">
        <v>0</v>
      </c>
    </row>
    <row r="107" spans="1:5" ht="12.75">
      <c r="A107" s="109" t="s">
        <v>393</v>
      </c>
      <c r="B107" s="403">
        <v>0</v>
      </c>
      <c r="C107" s="403">
        <v>0</v>
      </c>
      <c r="D107" s="405"/>
      <c r="E107" s="403">
        <v>0</v>
      </c>
    </row>
    <row r="108" spans="1:5" ht="12.75">
      <c r="A108" s="244" t="s">
        <v>436</v>
      </c>
      <c r="B108" s="401"/>
      <c r="C108" s="401"/>
      <c r="D108" s="399"/>
      <c r="E108" s="403"/>
    </row>
    <row r="109" spans="1:5" ht="12.75">
      <c r="A109" s="402" t="s">
        <v>559</v>
      </c>
      <c r="B109" s="401">
        <v>0</v>
      </c>
      <c r="C109" s="401">
        <v>0</v>
      </c>
      <c r="D109" s="404"/>
      <c r="E109" s="403">
        <v>0</v>
      </c>
    </row>
    <row r="110" spans="1:5" ht="12.75">
      <c r="A110" s="100" t="s">
        <v>690</v>
      </c>
      <c r="B110" s="401">
        <v>0</v>
      </c>
      <c r="C110" s="401">
        <v>0</v>
      </c>
      <c r="D110" s="404"/>
      <c r="E110" s="403">
        <v>0</v>
      </c>
    </row>
    <row r="111" spans="1:5" ht="12.75">
      <c r="A111" s="109" t="s">
        <v>392</v>
      </c>
      <c r="B111" s="403">
        <v>0</v>
      </c>
      <c r="C111" s="403">
        <v>0</v>
      </c>
      <c r="D111" s="405"/>
      <c r="E111" s="403">
        <v>0</v>
      </c>
    </row>
    <row r="112" spans="1:5" ht="12.75">
      <c r="A112" s="109" t="s">
        <v>393</v>
      </c>
      <c r="B112" s="403">
        <v>0</v>
      </c>
      <c r="C112" s="403">
        <v>0</v>
      </c>
      <c r="D112" s="405"/>
      <c r="E112" s="403">
        <v>0</v>
      </c>
    </row>
    <row r="113" spans="1:5" ht="12.75">
      <c r="A113" s="244" t="s">
        <v>438</v>
      </c>
      <c r="B113" s="401"/>
      <c r="C113" s="401"/>
      <c r="D113" s="399"/>
      <c r="E113" s="403"/>
    </row>
    <row r="114" spans="1:5" ht="12.75">
      <c r="A114" s="402" t="s">
        <v>559</v>
      </c>
      <c r="B114" s="401">
        <v>0</v>
      </c>
      <c r="C114" s="401">
        <v>0</v>
      </c>
      <c r="D114" s="404"/>
      <c r="E114" s="403">
        <v>0</v>
      </c>
    </row>
    <row r="115" spans="1:5" ht="12.75">
      <c r="A115" s="100" t="s">
        <v>690</v>
      </c>
      <c r="B115" s="401">
        <v>0</v>
      </c>
      <c r="C115" s="401">
        <v>0</v>
      </c>
      <c r="D115" s="404"/>
      <c r="E115" s="403">
        <v>0</v>
      </c>
    </row>
    <row r="116" spans="1:5" ht="12.75">
      <c r="A116" s="109" t="s">
        <v>392</v>
      </c>
      <c r="B116" s="403">
        <v>0</v>
      </c>
      <c r="C116" s="403">
        <v>0</v>
      </c>
      <c r="D116" s="405"/>
      <c r="E116" s="403">
        <v>0</v>
      </c>
    </row>
    <row r="117" spans="1:5" ht="12.75">
      <c r="A117" s="109" t="s">
        <v>393</v>
      </c>
      <c r="B117" s="403">
        <v>0</v>
      </c>
      <c r="C117" s="403">
        <v>0</v>
      </c>
      <c r="D117" s="405"/>
      <c r="E117" s="403">
        <v>0</v>
      </c>
    </row>
    <row r="118" spans="1:5" ht="12.75">
      <c r="A118" s="244" t="s">
        <v>440</v>
      </c>
      <c r="B118" s="401"/>
      <c r="C118" s="401"/>
      <c r="D118" s="399"/>
      <c r="E118" s="403"/>
    </row>
    <row r="119" spans="1:5" ht="12.75">
      <c r="A119" s="402" t="s">
        <v>559</v>
      </c>
      <c r="B119" s="401">
        <v>0</v>
      </c>
      <c r="C119" s="401">
        <v>0</v>
      </c>
      <c r="D119" s="404"/>
      <c r="E119" s="403">
        <v>0</v>
      </c>
    </row>
    <row r="120" spans="1:5" ht="12.75">
      <c r="A120" s="100" t="s">
        <v>690</v>
      </c>
      <c r="B120" s="401">
        <v>0</v>
      </c>
      <c r="C120" s="401">
        <v>0</v>
      </c>
      <c r="D120" s="404"/>
      <c r="E120" s="403">
        <v>0</v>
      </c>
    </row>
    <row r="121" spans="1:5" ht="12.75">
      <c r="A121" s="109" t="s">
        <v>392</v>
      </c>
      <c r="B121" s="403">
        <v>0</v>
      </c>
      <c r="C121" s="403">
        <v>0</v>
      </c>
      <c r="D121" s="405"/>
      <c r="E121" s="403">
        <v>0</v>
      </c>
    </row>
    <row r="122" spans="1:5" ht="12.75">
      <c r="A122" s="109" t="s">
        <v>393</v>
      </c>
      <c r="B122" s="403">
        <v>0</v>
      </c>
      <c r="C122" s="403">
        <v>0</v>
      </c>
      <c r="D122" s="405"/>
      <c r="E122" s="403">
        <v>0</v>
      </c>
    </row>
    <row r="123" spans="1:5" ht="12.75">
      <c r="A123" s="244" t="s">
        <v>442</v>
      </c>
      <c r="B123" s="401"/>
      <c r="C123" s="401"/>
      <c r="D123" s="399"/>
      <c r="E123" s="403"/>
    </row>
    <row r="124" spans="1:5" ht="12.75">
      <c r="A124" s="402" t="s">
        <v>559</v>
      </c>
      <c r="B124" s="401">
        <v>0</v>
      </c>
      <c r="C124" s="401">
        <v>0</v>
      </c>
      <c r="D124" s="404"/>
      <c r="E124" s="403">
        <v>0</v>
      </c>
    </row>
    <row r="125" spans="1:5" ht="12.75">
      <c r="A125" s="100" t="s">
        <v>690</v>
      </c>
      <c r="B125" s="401">
        <v>0</v>
      </c>
      <c r="C125" s="401">
        <v>0</v>
      </c>
      <c r="D125" s="404"/>
      <c r="E125" s="403">
        <v>0</v>
      </c>
    </row>
    <row r="126" spans="1:5" ht="12.75">
      <c r="A126" s="109" t="s">
        <v>392</v>
      </c>
      <c r="B126" s="403">
        <v>0</v>
      </c>
      <c r="C126" s="403">
        <v>0</v>
      </c>
      <c r="D126" s="405"/>
      <c r="E126" s="403">
        <v>0</v>
      </c>
    </row>
    <row r="127" spans="1:5" ht="12.75">
      <c r="A127" s="109" t="s">
        <v>393</v>
      </c>
      <c r="B127" s="403">
        <v>0</v>
      </c>
      <c r="C127" s="403">
        <v>0</v>
      </c>
      <c r="D127" s="405"/>
      <c r="E127" s="403">
        <v>0</v>
      </c>
    </row>
    <row r="128" spans="1:5" ht="12.75">
      <c r="A128" s="244" t="s">
        <v>444</v>
      </c>
      <c r="B128" s="401"/>
      <c r="C128" s="401"/>
      <c r="D128" s="399"/>
      <c r="E128" s="403"/>
    </row>
    <row r="129" spans="1:5" ht="12.75">
      <c r="A129" s="402" t="s">
        <v>559</v>
      </c>
      <c r="B129" s="401">
        <v>0</v>
      </c>
      <c r="C129" s="401">
        <v>0</v>
      </c>
      <c r="D129" s="404"/>
      <c r="E129" s="403">
        <v>0</v>
      </c>
    </row>
    <row r="130" spans="1:5" ht="12.75">
      <c r="A130" s="100" t="s">
        <v>690</v>
      </c>
      <c r="B130" s="401">
        <v>0</v>
      </c>
      <c r="C130" s="401">
        <v>0</v>
      </c>
      <c r="D130" s="404"/>
      <c r="E130" s="403">
        <v>0</v>
      </c>
    </row>
    <row r="131" spans="1:5" ht="12.75">
      <c r="A131" s="109" t="s">
        <v>392</v>
      </c>
      <c r="B131" s="403">
        <v>0</v>
      </c>
      <c r="C131" s="403">
        <v>0</v>
      </c>
      <c r="D131" s="405"/>
      <c r="E131" s="403">
        <v>0</v>
      </c>
    </row>
    <row r="132" spans="1:5" ht="12.75">
      <c r="A132" s="109" t="s">
        <v>393</v>
      </c>
      <c r="B132" s="403">
        <v>0</v>
      </c>
      <c r="C132" s="403">
        <v>0</v>
      </c>
      <c r="D132" s="405"/>
      <c r="E132" s="403">
        <v>0</v>
      </c>
    </row>
    <row r="133" spans="1:5" ht="12.75">
      <c r="A133" s="244" t="s">
        <v>446</v>
      </c>
      <c r="B133" s="401"/>
      <c r="C133" s="401"/>
      <c r="D133" s="399"/>
      <c r="E133" s="403"/>
    </row>
    <row r="134" spans="1:5" ht="12.75">
      <c r="A134" s="402" t="s">
        <v>559</v>
      </c>
      <c r="B134" s="401">
        <v>0</v>
      </c>
      <c r="C134" s="401">
        <v>0</v>
      </c>
      <c r="D134" s="404"/>
      <c r="E134" s="403">
        <v>0</v>
      </c>
    </row>
    <row r="135" spans="1:5" ht="12.75">
      <c r="A135" s="100" t="s">
        <v>690</v>
      </c>
      <c r="B135" s="401">
        <v>0</v>
      </c>
      <c r="C135" s="401">
        <v>0</v>
      </c>
      <c r="D135" s="404"/>
      <c r="E135" s="403">
        <v>0</v>
      </c>
    </row>
    <row r="136" spans="1:5" ht="12.75">
      <c r="A136" s="109" t="s">
        <v>392</v>
      </c>
      <c r="B136" s="403">
        <v>0</v>
      </c>
      <c r="C136" s="403">
        <v>0</v>
      </c>
      <c r="D136" s="405"/>
      <c r="E136" s="403">
        <v>0</v>
      </c>
    </row>
    <row r="137" spans="1:5" ht="12.75">
      <c r="A137" s="109" t="s">
        <v>393</v>
      </c>
      <c r="B137" s="403">
        <v>0</v>
      </c>
      <c r="C137" s="403">
        <v>0</v>
      </c>
      <c r="D137" s="405"/>
      <c r="E137" s="403">
        <v>0</v>
      </c>
    </row>
    <row r="138" spans="1:5" ht="38.25">
      <c r="A138" s="94" t="s">
        <v>448</v>
      </c>
      <c r="B138" s="401"/>
      <c r="C138" s="401"/>
      <c r="D138" s="399"/>
      <c r="E138" s="403"/>
    </row>
    <row r="139" spans="1:5" ht="12.75">
      <c r="A139" s="402" t="s">
        <v>559</v>
      </c>
      <c r="B139" s="401">
        <v>310</v>
      </c>
      <c r="C139" s="401">
        <v>34</v>
      </c>
      <c r="D139" s="399">
        <v>10.967741935483872</v>
      </c>
      <c r="E139" s="403">
        <v>1</v>
      </c>
    </row>
    <row r="140" spans="1:5" ht="12.75">
      <c r="A140" s="100" t="s">
        <v>690</v>
      </c>
      <c r="B140" s="401">
        <v>310</v>
      </c>
      <c r="C140" s="401">
        <v>22</v>
      </c>
      <c r="D140" s="399">
        <v>7.096774193548387</v>
      </c>
      <c r="E140" s="403">
        <v>8</v>
      </c>
    </row>
    <row r="141" spans="1:5" ht="12.75">
      <c r="A141" s="109" t="s">
        <v>392</v>
      </c>
      <c r="B141" s="403">
        <v>310</v>
      </c>
      <c r="C141" s="403">
        <v>22</v>
      </c>
      <c r="D141" s="399">
        <v>7.096774193548387</v>
      </c>
      <c r="E141" s="403">
        <v>8</v>
      </c>
    </row>
    <row r="142" spans="1:5" ht="12.75">
      <c r="A142" s="109" t="s">
        <v>393</v>
      </c>
      <c r="B142" s="403">
        <v>0</v>
      </c>
      <c r="C142" s="403">
        <v>0</v>
      </c>
      <c r="D142" s="399"/>
      <c r="E142" s="403">
        <v>0</v>
      </c>
    </row>
    <row r="143" spans="1:5" ht="25.5">
      <c r="A143" s="94" t="s">
        <v>450</v>
      </c>
      <c r="B143" s="401"/>
      <c r="C143" s="401"/>
      <c r="D143" s="399"/>
      <c r="E143" s="403"/>
    </row>
    <row r="144" spans="1:5" ht="12.75">
      <c r="A144" s="402" t="s">
        <v>559</v>
      </c>
      <c r="B144" s="401">
        <v>71</v>
      </c>
      <c r="C144" s="401">
        <v>10</v>
      </c>
      <c r="D144" s="399">
        <v>14.084507042253522</v>
      </c>
      <c r="E144" s="403">
        <v>0</v>
      </c>
    </row>
    <row r="145" spans="1:5" ht="12.75">
      <c r="A145" s="100" t="s">
        <v>690</v>
      </c>
      <c r="B145" s="401">
        <v>71</v>
      </c>
      <c r="C145" s="401">
        <v>14</v>
      </c>
      <c r="D145" s="399">
        <v>19.718309859154928</v>
      </c>
      <c r="E145" s="403">
        <v>2</v>
      </c>
    </row>
    <row r="146" spans="1:5" ht="12.75">
      <c r="A146" s="109" t="s">
        <v>392</v>
      </c>
      <c r="B146" s="403">
        <v>71</v>
      </c>
      <c r="C146" s="403">
        <v>14</v>
      </c>
      <c r="D146" s="399">
        <v>19.718309859154928</v>
      </c>
      <c r="E146" s="403">
        <v>2</v>
      </c>
    </row>
    <row r="147" spans="1:5" ht="12.75">
      <c r="A147" s="109" t="s">
        <v>393</v>
      </c>
      <c r="B147" s="403">
        <v>0</v>
      </c>
      <c r="C147" s="403">
        <v>0</v>
      </c>
      <c r="D147" s="399"/>
      <c r="E147" s="403">
        <v>0</v>
      </c>
    </row>
    <row r="148" spans="1:5" ht="25.5">
      <c r="A148" s="94" t="s">
        <v>451</v>
      </c>
      <c r="B148" s="401"/>
      <c r="C148" s="401"/>
      <c r="D148" s="399"/>
      <c r="E148" s="403"/>
    </row>
    <row r="149" spans="1:5" ht="12.75">
      <c r="A149" s="402" t="s">
        <v>559</v>
      </c>
      <c r="B149" s="401">
        <v>0</v>
      </c>
      <c r="C149" s="401">
        <v>0</v>
      </c>
      <c r="D149" s="404"/>
      <c r="E149" s="403">
        <v>0</v>
      </c>
    </row>
    <row r="150" spans="1:5" ht="12.75">
      <c r="A150" s="100" t="s">
        <v>690</v>
      </c>
      <c r="B150" s="401">
        <v>0</v>
      </c>
      <c r="C150" s="401">
        <v>0</v>
      </c>
      <c r="D150" s="404"/>
      <c r="E150" s="403">
        <v>0</v>
      </c>
    </row>
    <row r="151" spans="1:5" ht="12.75">
      <c r="A151" s="109" t="s">
        <v>392</v>
      </c>
      <c r="B151" s="403">
        <v>0</v>
      </c>
      <c r="C151" s="403">
        <v>0</v>
      </c>
      <c r="D151" s="405"/>
      <c r="E151" s="403">
        <v>0</v>
      </c>
    </row>
    <row r="152" spans="1:5" ht="12.75">
      <c r="A152" s="109" t="s">
        <v>393</v>
      </c>
      <c r="B152" s="403">
        <v>0</v>
      </c>
      <c r="C152" s="403">
        <v>0</v>
      </c>
      <c r="D152" s="405"/>
      <c r="E152" s="403">
        <v>0</v>
      </c>
    </row>
    <row r="153" spans="1:5" ht="12.75">
      <c r="A153" s="463"/>
      <c r="B153" s="442"/>
      <c r="C153" s="1"/>
      <c r="D153" s="1"/>
      <c r="E153" s="1"/>
    </row>
    <row r="154" spans="1:5" ht="12.75">
      <c r="A154" s="49"/>
      <c r="C154" s="1"/>
      <c r="D154" s="1"/>
      <c r="E154" s="1"/>
    </row>
    <row r="155" spans="1:5" ht="12.75">
      <c r="A155" s="41"/>
      <c r="B155" s="1"/>
      <c r="C155" s="1"/>
      <c r="D155" s="1"/>
      <c r="E155" s="1"/>
    </row>
    <row r="156" spans="1:5" ht="18">
      <c r="A156" s="239" t="s">
        <v>140</v>
      </c>
      <c r="B156" s="751"/>
      <c r="C156" s="751"/>
      <c r="D156" s="815" t="s">
        <v>376</v>
      </c>
      <c r="E156" s="815"/>
    </row>
    <row r="157" spans="1:5" ht="12.75">
      <c r="A157" s="49"/>
      <c r="B157" s="1"/>
      <c r="C157" s="1"/>
      <c r="D157" s="1"/>
      <c r="E157" s="1"/>
    </row>
    <row r="158" spans="1:5" ht="12.75">
      <c r="A158" s="49"/>
      <c r="B158" s="1"/>
      <c r="C158" s="1"/>
      <c r="D158" s="1"/>
      <c r="E158" s="1"/>
    </row>
    <row r="159" spans="1:5" ht="12.75">
      <c r="A159" s="49"/>
      <c r="B159" s="1"/>
      <c r="C159" s="1"/>
      <c r="D159" s="1"/>
      <c r="E159" s="1"/>
    </row>
    <row r="160" spans="1:5" ht="12.75">
      <c r="A160" s="49"/>
      <c r="B160" s="1"/>
      <c r="C160" s="1"/>
      <c r="D160" s="1"/>
      <c r="E160" s="1"/>
    </row>
    <row r="161" spans="1:5" ht="12.75">
      <c r="A161" s="49"/>
      <c r="B161" s="1"/>
      <c r="C161" s="1"/>
      <c r="D161" s="1"/>
      <c r="E161" s="1"/>
    </row>
    <row r="162" spans="1:5" ht="12.75">
      <c r="A162" s="49"/>
      <c r="B162" s="1"/>
      <c r="C162" s="1"/>
      <c r="D162" s="1"/>
      <c r="E162" s="1"/>
    </row>
    <row r="163" spans="1:5" ht="12.75">
      <c r="A163" s="49"/>
      <c r="B163" s="1"/>
      <c r="C163" s="1"/>
      <c r="D163" s="1"/>
      <c r="E163" s="1"/>
    </row>
    <row r="164" spans="1:5" ht="12.75">
      <c r="A164" s="49"/>
      <c r="B164" s="1"/>
      <c r="C164" s="1"/>
      <c r="D164" s="1"/>
      <c r="E164" s="1"/>
    </row>
    <row r="165" spans="1:5" ht="12.75">
      <c r="A165" s="49"/>
      <c r="B165" s="1"/>
      <c r="C165" s="1"/>
      <c r="D165" s="1"/>
      <c r="E165" s="1"/>
    </row>
    <row r="166" spans="1:5" ht="12.75">
      <c r="A166" s="49"/>
      <c r="B166" s="1"/>
      <c r="C166" s="1"/>
      <c r="D166" s="1"/>
      <c r="E166" s="1"/>
    </row>
    <row r="167" spans="1:5" ht="12.75">
      <c r="A167" s="38" t="s">
        <v>334</v>
      </c>
      <c r="B167" s="1"/>
      <c r="C167" s="1"/>
      <c r="D167" s="1"/>
      <c r="E167" s="1"/>
    </row>
    <row r="168" spans="1:5" ht="12.75">
      <c r="A168" s="38" t="s">
        <v>148</v>
      </c>
      <c r="B168" s="49"/>
      <c r="C168" s="49"/>
      <c r="D168" s="49"/>
      <c r="E168" s="49"/>
    </row>
  </sheetData>
  <mergeCells count="4">
    <mergeCell ref="A2:E2"/>
    <mergeCell ref="A4:E4"/>
    <mergeCell ref="A5:E5"/>
    <mergeCell ref="D156:E156"/>
  </mergeCells>
  <printOptions/>
  <pageMargins left="0.75" right="0.75" top="0.46" bottom="0.48" header="0.25" footer="0.2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E53"/>
  <sheetViews>
    <sheetView workbookViewId="0" topLeftCell="F1">
      <selection activeCell="O7" sqref="O7"/>
    </sheetView>
  </sheetViews>
  <sheetFormatPr defaultColWidth="9.140625" defaultRowHeight="17.25" customHeight="1"/>
  <cols>
    <col min="1" max="1" width="37.421875" style="264" hidden="1" customWidth="1"/>
    <col min="2" max="2" width="13.140625" style="264" hidden="1" customWidth="1"/>
    <col min="3" max="3" width="11.7109375" style="415" hidden="1" customWidth="1"/>
    <col min="4" max="4" width="12.421875" style="39" hidden="1" customWidth="1"/>
    <col min="5" max="5" width="4.140625" style="42" hidden="1" customWidth="1"/>
    <col min="6" max="6" width="37.421875" style="264" customWidth="1"/>
    <col min="7" max="7" width="13.140625" style="264" customWidth="1"/>
    <col min="8" max="8" width="8.8515625" style="42" customWidth="1"/>
    <col min="9" max="9" width="12.421875" style="39" customWidth="1"/>
    <col min="10" max="10" width="9.8515625" style="42" customWidth="1"/>
    <col min="11" max="13" width="9.140625" style="0" hidden="1" customWidth="1"/>
  </cols>
  <sheetData>
    <row r="1" spans="2:10" ht="17.25" customHeight="1">
      <c r="B1" s="51"/>
      <c r="E1" s="415" t="s">
        <v>691</v>
      </c>
      <c r="G1" s="51"/>
      <c r="H1" s="416"/>
      <c r="J1" s="415" t="s">
        <v>691</v>
      </c>
    </row>
    <row r="2" spans="1:6" ht="17.25" customHeight="1">
      <c r="A2" s="264" t="s">
        <v>692</v>
      </c>
      <c r="F2" s="264" t="s">
        <v>692</v>
      </c>
    </row>
    <row r="4" spans="1:10" ht="32.25" customHeight="1">
      <c r="A4" s="816" t="s">
        <v>693</v>
      </c>
      <c r="B4" s="816"/>
      <c r="C4" s="816"/>
      <c r="D4" s="816"/>
      <c r="E4" s="816"/>
      <c r="F4" s="817" t="s">
        <v>693</v>
      </c>
      <c r="G4" s="817"/>
      <c r="H4" s="817"/>
      <c r="I4" s="817"/>
      <c r="J4" s="817"/>
    </row>
    <row r="5" spans="1:10" ht="17.25" customHeight="1">
      <c r="A5" s="830"/>
      <c r="B5" s="830"/>
      <c r="C5" s="830"/>
      <c r="D5" s="830"/>
      <c r="E5" s="830"/>
      <c r="F5" s="830" t="s">
        <v>525</v>
      </c>
      <c r="G5" s="830"/>
      <c r="H5" s="830"/>
      <c r="I5" s="830"/>
      <c r="J5" s="830"/>
    </row>
    <row r="6" spans="1:83" s="38" customFormat="1" ht="13.5" customHeight="1">
      <c r="A6" s="269"/>
      <c r="B6" s="269"/>
      <c r="C6" s="417"/>
      <c r="D6" s="3"/>
      <c r="E6" s="417" t="s">
        <v>240</v>
      </c>
      <c r="F6" s="269"/>
      <c r="G6" s="269"/>
      <c r="H6" s="418"/>
      <c r="I6" s="3"/>
      <c r="J6" s="417" t="s">
        <v>240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</row>
    <row r="7" spans="1:13" ht="67.5">
      <c r="A7" s="312" t="s">
        <v>193</v>
      </c>
      <c r="B7" s="312" t="s">
        <v>382</v>
      </c>
      <c r="C7" s="313" t="s">
        <v>694</v>
      </c>
      <c r="D7" s="312" t="s">
        <v>695</v>
      </c>
      <c r="E7" s="9" t="s">
        <v>526</v>
      </c>
      <c r="F7" s="312" t="s">
        <v>193</v>
      </c>
      <c r="G7" s="312" t="s">
        <v>382</v>
      </c>
      <c r="H7" s="313" t="s">
        <v>694</v>
      </c>
      <c r="I7" s="312" t="s">
        <v>695</v>
      </c>
      <c r="J7" s="9" t="s">
        <v>527</v>
      </c>
      <c r="K7" s="709" t="s">
        <v>528</v>
      </c>
      <c r="L7" t="s">
        <v>552</v>
      </c>
      <c r="M7" t="s">
        <v>529</v>
      </c>
    </row>
    <row r="8" spans="1:10" ht="12.75">
      <c r="A8" s="275">
        <v>1</v>
      </c>
      <c r="B8" s="275">
        <v>2</v>
      </c>
      <c r="C8" s="419">
        <v>3</v>
      </c>
      <c r="D8" s="275">
        <v>4</v>
      </c>
      <c r="E8" s="361">
        <v>5</v>
      </c>
      <c r="F8" s="275">
        <v>1</v>
      </c>
      <c r="G8" s="275">
        <v>2</v>
      </c>
      <c r="H8" s="361">
        <v>3</v>
      </c>
      <c r="I8" s="275">
        <v>4</v>
      </c>
      <c r="J8" s="361">
        <v>5</v>
      </c>
    </row>
    <row r="9" spans="1:13" ht="25.5">
      <c r="A9" s="94" t="s">
        <v>697</v>
      </c>
      <c r="B9" s="420">
        <f>SUM(B10:B12)</f>
        <v>4024586</v>
      </c>
      <c r="C9" s="420">
        <f>SUM(C10:C12)</f>
        <v>2022247</v>
      </c>
      <c r="D9" s="421">
        <f>C9/B9*100</f>
        <v>50.24732978746137</v>
      </c>
      <c r="E9" s="420">
        <f>E10+E11+E12</f>
        <v>331304</v>
      </c>
      <c r="F9" s="94" t="s">
        <v>697</v>
      </c>
      <c r="G9" s="422">
        <f>SUM(G10:G12)</f>
        <v>4024</v>
      </c>
      <c r="H9" s="422">
        <f>SUM(H10:H12)</f>
        <v>2023</v>
      </c>
      <c r="I9" s="423">
        <f>H9/G9*100</f>
        <v>50.27335984095428</v>
      </c>
      <c r="J9" s="422">
        <f>SUM(J10:J12)</f>
        <v>332</v>
      </c>
      <c r="K9">
        <f aca="true" t="shared" si="0" ref="K9:K36">H9</f>
        <v>2023</v>
      </c>
      <c r="L9">
        <v>1691</v>
      </c>
      <c r="M9">
        <f aca="true" t="shared" si="1" ref="M9:M36">K9-L9</f>
        <v>332</v>
      </c>
    </row>
    <row r="10" spans="1:13" ht="25.5">
      <c r="A10" s="69" t="s">
        <v>698</v>
      </c>
      <c r="B10" s="419">
        <v>3362085</v>
      </c>
      <c r="C10" s="419">
        <v>1719949</v>
      </c>
      <c r="D10" s="424">
        <f>C10/B10*100</f>
        <v>51.15721345534096</v>
      </c>
      <c r="E10" s="419">
        <f>C10-'[1]maijs'!C10</f>
        <v>311532</v>
      </c>
      <c r="F10" s="69" t="s">
        <v>698</v>
      </c>
      <c r="G10" s="425">
        <f>ROUND(B10/1000,)</f>
        <v>3362</v>
      </c>
      <c r="H10" s="425">
        <f>ROUND(C10/1000,)</f>
        <v>1720</v>
      </c>
      <c r="I10" s="426">
        <f>H10/G10*100</f>
        <v>51.16002379535991</v>
      </c>
      <c r="J10" s="425">
        <f>ROUND(E10/1000,)</f>
        <v>312</v>
      </c>
      <c r="K10">
        <f t="shared" si="0"/>
        <v>1720</v>
      </c>
      <c r="L10">
        <v>1408</v>
      </c>
      <c r="M10">
        <f t="shared" si="1"/>
        <v>312</v>
      </c>
    </row>
    <row r="11" spans="1:13" ht="25.5">
      <c r="A11" s="69" t="s">
        <v>699</v>
      </c>
      <c r="B11" s="419">
        <v>662501</v>
      </c>
      <c r="C11" s="419">
        <f>198373+43128+7202</f>
        <v>248703</v>
      </c>
      <c r="D11" s="424">
        <f>C11/B11*100</f>
        <v>37.540018807518784</v>
      </c>
      <c r="E11" s="419">
        <f>C11-'[1]maijs'!C11</f>
        <v>19772</v>
      </c>
      <c r="F11" s="69" t="s">
        <v>699</v>
      </c>
      <c r="G11" s="425">
        <f>ROUND(B11/1000,)-1</f>
        <v>662</v>
      </c>
      <c r="H11" s="425">
        <f>ROUND(C11/1000,)</f>
        <v>249</v>
      </c>
      <c r="I11" s="426">
        <f>H11/G11*100</f>
        <v>37.61329305135951</v>
      </c>
      <c r="J11" s="425">
        <f>ROUND(E11/1000,)</f>
        <v>20</v>
      </c>
      <c r="K11">
        <f t="shared" si="0"/>
        <v>249</v>
      </c>
      <c r="L11">
        <v>229</v>
      </c>
      <c r="M11">
        <f t="shared" si="1"/>
        <v>20</v>
      </c>
    </row>
    <row r="12" spans="1:13" ht="25.5">
      <c r="A12" s="69" t="s">
        <v>700</v>
      </c>
      <c r="B12" s="419"/>
      <c r="C12" s="419">
        <v>53595</v>
      </c>
      <c r="D12" s="424"/>
      <c r="E12" s="419">
        <f>C12-'[1]maijs'!C12</f>
        <v>0</v>
      </c>
      <c r="F12" s="69" t="s">
        <v>700</v>
      </c>
      <c r="G12" s="425"/>
      <c r="H12" s="425">
        <f>ROUND(C12/1000,)</f>
        <v>54</v>
      </c>
      <c r="I12" s="426"/>
      <c r="J12" s="425">
        <f>ROUND(E12/1000,)</f>
        <v>0</v>
      </c>
      <c r="K12">
        <f t="shared" si="0"/>
        <v>54</v>
      </c>
      <c r="L12">
        <v>54</v>
      </c>
      <c r="M12">
        <f t="shared" si="1"/>
        <v>0</v>
      </c>
    </row>
    <row r="13" spans="1:13" ht="17.25" customHeight="1">
      <c r="A13" s="94" t="s">
        <v>701</v>
      </c>
      <c r="B13" s="98">
        <f>SUM(B14,B31)</f>
        <v>4425927</v>
      </c>
      <c r="C13" s="378">
        <f>SUM(C14,C31)</f>
        <v>2001689</v>
      </c>
      <c r="D13" s="421">
        <f>C13/B13*100</f>
        <v>45.22643504965175</v>
      </c>
      <c r="E13" s="419">
        <f>C13-'[1]maijs'!C13</f>
        <v>328785</v>
      </c>
      <c r="F13" s="94" t="s">
        <v>701</v>
      </c>
      <c r="G13" s="378">
        <f>SUM(G14,G31)</f>
        <v>4426</v>
      </c>
      <c r="H13" s="378">
        <f>SUM(H14,H31)</f>
        <v>2001</v>
      </c>
      <c r="I13" s="423">
        <f>H13/G13*100</f>
        <v>45.21012200632625</v>
      </c>
      <c r="J13" s="378">
        <f>J14+J31</f>
        <v>328</v>
      </c>
      <c r="K13">
        <f t="shared" si="0"/>
        <v>2001</v>
      </c>
      <c r="L13">
        <v>1673</v>
      </c>
      <c r="M13">
        <f t="shared" si="1"/>
        <v>328</v>
      </c>
    </row>
    <row r="14" spans="1:13" ht="17.25" customHeight="1">
      <c r="A14" s="100" t="s">
        <v>630</v>
      </c>
      <c r="B14" s="98">
        <f>SUM(B15,B22,B25)</f>
        <v>3981305</v>
      </c>
      <c r="C14" s="427">
        <f>SUM(C15,C22,C25)</f>
        <v>1813768</v>
      </c>
      <c r="D14" s="421">
        <f>C14/B14*100</f>
        <v>45.55712260175998</v>
      </c>
      <c r="E14" s="419">
        <f>C14-'[1]maijs'!C14</f>
        <v>295416</v>
      </c>
      <c r="F14" s="100" t="s">
        <v>630</v>
      </c>
      <c r="G14" s="378">
        <f>SUM(G15,G22,G25)</f>
        <v>3981</v>
      </c>
      <c r="H14" s="378">
        <f>SUM(H15,H22,H25)</f>
        <v>1813</v>
      </c>
      <c r="I14" s="423">
        <f>H14/G14*100</f>
        <v>45.54132127606129</v>
      </c>
      <c r="J14" s="378">
        <f>J15+J22+J25</f>
        <v>295</v>
      </c>
      <c r="K14">
        <f t="shared" si="0"/>
        <v>1813</v>
      </c>
      <c r="L14">
        <v>1518</v>
      </c>
      <c r="M14">
        <f t="shared" si="1"/>
        <v>295</v>
      </c>
    </row>
    <row r="15" spans="1:13" ht="17.25" customHeight="1">
      <c r="A15" s="100" t="s">
        <v>473</v>
      </c>
      <c r="B15" s="378">
        <f>SUM(B16,B17,B18,B21)</f>
        <v>3556648</v>
      </c>
      <c r="C15" s="427">
        <f>SUM(C16,C17,C18,C21)</f>
        <v>1571912</v>
      </c>
      <c r="D15" s="421">
        <f>C15/B15*100</f>
        <v>44.19644564207647</v>
      </c>
      <c r="E15" s="419">
        <f>C15-'[1]maijs'!C15</f>
        <v>233234</v>
      </c>
      <c r="F15" s="100" t="s">
        <v>473</v>
      </c>
      <c r="G15" s="378">
        <f>SUM(G16,G17,G18,G21)</f>
        <v>3557</v>
      </c>
      <c r="H15" s="378">
        <f>SUM(H16,H17,H18,H21)</f>
        <v>1572</v>
      </c>
      <c r="I15" s="423">
        <f>H15/G15*100</f>
        <v>44.19454596570143</v>
      </c>
      <c r="J15" s="378">
        <f>SUM(J16:J18)</f>
        <v>233</v>
      </c>
      <c r="K15">
        <f t="shared" si="0"/>
        <v>1572</v>
      </c>
      <c r="L15">
        <v>1339</v>
      </c>
      <c r="M15">
        <f t="shared" si="1"/>
        <v>233</v>
      </c>
    </row>
    <row r="16" spans="1:13" ht="17.25" customHeight="1">
      <c r="A16" s="250" t="s">
        <v>474</v>
      </c>
      <c r="B16" s="419">
        <v>518750</v>
      </c>
      <c r="C16" s="419">
        <f>'[2]jūnijs'!$B$16</f>
        <v>287560</v>
      </c>
      <c r="D16" s="424">
        <f>C16/B16*100</f>
        <v>55.43325301204819</v>
      </c>
      <c r="E16" s="419">
        <f>C16-'[1]maijs'!C16</f>
        <v>55103</v>
      </c>
      <c r="F16" s="250" t="s">
        <v>474</v>
      </c>
      <c r="G16" s="425">
        <f>ROUND(B16/1000,)</f>
        <v>519</v>
      </c>
      <c r="H16" s="425">
        <f>ROUND(C16/1000,)</f>
        <v>288</v>
      </c>
      <c r="I16" s="426">
        <f>H16/G16*100</f>
        <v>55.49132947976878</v>
      </c>
      <c r="J16" s="425">
        <f>ROUND(E16/1000,)+1</f>
        <v>56</v>
      </c>
      <c r="K16">
        <f t="shared" si="0"/>
        <v>288</v>
      </c>
      <c r="L16">
        <v>232</v>
      </c>
      <c r="M16">
        <f t="shared" si="1"/>
        <v>56</v>
      </c>
    </row>
    <row r="17" spans="1:13" ht="25.5">
      <c r="A17" s="69" t="s">
        <v>702</v>
      </c>
      <c r="B17" s="342" t="s">
        <v>199</v>
      </c>
      <c r="C17" s="419">
        <f>'[2]jūnijs'!$B$17</f>
        <v>39952</v>
      </c>
      <c r="D17" s="424" t="s">
        <v>703</v>
      </c>
      <c r="E17" s="419">
        <f>C17-'[1]maijs'!C17</f>
        <v>9032</v>
      </c>
      <c r="F17" s="69" t="s">
        <v>702</v>
      </c>
      <c r="G17" s="398" t="s">
        <v>199</v>
      </c>
      <c r="H17" s="425">
        <f>ROUND(C17/1000,)</f>
        <v>40</v>
      </c>
      <c r="I17" s="426"/>
      <c r="J17" s="425">
        <f>ROUND(E17/1000,)</f>
        <v>9</v>
      </c>
      <c r="K17">
        <f t="shared" si="0"/>
        <v>40</v>
      </c>
      <c r="L17">
        <v>31</v>
      </c>
      <c r="M17">
        <f t="shared" si="1"/>
        <v>9</v>
      </c>
    </row>
    <row r="18" spans="1:13" ht="17.25" customHeight="1">
      <c r="A18" s="69" t="s">
        <v>476</v>
      </c>
      <c r="B18" s="289">
        <v>3037898</v>
      </c>
      <c r="C18" s="289">
        <f>'[2]jūnijs'!$B$18</f>
        <v>1244400</v>
      </c>
      <c r="D18" s="424">
        <f>C18/B18*100</f>
        <v>40.96253396262811</v>
      </c>
      <c r="E18" s="419">
        <f>C18-'[1]maijs'!C18</f>
        <v>169099</v>
      </c>
      <c r="F18" s="69" t="s">
        <v>476</v>
      </c>
      <c r="G18" s="425">
        <f>ROUND(B18/1000,)</f>
        <v>3038</v>
      </c>
      <c r="H18" s="425">
        <f>H19+H20</f>
        <v>1244</v>
      </c>
      <c r="I18" s="426">
        <f>H18/G18*100</f>
        <v>40.94799210006583</v>
      </c>
      <c r="J18" s="425">
        <f>ROUND(E18/1000,)-1</f>
        <v>168</v>
      </c>
      <c r="K18">
        <f t="shared" si="0"/>
        <v>1244</v>
      </c>
      <c r="L18">
        <v>1076</v>
      </c>
      <c r="M18">
        <f t="shared" si="1"/>
        <v>168</v>
      </c>
    </row>
    <row r="19" spans="1:13" ht="17.25" customHeight="1">
      <c r="A19" s="344" t="s">
        <v>704</v>
      </c>
      <c r="B19" s="428" t="s">
        <v>199</v>
      </c>
      <c r="C19" s="289">
        <f>'[2]jūnijs'!$B$19</f>
        <v>1021953</v>
      </c>
      <c r="D19" s="424"/>
      <c r="E19" s="419">
        <f>C19-'[1]maijs'!C19</f>
        <v>141142</v>
      </c>
      <c r="F19" s="344" t="s">
        <v>704</v>
      </c>
      <c r="G19" s="429" t="s">
        <v>199</v>
      </c>
      <c r="H19" s="425">
        <f>ROUND(C19/1000,)</f>
        <v>1022</v>
      </c>
      <c r="I19" s="426"/>
      <c r="J19" s="425">
        <f>ROUND(E19/1000,)</f>
        <v>141</v>
      </c>
      <c r="K19">
        <f t="shared" si="0"/>
        <v>1022</v>
      </c>
      <c r="L19">
        <v>881</v>
      </c>
      <c r="M19">
        <f t="shared" si="1"/>
        <v>141</v>
      </c>
    </row>
    <row r="20" spans="1:13" ht="12.75">
      <c r="A20" s="344" t="s">
        <v>705</v>
      </c>
      <c r="B20" s="428" t="s">
        <v>199</v>
      </c>
      <c r="C20" s="289">
        <f>'[2]jūnijs'!$B$20</f>
        <v>222447</v>
      </c>
      <c r="D20" s="424"/>
      <c r="E20" s="419">
        <f>C20-'[1]maijs'!C20</f>
        <v>27957</v>
      </c>
      <c r="F20" s="344" t="s">
        <v>705</v>
      </c>
      <c r="G20" s="429" t="s">
        <v>199</v>
      </c>
      <c r="H20" s="425">
        <f>ROUND(C20/1000,)</f>
        <v>222</v>
      </c>
      <c r="I20" s="426"/>
      <c r="J20" s="425">
        <f>ROUND(E20/1000,)-1</f>
        <v>27</v>
      </c>
      <c r="K20">
        <f t="shared" si="0"/>
        <v>222</v>
      </c>
      <c r="L20">
        <v>195</v>
      </c>
      <c r="M20">
        <f t="shared" si="1"/>
        <v>27</v>
      </c>
    </row>
    <row r="21" spans="1:13" ht="12.75">
      <c r="A21" s="69" t="s">
        <v>706</v>
      </c>
      <c r="B21" s="342"/>
      <c r="C21" s="419">
        <f>'[2]jūnijs'!$B$21</f>
        <v>0</v>
      </c>
      <c r="D21" s="424"/>
      <c r="E21" s="419">
        <f>C21-'[1]maijs'!C21</f>
        <v>0</v>
      </c>
      <c r="F21" s="69" t="s">
        <v>706</v>
      </c>
      <c r="G21" s="398"/>
      <c r="H21" s="419"/>
      <c r="I21" s="426"/>
      <c r="J21" s="425">
        <f>ROUND(E21/1000,)</f>
        <v>0</v>
      </c>
      <c r="K21">
        <f t="shared" si="0"/>
        <v>0</v>
      </c>
      <c r="M21">
        <f t="shared" si="1"/>
        <v>0</v>
      </c>
    </row>
    <row r="22" spans="1:13" ht="25.5">
      <c r="A22" s="76" t="s">
        <v>477</v>
      </c>
      <c r="B22" s="342"/>
      <c r="C22" s="378">
        <f>C23+C24</f>
        <v>0</v>
      </c>
      <c r="D22" s="424"/>
      <c r="E22" s="419">
        <f>C22-'[1]maijs'!C22</f>
        <v>0</v>
      </c>
      <c r="F22" s="76" t="s">
        <v>477</v>
      </c>
      <c r="G22" s="398"/>
      <c r="H22" s="378"/>
      <c r="I22" s="426"/>
      <c r="J22" s="378"/>
      <c r="K22">
        <f t="shared" si="0"/>
        <v>0</v>
      </c>
      <c r="M22">
        <f t="shared" si="1"/>
        <v>0</v>
      </c>
    </row>
    <row r="23" spans="1:13" ht="25.5">
      <c r="A23" s="69" t="s">
        <v>707</v>
      </c>
      <c r="B23" s="342"/>
      <c r="C23" s="419">
        <f>'[2]jūnijs'!$B$23</f>
        <v>0</v>
      </c>
      <c r="D23" s="424"/>
      <c r="E23" s="419">
        <f>C23-'[1]maijs'!C23</f>
        <v>0</v>
      </c>
      <c r="F23" s="69" t="s">
        <v>707</v>
      </c>
      <c r="G23" s="398"/>
      <c r="H23" s="419"/>
      <c r="I23" s="426"/>
      <c r="J23" s="419"/>
      <c r="K23">
        <f t="shared" si="0"/>
        <v>0</v>
      </c>
      <c r="M23">
        <f t="shared" si="1"/>
        <v>0</v>
      </c>
    </row>
    <row r="24" spans="1:13" ht="25.5">
      <c r="A24" s="69" t="s">
        <v>708</v>
      </c>
      <c r="B24" s="342"/>
      <c r="C24" s="419">
        <f>'[2]jūnijs'!$B$23</f>
        <v>0</v>
      </c>
      <c r="D24" s="424"/>
      <c r="E24" s="419">
        <f>C24-'[1]maijs'!C24</f>
        <v>0</v>
      </c>
      <c r="F24" s="69" t="s">
        <v>708</v>
      </c>
      <c r="G24" s="398"/>
      <c r="H24" s="419"/>
      <c r="I24" s="426"/>
      <c r="J24" s="419"/>
      <c r="K24">
        <f t="shared" si="0"/>
        <v>0</v>
      </c>
      <c r="M24">
        <f t="shared" si="1"/>
        <v>0</v>
      </c>
    </row>
    <row r="25" spans="1:13" ht="12.75">
      <c r="A25" s="32" t="s">
        <v>481</v>
      </c>
      <c r="B25" s="378">
        <f>SUM(B26:B30)</f>
        <v>424657</v>
      </c>
      <c r="C25" s="378">
        <f>SUM(C26:C30)</f>
        <v>241856</v>
      </c>
      <c r="D25" s="421">
        <f>C25/B25*100</f>
        <v>56.95325874764811</v>
      </c>
      <c r="E25" s="419">
        <f>C25-'[1]maijs'!C25</f>
        <v>62182</v>
      </c>
      <c r="F25" s="32" t="s">
        <v>481</v>
      </c>
      <c r="G25" s="378">
        <f>SUM(G26:G30)</f>
        <v>424</v>
      </c>
      <c r="H25" s="378">
        <f>SUM(H26:H30)</f>
        <v>241</v>
      </c>
      <c r="I25" s="423">
        <f>H25/G25*100</f>
        <v>56.839622641509436</v>
      </c>
      <c r="J25" s="430">
        <f>J26+J27+J28+J29+J30</f>
        <v>62</v>
      </c>
      <c r="K25">
        <f t="shared" si="0"/>
        <v>241</v>
      </c>
      <c r="L25">
        <v>179</v>
      </c>
      <c r="M25">
        <f t="shared" si="1"/>
        <v>62</v>
      </c>
    </row>
    <row r="26" spans="1:13" ht="12.75">
      <c r="A26" s="250" t="s">
        <v>482</v>
      </c>
      <c r="B26" s="398">
        <v>14200</v>
      </c>
      <c r="C26" s="419">
        <f>'[2]jūnijs'!$B$26</f>
        <v>8200</v>
      </c>
      <c r="D26" s="421">
        <f>C26/B26*100</f>
        <v>57.74647887323944</v>
      </c>
      <c r="E26" s="419">
        <f>C26-'[1]maijs'!C26</f>
        <v>0</v>
      </c>
      <c r="F26" s="250" t="s">
        <v>482</v>
      </c>
      <c r="G26" s="425">
        <f>ROUND(B26/1000,)</f>
        <v>14</v>
      </c>
      <c r="H26" s="425">
        <f>ROUND(C26/1000,)</f>
        <v>8</v>
      </c>
      <c r="I26" s="426">
        <f>H26/G26*100</f>
        <v>57.14285714285714</v>
      </c>
      <c r="J26" s="425">
        <f>ROUND(E26/1000,)</f>
        <v>0</v>
      </c>
      <c r="K26">
        <f t="shared" si="0"/>
        <v>8</v>
      </c>
      <c r="L26">
        <v>8</v>
      </c>
      <c r="M26">
        <f t="shared" si="1"/>
        <v>0</v>
      </c>
    </row>
    <row r="27" spans="1:13" ht="12.75">
      <c r="A27" s="250" t="s">
        <v>483</v>
      </c>
      <c r="B27" s="398"/>
      <c r="C27" s="419">
        <f>'[2]jūnijs'!$B$27</f>
        <v>300</v>
      </c>
      <c r="D27" s="421"/>
      <c r="E27" s="419">
        <f>C27-'[1]maijs'!C27</f>
        <v>0</v>
      </c>
      <c r="F27" s="250" t="s">
        <v>483</v>
      </c>
      <c r="G27" s="398"/>
      <c r="H27" s="425"/>
      <c r="I27" s="426"/>
      <c r="J27" s="425">
        <f>ROUND(E27/1000,)</f>
        <v>0</v>
      </c>
      <c r="K27">
        <f t="shared" si="0"/>
        <v>0</v>
      </c>
      <c r="M27">
        <f t="shared" si="1"/>
        <v>0</v>
      </c>
    </row>
    <row r="28" spans="1:13" ht="12.75">
      <c r="A28" s="69" t="s">
        <v>484</v>
      </c>
      <c r="B28" s="398"/>
      <c r="C28" s="419">
        <f>'[2]jūnijs'!$B$28</f>
        <v>0</v>
      </c>
      <c r="D28" s="424"/>
      <c r="E28" s="419">
        <f>C28-'[1]maijs'!C28</f>
        <v>0</v>
      </c>
      <c r="F28" s="69" t="s">
        <v>484</v>
      </c>
      <c r="G28" s="398"/>
      <c r="H28" s="425"/>
      <c r="I28" s="426"/>
      <c r="J28" s="425">
        <f>ROUND(E28/1000,)</f>
        <v>0</v>
      </c>
      <c r="K28">
        <f t="shared" si="0"/>
        <v>0</v>
      </c>
      <c r="M28">
        <f t="shared" si="1"/>
        <v>0</v>
      </c>
    </row>
    <row r="29" spans="1:13" ht="12.75">
      <c r="A29" s="69" t="s">
        <v>709</v>
      </c>
      <c r="B29" s="419">
        <v>151640</v>
      </c>
      <c r="C29" s="419">
        <f>'[2]jūnijs'!$B$29</f>
        <v>111245</v>
      </c>
      <c r="D29" s="424">
        <f aca="true" t="shared" si="2" ref="D29:D34">C29/B29*100</f>
        <v>73.3612503297283</v>
      </c>
      <c r="E29" s="419">
        <f>C29-'[1]maijs'!C29</f>
        <v>43021</v>
      </c>
      <c r="F29" s="69" t="s">
        <v>709</v>
      </c>
      <c r="G29" s="425">
        <f>ROUND(B29/1000,)-1</f>
        <v>151</v>
      </c>
      <c r="H29" s="425">
        <f>ROUND(C29/1000,)</f>
        <v>111</v>
      </c>
      <c r="I29" s="426">
        <f>H29/G29*100</f>
        <v>73.50993377483444</v>
      </c>
      <c r="J29" s="425">
        <f>ROUND(E29/1000,)</f>
        <v>43</v>
      </c>
      <c r="K29">
        <f t="shared" si="0"/>
        <v>111</v>
      </c>
      <c r="L29">
        <v>68</v>
      </c>
      <c r="M29">
        <f t="shared" si="1"/>
        <v>43</v>
      </c>
    </row>
    <row r="30" spans="1:13" ht="12.75">
      <c r="A30" s="69" t="s">
        <v>487</v>
      </c>
      <c r="B30" s="419">
        <v>258817</v>
      </c>
      <c r="C30" s="419">
        <f>'[2]jūnijs'!$B$30</f>
        <v>122111</v>
      </c>
      <c r="D30" s="424">
        <f t="shared" si="2"/>
        <v>47.180440233833174</v>
      </c>
      <c r="E30" s="419">
        <f>C30-'[1]maijs'!C30</f>
        <v>19161</v>
      </c>
      <c r="F30" s="69" t="s">
        <v>487</v>
      </c>
      <c r="G30" s="425">
        <f>ROUND(B30/1000,)</f>
        <v>259</v>
      </c>
      <c r="H30" s="425">
        <f>ROUND(C30/1000,)</f>
        <v>122</v>
      </c>
      <c r="I30" s="426">
        <f>H30/G30*100</f>
        <v>47.10424710424711</v>
      </c>
      <c r="J30" s="425">
        <f>ROUND(E30/1000,)</f>
        <v>19</v>
      </c>
      <c r="K30">
        <f t="shared" si="0"/>
        <v>122</v>
      </c>
      <c r="L30">
        <v>103</v>
      </c>
      <c r="M30">
        <f t="shared" si="1"/>
        <v>19</v>
      </c>
    </row>
    <row r="31" spans="1:13" ht="12.75">
      <c r="A31" s="130" t="s">
        <v>710</v>
      </c>
      <c r="B31" s="378">
        <f>SUM(B32:B33)</f>
        <v>444622</v>
      </c>
      <c r="C31" s="378">
        <f>SUM(C32:C33)</f>
        <v>187921</v>
      </c>
      <c r="D31" s="421">
        <f t="shared" si="2"/>
        <v>42.26533999667133</v>
      </c>
      <c r="E31" s="419">
        <f>C31-'[1]maijs'!C31</f>
        <v>33369</v>
      </c>
      <c r="F31" s="130" t="s">
        <v>710</v>
      </c>
      <c r="G31" s="378">
        <f>SUM(G32:G33)</f>
        <v>445</v>
      </c>
      <c r="H31" s="431">
        <f>SUM(H32:H33)</f>
        <v>188</v>
      </c>
      <c r="I31" s="423">
        <f>H31/G31*100</f>
        <v>42.247191011235955</v>
      </c>
      <c r="J31" s="430">
        <f>J32+J33</f>
        <v>33</v>
      </c>
      <c r="K31">
        <f t="shared" si="0"/>
        <v>188</v>
      </c>
      <c r="L31">
        <v>155</v>
      </c>
      <c r="M31">
        <f t="shared" si="1"/>
        <v>33</v>
      </c>
    </row>
    <row r="32" spans="1:13" ht="17.25" customHeight="1">
      <c r="A32" s="69" t="s">
        <v>711</v>
      </c>
      <c r="B32" s="419">
        <v>443012</v>
      </c>
      <c r="C32" s="419">
        <f>'[2]jūnijs'!$B$32</f>
        <v>187921</v>
      </c>
      <c r="D32" s="424">
        <f t="shared" si="2"/>
        <v>42.41894124764114</v>
      </c>
      <c r="E32" s="419">
        <f>C32-'[1]maijs'!C32</f>
        <v>33369</v>
      </c>
      <c r="F32" s="69" t="s">
        <v>711</v>
      </c>
      <c r="G32" s="425">
        <f>ROUND(B32/1000,)</f>
        <v>443</v>
      </c>
      <c r="H32" s="425">
        <f>ROUND(C32/1000,)</f>
        <v>188</v>
      </c>
      <c r="I32" s="426">
        <f>H32/G32*100</f>
        <v>42.43792325056434</v>
      </c>
      <c r="J32" s="425">
        <f>ROUND(E32/1000,)</f>
        <v>33</v>
      </c>
      <c r="K32">
        <f t="shared" si="0"/>
        <v>188</v>
      </c>
      <c r="L32">
        <v>155</v>
      </c>
      <c r="M32">
        <f t="shared" si="1"/>
        <v>33</v>
      </c>
    </row>
    <row r="33" spans="1:13" ht="17.25" customHeight="1">
      <c r="A33" s="69" t="s">
        <v>712</v>
      </c>
      <c r="B33" s="425">
        <v>1610</v>
      </c>
      <c r="C33" s="419">
        <f>'[2]jūnijs'!$B$33</f>
        <v>0</v>
      </c>
      <c r="D33" s="424">
        <f t="shared" si="2"/>
        <v>0</v>
      </c>
      <c r="E33" s="419">
        <f>C33-'[1]maijs'!C33</f>
        <v>0</v>
      </c>
      <c r="F33" s="69" t="s">
        <v>712</v>
      </c>
      <c r="G33" s="425">
        <f>ROUND(B33/1000,)</f>
        <v>2</v>
      </c>
      <c r="H33" s="425">
        <f>ROUND(C33/1000,)</f>
        <v>0</v>
      </c>
      <c r="I33" s="426"/>
      <c r="J33" s="425">
        <f>ROUND(E33/1000,)</f>
        <v>0</v>
      </c>
      <c r="K33">
        <f t="shared" si="0"/>
        <v>0</v>
      </c>
      <c r="L33">
        <v>0</v>
      </c>
      <c r="M33">
        <f t="shared" si="1"/>
        <v>0</v>
      </c>
    </row>
    <row r="34" spans="1:13" ht="12.75">
      <c r="A34" s="130" t="s">
        <v>713</v>
      </c>
      <c r="B34" s="398">
        <f>B9-B13</f>
        <v>-401341</v>
      </c>
      <c r="C34" s="398">
        <f>C9-C13</f>
        <v>20558</v>
      </c>
      <c r="D34" s="424">
        <f t="shared" si="2"/>
        <v>-5.122327397400215</v>
      </c>
      <c r="E34" s="419">
        <f>C34-'[1]maijs'!C34</f>
        <v>2519</v>
      </c>
      <c r="F34" s="130" t="s">
        <v>713</v>
      </c>
      <c r="G34" s="398">
        <f>G9-G13</f>
        <v>-402</v>
      </c>
      <c r="H34" s="419">
        <f>(H9-H13)</f>
        <v>22</v>
      </c>
      <c r="I34" s="426">
        <f>H34/G34*100</f>
        <v>-5.472636815920398</v>
      </c>
      <c r="J34" s="425">
        <f>J9-J13</f>
        <v>4</v>
      </c>
      <c r="K34">
        <f t="shared" si="0"/>
        <v>22</v>
      </c>
      <c r="L34">
        <v>18</v>
      </c>
      <c r="M34">
        <f t="shared" si="1"/>
        <v>4</v>
      </c>
    </row>
    <row r="35" spans="1:13" ht="12.75">
      <c r="A35" s="130" t="s">
        <v>507</v>
      </c>
      <c r="B35" s="432">
        <f>-B34-1</f>
        <v>401340</v>
      </c>
      <c r="C35" s="432">
        <f>-C34</f>
        <v>-20558</v>
      </c>
      <c r="D35" s="433"/>
      <c r="E35" s="419">
        <f>C35-'[1]maijs'!C35</f>
        <v>-2519</v>
      </c>
      <c r="F35" s="130" t="s">
        <v>507</v>
      </c>
      <c r="G35" s="398">
        <f>ROUND(B35/1000,)+1</f>
        <v>402</v>
      </c>
      <c r="H35" s="419">
        <f>-H34</f>
        <v>-22</v>
      </c>
      <c r="I35" s="426">
        <f>-H35/G35*100</f>
        <v>5.472636815920398</v>
      </c>
      <c r="J35" s="419">
        <f>-J34</f>
        <v>-4</v>
      </c>
      <c r="K35">
        <f t="shared" si="0"/>
        <v>-22</v>
      </c>
      <c r="L35">
        <v>-18</v>
      </c>
      <c r="M35">
        <f t="shared" si="1"/>
        <v>-4</v>
      </c>
    </row>
    <row r="36" spans="1:13" ht="25.5">
      <c r="A36" s="134" t="s">
        <v>714</v>
      </c>
      <c r="B36" s="432">
        <v>40134</v>
      </c>
      <c r="C36" s="419">
        <f>C35</f>
        <v>-20558</v>
      </c>
      <c r="D36" s="433"/>
      <c r="E36" s="419">
        <f>C36-'[1]maijs'!C36</f>
        <v>-20558</v>
      </c>
      <c r="F36" s="134" t="s">
        <v>714</v>
      </c>
      <c r="G36" s="398">
        <f>ROUND(B36/1000,)</f>
        <v>40</v>
      </c>
      <c r="H36" s="419">
        <f>H35</f>
        <v>-22</v>
      </c>
      <c r="I36" s="434"/>
      <c r="J36" s="419">
        <f>J35</f>
        <v>-4</v>
      </c>
      <c r="K36">
        <f t="shared" si="0"/>
        <v>-22</v>
      </c>
      <c r="L36">
        <v>-18</v>
      </c>
      <c r="M36">
        <f t="shared" si="1"/>
        <v>-4</v>
      </c>
    </row>
    <row r="37" spans="1:10" ht="12.75">
      <c r="A37" s="710"/>
      <c r="B37" s="435"/>
      <c r="C37" s="711"/>
      <c r="D37" s="712"/>
      <c r="E37" s="711"/>
      <c r="F37" s="463"/>
      <c r="G37" s="442"/>
      <c r="H37" s="711"/>
      <c r="I37" s="713"/>
      <c r="J37" s="711"/>
    </row>
    <row r="38" spans="1:10" ht="12.75">
      <c r="A38" s="710"/>
      <c r="B38" s="435"/>
      <c r="C38" s="711"/>
      <c r="D38" s="712"/>
      <c r="E38" s="711"/>
      <c r="F38" s="49"/>
      <c r="G38"/>
      <c r="H38" s="711"/>
      <c r="I38" s="713"/>
      <c r="J38" s="711"/>
    </row>
    <row r="39" spans="1:10" ht="12.75">
      <c r="A39" s="710"/>
      <c r="B39" s="435"/>
      <c r="C39" s="711"/>
      <c r="D39" s="712"/>
      <c r="E39" s="711"/>
      <c r="F39" s="710"/>
      <c r="G39" s="714"/>
      <c r="H39" s="711"/>
      <c r="I39" s="713"/>
      <c r="J39" s="711"/>
    </row>
    <row r="40" spans="1:10" ht="12.75">
      <c r="A40" s="710"/>
      <c r="B40" s="435"/>
      <c r="C40" s="711"/>
      <c r="D40" s="712"/>
      <c r="E40" s="711"/>
      <c r="F40" s="710"/>
      <c r="G40" s="714"/>
      <c r="H40" s="711"/>
      <c r="I40" s="713"/>
      <c r="J40" s="711"/>
    </row>
    <row r="41" spans="1:11" ht="17.25" customHeight="1">
      <c r="A41" s="41" t="s">
        <v>715</v>
      </c>
      <c r="B41" s="39"/>
      <c r="C41" s="309"/>
      <c r="D41" s="39" t="s">
        <v>376</v>
      </c>
      <c r="E41" s="1"/>
      <c r="F41" s="41" t="s">
        <v>715</v>
      </c>
      <c r="G41" s="39"/>
      <c r="H41" s="309"/>
      <c r="I41" s="39" t="s">
        <v>376</v>
      </c>
      <c r="K41" s="49"/>
    </row>
    <row r="42" spans="1:10" ht="17.25" customHeight="1">
      <c r="A42" s="86"/>
      <c r="B42" s="435"/>
      <c r="C42" s="436"/>
      <c r="D42" s="356"/>
      <c r="E42" s="437"/>
      <c r="F42" s="86"/>
      <c r="G42" s="435"/>
      <c r="H42" s="437"/>
      <c r="I42" s="356"/>
      <c r="J42" s="437"/>
    </row>
    <row r="43" spans="1:10" ht="17.25" customHeight="1">
      <c r="A43" s="86"/>
      <c r="B43" s="86"/>
      <c r="C43" s="436"/>
      <c r="D43" s="389"/>
      <c r="E43" s="437"/>
      <c r="H43" s="438"/>
      <c r="I43" s="389"/>
      <c r="J43" s="437"/>
    </row>
    <row r="45" spans="1:9" ht="17.25" customHeight="1">
      <c r="A45" s="86"/>
      <c r="B45" s="435"/>
      <c r="C45" s="436"/>
      <c r="D45" s="356"/>
      <c r="F45" s="264" t="s">
        <v>236</v>
      </c>
      <c r="G45" s="435"/>
      <c r="H45" s="437"/>
      <c r="I45" s="356"/>
    </row>
    <row r="46" spans="2:10" ht="17.25" customHeight="1">
      <c r="B46" s="439"/>
      <c r="D46" s="440"/>
      <c r="E46" s="416"/>
      <c r="F46" s="264" t="s">
        <v>530</v>
      </c>
      <c r="G46" s="439"/>
      <c r="H46" s="416"/>
      <c r="I46" s="440"/>
      <c r="J46" s="416"/>
    </row>
    <row r="47" spans="2:9" ht="17.25" customHeight="1">
      <c r="B47" s="42"/>
      <c r="D47" s="440"/>
      <c r="G47" s="42"/>
      <c r="I47" s="440"/>
    </row>
    <row r="48" spans="2:9" ht="17.25" customHeight="1">
      <c r="B48" s="42"/>
      <c r="D48" s="440"/>
      <c r="G48" s="42"/>
      <c r="I48" s="440"/>
    </row>
    <row r="49" spans="2:9" ht="17.25" customHeight="1">
      <c r="B49" s="42"/>
      <c r="D49" s="440"/>
      <c r="G49" s="42"/>
      <c r="I49" s="440"/>
    </row>
    <row r="50" spans="1:9" ht="17.25" customHeight="1">
      <c r="A50" s="1"/>
      <c r="B50" s="42"/>
      <c r="D50" s="440"/>
      <c r="F50" s="1"/>
      <c r="G50" s="42"/>
      <c r="I50" s="440"/>
    </row>
    <row r="51" spans="1:6" ht="17.25" customHeight="1">
      <c r="A51" s="1"/>
      <c r="F51" s="1"/>
    </row>
    <row r="52" spans="1:6" ht="17.25" customHeight="1">
      <c r="A52" s="302"/>
      <c r="F52" s="302"/>
    </row>
    <row r="53" spans="2:9" ht="17.25" customHeight="1">
      <c r="B53" s="42"/>
      <c r="D53" s="440"/>
      <c r="G53" s="42"/>
      <c r="I53" s="440"/>
    </row>
  </sheetData>
  <mergeCells count="4">
    <mergeCell ref="A4:E4"/>
    <mergeCell ref="F4:J4"/>
    <mergeCell ref="A5:E5"/>
    <mergeCell ref="F5:J5"/>
  </mergeCells>
  <printOptions/>
  <pageMargins left="0.75" right="0.75" top="0.25" bottom="0.2" header="0.5" footer="0.27"/>
  <pageSetup firstPageNumber="26" useFirstPageNumber="1" horizontalDpi="600" verticalDpi="600" orientation="portrait" paperSize="9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H1">
      <selection activeCell="I9" sqref="I9"/>
    </sheetView>
  </sheetViews>
  <sheetFormatPr defaultColWidth="9.140625" defaultRowHeight="12.75"/>
  <cols>
    <col min="1" max="1" width="32.7109375" style="0" hidden="1" customWidth="1"/>
    <col min="2" max="2" width="9.140625" style="0" hidden="1" customWidth="1"/>
    <col min="3" max="3" width="10.8515625" style="0" hidden="1" customWidth="1"/>
    <col min="4" max="4" width="10.00390625" style="0" hidden="1" customWidth="1"/>
    <col min="5" max="6" width="9.140625" style="0" hidden="1" customWidth="1"/>
    <col min="7" max="7" width="9.140625" style="441" hidden="1" customWidth="1"/>
    <col min="8" max="8" width="32.7109375" style="0" customWidth="1"/>
    <col min="10" max="10" width="10.57421875" style="0" customWidth="1"/>
    <col min="11" max="11" width="10.00390625" style="0" customWidth="1"/>
    <col min="12" max="12" width="10.7109375" style="0" customWidth="1"/>
    <col min="13" max="13" width="9.00390625" style="0" customWidth="1"/>
    <col min="14" max="15" width="9.140625" style="0" hidden="1" customWidth="1"/>
    <col min="16" max="16" width="0.13671875" style="0" hidden="1" customWidth="1"/>
    <col min="17" max="18" width="9.140625" style="0" hidden="1" customWidth="1"/>
  </cols>
  <sheetData>
    <row r="1" ht="12.75">
      <c r="M1" s="38" t="s">
        <v>716</v>
      </c>
    </row>
    <row r="2" spans="2:13" ht="12.75">
      <c r="B2" t="s">
        <v>337</v>
      </c>
      <c r="H2" s="818" t="s">
        <v>337</v>
      </c>
      <c r="I2" s="818"/>
      <c r="J2" s="818"/>
      <c r="K2" s="818"/>
      <c r="L2" s="818"/>
      <c r="M2" s="818"/>
    </row>
    <row r="4" spans="1:13" ht="12.75">
      <c r="A4" s="818" t="s">
        <v>717</v>
      </c>
      <c r="B4" s="818"/>
      <c r="C4" s="818"/>
      <c r="D4" s="818"/>
      <c r="E4" s="818"/>
      <c r="H4" s="808" t="s">
        <v>717</v>
      </c>
      <c r="I4" s="808"/>
      <c r="J4" s="808"/>
      <c r="K4" s="808"/>
      <c r="L4" s="808"/>
      <c r="M4" s="808"/>
    </row>
    <row r="5" spans="2:13" ht="12.75">
      <c r="B5" s="442" t="s">
        <v>525</v>
      </c>
      <c r="H5" s="830" t="s">
        <v>525</v>
      </c>
      <c r="I5" s="830"/>
      <c r="J5" s="830"/>
      <c r="K5" s="830"/>
      <c r="L5" s="830"/>
      <c r="M5" s="830"/>
    </row>
    <row r="7" spans="1:16" ht="56.25">
      <c r="A7" s="443" t="s">
        <v>193</v>
      </c>
      <c r="B7" s="444" t="s">
        <v>718</v>
      </c>
      <c r="C7" s="445" t="s">
        <v>382</v>
      </c>
      <c r="D7" s="446" t="s">
        <v>694</v>
      </c>
      <c r="E7" s="445" t="s">
        <v>695</v>
      </c>
      <c r="F7" s="445" t="s">
        <v>317</v>
      </c>
      <c r="H7" s="447" t="s">
        <v>193</v>
      </c>
      <c r="I7" s="448" t="s">
        <v>718</v>
      </c>
      <c r="J7" s="445" t="s">
        <v>382</v>
      </c>
      <c r="K7" s="446" t="s">
        <v>694</v>
      </c>
      <c r="L7" s="445" t="s">
        <v>719</v>
      </c>
      <c r="M7" s="445" t="s">
        <v>317</v>
      </c>
      <c r="O7" t="s">
        <v>136</v>
      </c>
      <c r="P7" t="s">
        <v>696</v>
      </c>
    </row>
    <row r="8" spans="1:13" ht="12.75">
      <c r="A8" s="443">
        <v>1</v>
      </c>
      <c r="B8" s="443">
        <v>2</v>
      </c>
      <c r="D8" s="443">
        <v>3</v>
      </c>
      <c r="E8" s="443">
        <v>4</v>
      </c>
      <c r="F8" s="443">
        <v>5</v>
      </c>
      <c r="H8" s="449">
        <v>1</v>
      </c>
      <c r="I8" s="449">
        <v>2</v>
      </c>
      <c r="J8" s="449">
        <v>3</v>
      </c>
      <c r="K8" s="449">
        <v>4</v>
      </c>
      <c r="L8" s="449">
        <v>5</v>
      </c>
      <c r="M8" s="93">
        <v>6</v>
      </c>
    </row>
    <row r="9" spans="1:17" ht="19.5" customHeight="1">
      <c r="A9" s="450" t="s">
        <v>398</v>
      </c>
      <c r="B9" s="442"/>
      <c r="C9" s="441">
        <f>SUM(C10:C23)</f>
        <v>4425926</v>
      </c>
      <c r="D9" s="441">
        <f>SUM(D10:D23)</f>
        <v>2001691</v>
      </c>
      <c r="E9" s="451">
        <f aca="true" t="shared" si="0" ref="E9:E17">D9/C9*100</f>
        <v>45.22649045646041</v>
      </c>
      <c r="F9" s="441">
        <f>SUM(F10:F23)</f>
        <v>328786</v>
      </c>
      <c r="H9" s="452" t="s">
        <v>398</v>
      </c>
      <c r="I9" s="453"/>
      <c r="J9" s="454">
        <f>SUM(J10:J23)</f>
        <v>4426</v>
      </c>
      <c r="K9" s="454">
        <f>SUM(K10:K23)</f>
        <v>2001</v>
      </c>
      <c r="L9" s="455">
        <f aca="true" t="shared" si="1" ref="L9:L17">K9/J9*100</f>
        <v>45.21012200632625</v>
      </c>
      <c r="M9" s="456">
        <f>SUM(M10:M23)</f>
        <v>328</v>
      </c>
      <c r="O9" s="190">
        <f aca="true" t="shared" si="2" ref="O9:O23">K9</f>
        <v>2001</v>
      </c>
      <c r="P9" s="190">
        <v>1673</v>
      </c>
      <c r="Q9" s="190">
        <f aca="true" t="shared" si="3" ref="Q9:Q23">O9-P9</f>
        <v>328</v>
      </c>
    </row>
    <row r="10" spans="1:17" ht="19.5" customHeight="1">
      <c r="A10" s="442" t="s">
        <v>522</v>
      </c>
      <c r="B10" s="457" t="s">
        <v>720</v>
      </c>
      <c r="C10" s="441">
        <v>754008</v>
      </c>
      <c r="D10" s="441">
        <v>190511</v>
      </c>
      <c r="E10" s="451">
        <f t="shared" si="0"/>
        <v>25.266442796362902</v>
      </c>
      <c r="F10" s="441">
        <f>D10-'[14]maijs'!D10</f>
        <v>35569</v>
      </c>
      <c r="H10" s="453" t="s">
        <v>522</v>
      </c>
      <c r="I10" s="458" t="s">
        <v>720</v>
      </c>
      <c r="J10" s="459">
        <f>ROUND(C10/1000,)</f>
        <v>754</v>
      </c>
      <c r="K10" s="459">
        <f>ROUND(D10/1000,)</f>
        <v>191</v>
      </c>
      <c r="L10" s="460">
        <f t="shared" si="1"/>
        <v>25.331564986737398</v>
      </c>
      <c r="M10" s="453">
        <f aca="true" t="shared" si="4" ref="M10:M15">ROUND(F10/1000,)</f>
        <v>36</v>
      </c>
      <c r="O10" s="190">
        <f t="shared" si="2"/>
        <v>191</v>
      </c>
      <c r="P10" s="190">
        <v>155</v>
      </c>
      <c r="Q10" s="190">
        <f t="shared" si="3"/>
        <v>36</v>
      </c>
    </row>
    <row r="11" spans="1:17" ht="19.5" customHeight="1">
      <c r="A11" s="442" t="s">
        <v>523</v>
      </c>
      <c r="B11" s="457" t="s">
        <v>721</v>
      </c>
      <c r="C11" s="441">
        <v>33286</v>
      </c>
      <c r="D11" s="441">
        <v>18463</v>
      </c>
      <c r="E11" s="451">
        <f t="shared" si="0"/>
        <v>55.46776422519978</v>
      </c>
      <c r="F11" s="441">
        <f>D11-'[14]maijs'!D11</f>
        <v>3662</v>
      </c>
      <c r="H11" s="453" t="s">
        <v>523</v>
      </c>
      <c r="I11" s="458" t="s">
        <v>721</v>
      </c>
      <c r="J11" s="459">
        <f>ROUND(C11/1000,)</f>
        <v>33</v>
      </c>
      <c r="K11" s="459">
        <f>ROUND(D11/1000,)</f>
        <v>18</v>
      </c>
      <c r="L11" s="460">
        <f t="shared" si="1"/>
        <v>54.54545454545454</v>
      </c>
      <c r="M11" s="453">
        <f>ROUND(F11/1000,)-1</f>
        <v>3</v>
      </c>
      <c r="O11" s="190">
        <f t="shared" si="2"/>
        <v>18</v>
      </c>
      <c r="P11" s="190">
        <v>15</v>
      </c>
      <c r="Q11" s="190">
        <f t="shared" si="3"/>
        <v>3</v>
      </c>
    </row>
    <row r="12" spans="1:17" ht="26.25" customHeight="1">
      <c r="A12" s="461" t="s">
        <v>524</v>
      </c>
      <c r="B12" s="443" t="s">
        <v>722</v>
      </c>
      <c r="C12" s="441">
        <v>295707</v>
      </c>
      <c r="D12" s="441">
        <v>118306</v>
      </c>
      <c r="E12" s="451">
        <f t="shared" si="0"/>
        <v>40.00784560392551</v>
      </c>
      <c r="F12" s="441">
        <f>D12-'[14]maijs'!D12</f>
        <v>18721</v>
      </c>
      <c r="H12" s="462" t="s">
        <v>524</v>
      </c>
      <c r="I12" s="449" t="s">
        <v>722</v>
      </c>
      <c r="J12" s="459">
        <f aca="true" t="shared" si="5" ref="J12:K17">ROUND(C12/1000,)</f>
        <v>296</v>
      </c>
      <c r="K12" s="459">
        <f t="shared" si="5"/>
        <v>118</v>
      </c>
      <c r="L12" s="460">
        <f t="shared" si="1"/>
        <v>39.86486486486486</v>
      </c>
      <c r="M12" s="453">
        <f t="shared" si="4"/>
        <v>19</v>
      </c>
      <c r="O12" s="190">
        <f t="shared" si="2"/>
        <v>118</v>
      </c>
      <c r="P12" s="190">
        <v>99</v>
      </c>
      <c r="Q12" s="190">
        <f t="shared" si="3"/>
        <v>19</v>
      </c>
    </row>
    <row r="13" spans="1:17" ht="19.5" customHeight="1">
      <c r="A13" s="442" t="s">
        <v>531</v>
      </c>
      <c r="B13" s="443" t="s">
        <v>723</v>
      </c>
      <c r="C13" s="441">
        <v>1960960</v>
      </c>
      <c r="D13" s="441">
        <v>779147</v>
      </c>
      <c r="E13" s="451">
        <f t="shared" si="0"/>
        <v>39.732936928851174</v>
      </c>
      <c r="F13" s="441">
        <f>D13-'[14]maijs'!D13</f>
        <v>119254</v>
      </c>
      <c r="H13" s="453" t="s">
        <v>531</v>
      </c>
      <c r="I13" s="449" t="s">
        <v>723</v>
      </c>
      <c r="J13" s="459">
        <f t="shared" si="5"/>
        <v>1961</v>
      </c>
      <c r="K13" s="459">
        <f t="shared" si="5"/>
        <v>779</v>
      </c>
      <c r="L13" s="460">
        <f t="shared" si="1"/>
        <v>39.72463029066803</v>
      </c>
      <c r="M13" s="453">
        <f t="shared" si="4"/>
        <v>119</v>
      </c>
      <c r="O13" s="190">
        <f t="shared" si="2"/>
        <v>779</v>
      </c>
      <c r="P13" s="190">
        <v>660</v>
      </c>
      <c r="Q13" s="190">
        <f t="shared" si="3"/>
        <v>119</v>
      </c>
    </row>
    <row r="14" spans="1:17" ht="19.5" customHeight="1">
      <c r="A14" s="442" t="s">
        <v>532</v>
      </c>
      <c r="B14" s="443" t="s">
        <v>724</v>
      </c>
      <c r="C14" s="441">
        <v>345120</v>
      </c>
      <c r="D14" s="441">
        <v>263226</v>
      </c>
      <c r="E14" s="451">
        <f t="shared" si="0"/>
        <v>76.27086230876216</v>
      </c>
      <c r="F14" s="441">
        <f>D14-'[14]maijs'!D14</f>
        <v>9337</v>
      </c>
      <c r="H14" s="453" t="s">
        <v>532</v>
      </c>
      <c r="I14" s="449" t="s">
        <v>724</v>
      </c>
      <c r="J14" s="459">
        <f t="shared" si="5"/>
        <v>345</v>
      </c>
      <c r="K14" s="459">
        <f t="shared" si="5"/>
        <v>263</v>
      </c>
      <c r="L14" s="460">
        <f t="shared" si="1"/>
        <v>76.23188405797102</v>
      </c>
      <c r="M14" s="453">
        <f t="shared" si="4"/>
        <v>9</v>
      </c>
      <c r="O14" s="190">
        <f t="shared" si="2"/>
        <v>263</v>
      </c>
      <c r="P14" s="190">
        <v>254</v>
      </c>
      <c r="Q14" s="190">
        <f t="shared" si="3"/>
        <v>9</v>
      </c>
    </row>
    <row r="15" spans="1:17" ht="25.5" customHeight="1">
      <c r="A15" s="461" t="s">
        <v>533</v>
      </c>
      <c r="B15" s="443" t="s">
        <v>725</v>
      </c>
      <c r="C15" s="441">
        <v>29202</v>
      </c>
      <c r="D15" s="441">
        <v>13155</v>
      </c>
      <c r="E15" s="451">
        <f t="shared" si="0"/>
        <v>45.04828436408465</v>
      </c>
      <c r="F15" s="441">
        <f>D15-'[14]maijs'!D15</f>
        <v>4280</v>
      </c>
      <c r="H15" s="462" t="s">
        <v>533</v>
      </c>
      <c r="I15" s="449" t="s">
        <v>725</v>
      </c>
      <c r="J15" s="459">
        <f t="shared" si="5"/>
        <v>29</v>
      </c>
      <c r="K15" s="459">
        <f t="shared" si="5"/>
        <v>13</v>
      </c>
      <c r="L15" s="460">
        <f t="shared" si="1"/>
        <v>44.827586206896555</v>
      </c>
      <c r="M15" s="453">
        <f t="shared" si="4"/>
        <v>4</v>
      </c>
      <c r="O15" s="190">
        <f t="shared" si="2"/>
        <v>13</v>
      </c>
      <c r="P15" s="190">
        <v>9</v>
      </c>
      <c r="Q15" s="190">
        <f t="shared" si="3"/>
        <v>4</v>
      </c>
    </row>
    <row r="16" spans="1:17" ht="24.75" customHeight="1">
      <c r="A16" s="461" t="s">
        <v>534</v>
      </c>
      <c r="B16" s="443" t="s">
        <v>726</v>
      </c>
      <c r="C16" s="441">
        <v>130300</v>
      </c>
      <c r="D16" s="441">
        <v>17793</v>
      </c>
      <c r="E16" s="451">
        <f t="shared" si="0"/>
        <v>13.655410590943976</v>
      </c>
      <c r="F16" s="441">
        <f>D16-'[14]maijs'!D16</f>
        <v>3535</v>
      </c>
      <c r="H16" s="462" t="s">
        <v>534</v>
      </c>
      <c r="I16" s="449" t="s">
        <v>726</v>
      </c>
      <c r="J16" s="459">
        <f t="shared" si="5"/>
        <v>130</v>
      </c>
      <c r="K16" s="459">
        <f t="shared" si="5"/>
        <v>18</v>
      </c>
      <c r="L16" s="460">
        <f t="shared" si="1"/>
        <v>13.846153846153847</v>
      </c>
      <c r="M16" s="453">
        <f>ROUND(F16/1000,)</f>
        <v>4</v>
      </c>
      <c r="O16" s="190">
        <f t="shared" si="2"/>
        <v>18</v>
      </c>
      <c r="P16" s="190">
        <v>14</v>
      </c>
      <c r="Q16" s="190">
        <f t="shared" si="3"/>
        <v>4</v>
      </c>
    </row>
    <row r="17" spans="1:17" ht="19.5" customHeight="1">
      <c r="A17" s="442" t="s">
        <v>727</v>
      </c>
      <c r="B17" s="443" t="s">
        <v>728</v>
      </c>
      <c r="C17" s="441">
        <v>799177</v>
      </c>
      <c r="D17" s="441">
        <v>449362</v>
      </c>
      <c r="E17" s="451">
        <f t="shared" si="0"/>
        <v>56.22809465237363</v>
      </c>
      <c r="F17" s="441">
        <f>D17-'[14]maijs'!D17</f>
        <v>107737</v>
      </c>
      <c r="H17" s="453" t="s">
        <v>727</v>
      </c>
      <c r="I17" s="449" t="s">
        <v>728</v>
      </c>
      <c r="J17" s="459">
        <f t="shared" si="5"/>
        <v>799</v>
      </c>
      <c r="K17" s="459">
        <f t="shared" si="5"/>
        <v>449</v>
      </c>
      <c r="L17" s="460">
        <f t="shared" si="1"/>
        <v>56.19524405506884</v>
      </c>
      <c r="M17" s="453">
        <f>ROUND(F17/1000,)</f>
        <v>108</v>
      </c>
      <c r="O17" s="190">
        <f t="shared" si="2"/>
        <v>449</v>
      </c>
      <c r="P17" s="190">
        <v>341</v>
      </c>
      <c r="Q17" s="190">
        <f t="shared" si="3"/>
        <v>108</v>
      </c>
    </row>
    <row r="18" spans="1:17" ht="19.5" customHeight="1">
      <c r="A18" s="442" t="s">
        <v>536</v>
      </c>
      <c r="B18" s="443" t="s">
        <v>729</v>
      </c>
      <c r="C18" s="441"/>
      <c r="D18" s="441"/>
      <c r="E18" s="451"/>
      <c r="F18" s="441">
        <f>D18-'[14]maijs'!D18</f>
        <v>0</v>
      </c>
      <c r="H18" s="453" t="s">
        <v>536</v>
      </c>
      <c r="I18" s="449" t="s">
        <v>729</v>
      </c>
      <c r="J18" s="459"/>
      <c r="K18" s="459"/>
      <c r="L18" s="460"/>
      <c r="M18" s="453"/>
      <c r="O18" s="190">
        <f t="shared" si="2"/>
        <v>0</v>
      </c>
      <c r="P18" s="190"/>
      <c r="Q18" s="190">
        <f t="shared" si="3"/>
        <v>0</v>
      </c>
    </row>
    <row r="19" spans="1:17" ht="27.75" customHeight="1">
      <c r="A19" s="461" t="s">
        <v>730</v>
      </c>
      <c r="B19" s="443" t="s">
        <v>731</v>
      </c>
      <c r="C19" s="441">
        <v>70602</v>
      </c>
      <c r="D19" s="441">
        <v>46223</v>
      </c>
      <c r="E19" s="451">
        <f>D19/C19*100</f>
        <v>65.46981671907311</v>
      </c>
      <c r="F19" s="441">
        <f>D19-'[14]maijs'!D19</f>
        <v>6654</v>
      </c>
      <c r="H19" s="462" t="s">
        <v>730</v>
      </c>
      <c r="I19" s="449" t="s">
        <v>731</v>
      </c>
      <c r="J19" s="459">
        <f>ROUND(C19/1000,)</f>
        <v>71</v>
      </c>
      <c r="K19" s="459">
        <f>ROUND(D19/1000,)</f>
        <v>46</v>
      </c>
      <c r="L19" s="460">
        <f>K19/J19*100</f>
        <v>64.7887323943662</v>
      </c>
      <c r="M19" s="453">
        <f>ROUND(F19/1000,)-1</f>
        <v>6</v>
      </c>
      <c r="O19" s="190">
        <f t="shared" si="2"/>
        <v>46</v>
      </c>
      <c r="P19" s="190">
        <v>40</v>
      </c>
      <c r="Q19" s="190">
        <f t="shared" si="3"/>
        <v>6</v>
      </c>
    </row>
    <row r="20" spans="1:17" ht="22.5" customHeight="1">
      <c r="A20" s="461" t="s">
        <v>538</v>
      </c>
      <c r="B20" s="443" t="s">
        <v>732</v>
      </c>
      <c r="C20" s="441"/>
      <c r="D20" s="441"/>
      <c r="E20" s="451"/>
      <c r="F20" s="441">
        <f>D20-'[14]maijs'!D20</f>
        <v>0</v>
      </c>
      <c r="H20" s="462" t="s">
        <v>538</v>
      </c>
      <c r="I20" s="449" t="s">
        <v>732</v>
      </c>
      <c r="J20" s="459"/>
      <c r="K20" s="459"/>
      <c r="L20" s="460"/>
      <c r="M20" s="453"/>
      <c r="O20" s="190">
        <f t="shared" si="2"/>
        <v>0</v>
      </c>
      <c r="P20" s="190"/>
      <c r="Q20" s="190">
        <f t="shared" si="3"/>
        <v>0</v>
      </c>
    </row>
    <row r="21" spans="1:17" ht="19.5" customHeight="1">
      <c r="A21" s="442" t="s">
        <v>539</v>
      </c>
      <c r="B21" s="443" t="s">
        <v>733</v>
      </c>
      <c r="C21" s="441"/>
      <c r="D21" s="441"/>
      <c r="E21" s="451"/>
      <c r="F21" s="441">
        <f>D21-'[14]maijs'!D21</f>
        <v>0</v>
      </c>
      <c r="H21" s="453" t="s">
        <v>539</v>
      </c>
      <c r="I21" s="449" t="s">
        <v>733</v>
      </c>
      <c r="J21" s="459"/>
      <c r="K21" s="459"/>
      <c r="L21" s="460"/>
      <c r="M21" s="453"/>
      <c r="O21" s="190">
        <f t="shared" si="2"/>
        <v>0</v>
      </c>
      <c r="P21" s="190"/>
      <c r="Q21" s="190">
        <f t="shared" si="3"/>
        <v>0</v>
      </c>
    </row>
    <row r="22" spans="1:17" ht="19.5" customHeight="1">
      <c r="A22" s="442" t="s">
        <v>540</v>
      </c>
      <c r="B22" s="443" t="s">
        <v>734</v>
      </c>
      <c r="C22" s="441">
        <v>7564</v>
      </c>
      <c r="D22" s="441">
        <f>1580+43128+7202</f>
        <v>51910</v>
      </c>
      <c r="E22" s="451">
        <f>D22/C22*100</f>
        <v>686.2771020624009</v>
      </c>
      <c r="F22" s="441">
        <f>D22-'[14]maijs'!D22</f>
        <v>20037</v>
      </c>
      <c r="H22" s="453" t="s">
        <v>735</v>
      </c>
      <c r="I22" s="449" t="s">
        <v>734</v>
      </c>
      <c r="J22" s="459">
        <f>ROUND(C22/1000,)</f>
        <v>8</v>
      </c>
      <c r="K22" s="459">
        <f>ROUND(D22/1000,)</f>
        <v>52</v>
      </c>
      <c r="L22" s="460"/>
      <c r="M22" s="453">
        <f>ROUND(F22/1000,)</f>
        <v>20</v>
      </c>
      <c r="O22" s="190">
        <f t="shared" si="2"/>
        <v>52</v>
      </c>
      <c r="P22" s="190">
        <v>32</v>
      </c>
      <c r="Q22" s="190">
        <f t="shared" si="3"/>
        <v>20</v>
      </c>
    </row>
    <row r="23" spans="1:17" ht="27" customHeight="1">
      <c r="A23" s="461" t="s">
        <v>736</v>
      </c>
      <c r="B23" s="443" t="s">
        <v>737</v>
      </c>
      <c r="C23" s="441"/>
      <c r="D23" s="441">
        <v>53595</v>
      </c>
      <c r="E23" s="451"/>
      <c r="F23" s="441">
        <f>D23-'[14]maijs'!D23</f>
        <v>0</v>
      </c>
      <c r="H23" s="462" t="s">
        <v>738</v>
      </c>
      <c r="I23" s="449" t="s">
        <v>737</v>
      </c>
      <c r="J23" s="459"/>
      <c r="K23" s="459">
        <f>ROUND(D23/1000,)</f>
        <v>54</v>
      </c>
      <c r="L23" s="460"/>
      <c r="M23" s="453">
        <f>ROUND(F23/1000,)</f>
        <v>0</v>
      </c>
      <c r="O23" s="190">
        <f t="shared" si="2"/>
        <v>54</v>
      </c>
      <c r="P23" s="190">
        <v>54</v>
      </c>
      <c r="Q23" s="190">
        <f t="shared" si="3"/>
        <v>0</v>
      </c>
    </row>
    <row r="24" spans="1:13" ht="12.75">
      <c r="A24" s="442"/>
      <c r="B24" s="442"/>
      <c r="C24" s="441"/>
      <c r="D24" s="441"/>
      <c r="F24" s="441"/>
      <c r="H24" s="463"/>
      <c r="I24" s="442"/>
      <c r="J24" s="441"/>
      <c r="K24" s="441"/>
      <c r="M24" s="442"/>
    </row>
    <row r="25" spans="8:12" ht="12.75">
      <c r="H25" s="49"/>
      <c r="L25" s="1"/>
    </row>
    <row r="26" ht="12.75">
      <c r="L26" s="39"/>
    </row>
    <row r="27" spans="8:12" ht="12.75">
      <c r="H27" s="49"/>
      <c r="I27" s="435"/>
      <c r="J27" s="437"/>
      <c r="K27" s="356"/>
      <c r="L27" s="437"/>
    </row>
    <row r="28" spans="8:12" ht="12.75">
      <c r="H28" s="49"/>
      <c r="I28" s="435"/>
      <c r="J28" s="437"/>
      <c r="K28" s="356"/>
      <c r="L28" s="437"/>
    </row>
    <row r="29" spans="8:13" ht="12.75">
      <c r="H29" s="41" t="s">
        <v>140</v>
      </c>
      <c r="I29" s="39"/>
      <c r="J29" s="39"/>
      <c r="K29" s="39" t="s">
        <v>376</v>
      </c>
      <c r="M29" s="49"/>
    </row>
    <row r="30" spans="8:12" ht="12.75">
      <c r="H30" s="264"/>
      <c r="I30" s="264"/>
      <c r="J30" s="42"/>
      <c r="K30" s="39"/>
      <c r="L30" s="42"/>
    </row>
    <row r="31" spans="8:12" ht="12.75">
      <c r="H31" s="86"/>
      <c r="I31" s="435"/>
      <c r="J31" s="437"/>
      <c r="K31" s="356"/>
      <c r="L31" s="42"/>
    </row>
    <row r="32" spans="8:12" ht="12.75">
      <c r="H32" s="264"/>
      <c r="I32" s="439"/>
      <c r="J32" s="416"/>
      <c r="K32" s="440"/>
      <c r="L32" s="416"/>
    </row>
    <row r="33" spans="8:12" ht="12.75">
      <c r="H33" s="264"/>
      <c r="I33" s="42"/>
      <c r="J33" s="42"/>
      <c r="K33" s="440"/>
      <c r="L33" s="42"/>
    </row>
    <row r="34" spans="9:12" ht="12.75">
      <c r="I34" s="42"/>
      <c r="J34" s="42"/>
      <c r="K34" s="440"/>
      <c r="L34" s="42"/>
    </row>
    <row r="35" spans="9:12" ht="12.75">
      <c r="I35" s="42"/>
      <c r="J35" s="42"/>
      <c r="K35" s="440"/>
      <c r="L35" s="42"/>
    </row>
    <row r="43" ht="12.75">
      <c r="H43" s="302" t="s">
        <v>236</v>
      </c>
    </row>
    <row r="44" ht="12.75">
      <c r="H44" s="302" t="s">
        <v>530</v>
      </c>
    </row>
  </sheetData>
  <mergeCells count="4">
    <mergeCell ref="H2:M2"/>
    <mergeCell ref="A4:E4"/>
    <mergeCell ref="H4:M4"/>
    <mergeCell ref="H5:M5"/>
  </mergeCells>
  <printOptions/>
  <pageMargins left="0.75" right="0.75" top="1" bottom="1" header="0.5" footer="0.5"/>
  <pageSetup firstPageNumber="27" useFirstPageNumber="1" horizontalDpi="600" verticalDpi="600" orientation="portrait" paperSize="9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Z267"/>
  <sheetViews>
    <sheetView workbookViewId="0" topLeftCell="H1">
      <selection activeCell="J6" sqref="J6"/>
    </sheetView>
  </sheetViews>
  <sheetFormatPr defaultColWidth="9.140625" defaultRowHeight="12.75"/>
  <cols>
    <col min="1" max="1" width="36.00390625" style="49" hidden="1" customWidth="1"/>
    <col min="2" max="2" width="11.421875" style="49" hidden="1" customWidth="1"/>
    <col min="3" max="3" width="9.57421875" style="49" hidden="1" customWidth="1"/>
    <col min="4" max="4" width="8.57421875" style="49" hidden="1" customWidth="1"/>
    <col min="5" max="5" width="2.7109375" style="49" hidden="1" customWidth="1"/>
    <col min="6" max="6" width="2.8515625" style="49" hidden="1" customWidth="1"/>
    <col min="7" max="7" width="8.00390625" style="38" hidden="1" customWidth="1"/>
    <col min="8" max="8" width="33.57421875" style="49" customWidth="1"/>
    <col min="9" max="9" width="10.8515625" style="49" customWidth="1"/>
    <col min="10" max="10" width="10.57421875" style="49" customWidth="1"/>
    <col min="11" max="11" width="8.140625" style="49" customWidth="1"/>
    <col min="12" max="12" width="8.7109375" style="49" customWidth="1"/>
    <col min="13" max="13" width="9.57421875" style="49" customWidth="1"/>
    <col min="14" max="14" width="8.57421875" style="49" customWidth="1"/>
    <col min="15" max="104" width="11.421875" style="0" customWidth="1"/>
    <col min="105" max="16384" width="11.421875" style="49" customWidth="1"/>
  </cols>
  <sheetData>
    <row r="1" spans="1:14" ht="17.25" customHeight="1">
      <c r="A1" s="51" t="s">
        <v>379</v>
      </c>
      <c r="B1" s="51"/>
      <c r="C1" s="179"/>
      <c r="D1" s="51"/>
      <c r="E1" s="51"/>
      <c r="F1" s="179"/>
      <c r="G1" s="38" t="s">
        <v>739</v>
      </c>
      <c r="H1" s="51" t="s">
        <v>379</v>
      </c>
      <c r="I1" s="51"/>
      <c r="J1" s="179"/>
      <c r="K1" s="51"/>
      <c r="L1" s="51"/>
      <c r="M1" s="179"/>
      <c r="N1" s="1" t="s">
        <v>740</v>
      </c>
    </row>
    <row r="2" spans="1:14" ht="12.75">
      <c r="A2" s="51"/>
      <c r="B2" s="51"/>
      <c r="C2" s="179"/>
      <c r="D2" s="51"/>
      <c r="E2" s="51"/>
      <c r="F2" s="179"/>
      <c r="H2" s="51"/>
      <c r="I2" s="51"/>
      <c r="J2" s="179"/>
      <c r="K2" s="51"/>
      <c r="L2" s="51"/>
      <c r="M2" s="179"/>
      <c r="N2" s="1"/>
    </row>
    <row r="3" spans="1:14" ht="18.75" customHeight="1">
      <c r="A3" s="464" t="s">
        <v>741</v>
      </c>
      <c r="B3" s="179"/>
      <c r="C3" s="179"/>
      <c r="D3" s="179"/>
      <c r="E3" s="179"/>
      <c r="F3" s="179"/>
      <c r="H3" s="464" t="s">
        <v>741</v>
      </c>
      <c r="I3" s="179"/>
      <c r="J3" s="179"/>
      <c r="K3" s="179"/>
      <c r="L3" s="179"/>
      <c r="M3" s="179"/>
      <c r="N3" s="1"/>
    </row>
    <row r="4" spans="1:14" ht="15" customHeight="1">
      <c r="A4" s="464" t="s">
        <v>149</v>
      </c>
      <c r="B4" s="179"/>
      <c r="C4" s="179"/>
      <c r="D4" s="179"/>
      <c r="E4" s="179"/>
      <c r="F4" s="179"/>
      <c r="H4" s="465" t="s">
        <v>525</v>
      </c>
      <c r="I4" s="179"/>
      <c r="J4" s="179"/>
      <c r="K4" s="179"/>
      <c r="L4" s="179"/>
      <c r="M4" s="179"/>
      <c r="N4" s="1"/>
    </row>
    <row r="5" spans="1:14" ht="11.25" customHeight="1">
      <c r="A5" s="1"/>
      <c r="B5" s="1"/>
      <c r="C5" s="1"/>
      <c r="D5" s="5"/>
      <c r="E5" s="39"/>
      <c r="F5" s="1"/>
      <c r="G5" s="2" t="s">
        <v>742</v>
      </c>
      <c r="H5" s="1"/>
      <c r="I5" s="1"/>
      <c r="J5" s="1"/>
      <c r="K5" s="5"/>
      <c r="L5" s="39"/>
      <c r="M5" s="1"/>
      <c r="N5" s="2" t="s">
        <v>517</v>
      </c>
    </row>
    <row r="6" spans="1:14" ht="79.5" customHeight="1">
      <c r="A6" s="9" t="s">
        <v>193</v>
      </c>
      <c r="B6" s="9" t="s">
        <v>241</v>
      </c>
      <c r="C6" s="9" t="s">
        <v>382</v>
      </c>
      <c r="D6" s="9" t="s">
        <v>242</v>
      </c>
      <c r="E6" s="9" t="s">
        <v>383</v>
      </c>
      <c r="F6" s="9" t="s">
        <v>743</v>
      </c>
      <c r="G6" s="9" t="s">
        <v>744</v>
      </c>
      <c r="H6" s="9" t="s">
        <v>193</v>
      </c>
      <c r="I6" s="9" t="s">
        <v>241</v>
      </c>
      <c r="J6" s="9" t="s">
        <v>382</v>
      </c>
      <c r="K6" s="9" t="s">
        <v>242</v>
      </c>
      <c r="L6" s="9" t="s">
        <v>383</v>
      </c>
      <c r="M6" s="9" t="s">
        <v>384</v>
      </c>
      <c r="N6" s="9" t="s">
        <v>310</v>
      </c>
    </row>
    <row r="7" spans="1:14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3">
        <v>7</v>
      </c>
      <c r="H7" s="9">
        <v>1</v>
      </c>
      <c r="I7" s="9">
        <v>2</v>
      </c>
      <c r="J7" s="9">
        <v>3</v>
      </c>
      <c r="K7" s="9">
        <v>4</v>
      </c>
      <c r="L7" s="9">
        <v>5</v>
      </c>
      <c r="M7" s="9">
        <v>6</v>
      </c>
      <c r="N7" s="93">
        <v>7</v>
      </c>
    </row>
    <row r="8" spans="1:104" ht="38.25">
      <c r="A8" s="466" t="s">
        <v>745</v>
      </c>
      <c r="B8" s="467">
        <f>B9+B12</f>
        <v>68523734</v>
      </c>
      <c r="C8" s="467">
        <f>C9+C12</f>
        <v>22827827</v>
      </c>
      <c r="D8" s="467">
        <f>D9+D12</f>
        <v>9279260</v>
      </c>
      <c r="E8" s="468">
        <f aca="true" t="shared" si="0" ref="E8:E71">IF(ISERROR(D8/B8)," ",(D8/B8))</f>
        <v>0.13541673020912726</v>
      </c>
      <c r="F8" s="468">
        <f aca="true" t="shared" si="1" ref="F8:F71">IF(ISERROR(D8/C8)," ",(D8/C8))</f>
        <v>0.4064889750566272</v>
      </c>
      <c r="G8" s="469">
        <f>D8-'[13]Maijs'!D8</f>
        <v>1231056</v>
      </c>
      <c r="H8" s="466" t="s">
        <v>745</v>
      </c>
      <c r="I8" s="467">
        <f>I9+I12</f>
        <v>68524</v>
      </c>
      <c r="J8" s="470">
        <f>J9+J12</f>
        <v>22827</v>
      </c>
      <c r="K8" s="470">
        <f>SUM(K15,K18,K23,K26,K32,K39,K46,K52,K59,K65,K72,K79,K86,K91,K98,K104)</f>
        <v>9279</v>
      </c>
      <c r="L8" s="471">
        <f aca="true" t="shared" si="2" ref="L8:L71">IF(ISERROR(ROUND(K8,0)/ROUND(I8,0))," ",(ROUND(K8,)/ROUND(I8,)))*100</f>
        <v>13.541241025042321</v>
      </c>
      <c r="M8" s="471">
        <f aca="true" t="shared" si="3" ref="M8:M45">IF(ISERROR(ROUND(K8,0)/ROUND(J8,0))," ",(ROUND(K8,)/ROUND(J8,)))*100</f>
        <v>40.649231173610204</v>
      </c>
      <c r="N8" s="470">
        <f>K8-'[13]Maijs'!K8</f>
        <v>1231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</row>
    <row r="9" spans="1:104" s="473" customFormat="1" ht="15" customHeight="1">
      <c r="A9" s="472" t="s">
        <v>390</v>
      </c>
      <c r="B9" s="467">
        <f>SUM(B10:B11)</f>
        <v>56158811</v>
      </c>
      <c r="C9" s="467">
        <f>SUM(C10:C11)</f>
        <v>19725216</v>
      </c>
      <c r="D9" s="467">
        <f>SUM(D10:D11)</f>
        <v>7638779</v>
      </c>
      <c r="E9" s="468">
        <f t="shared" si="0"/>
        <v>0.13602102437674474</v>
      </c>
      <c r="F9" s="468">
        <f t="shared" si="1"/>
        <v>0.38725958691656404</v>
      </c>
      <c r="G9" s="469">
        <f>D9-'[13]Maijs'!D9</f>
        <v>981980</v>
      </c>
      <c r="H9" s="472" t="s">
        <v>390</v>
      </c>
      <c r="I9" s="467">
        <f>SUM(I10:I11)</f>
        <v>56159</v>
      </c>
      <c r="J9" s="467">
        <f>SUM(J10:J11)</f>
        <v>19725</v>
      </c>
      <c r="K9" s="467">
        <f>SUM(K10:K11)</f>
        <v>7639</v>
      </c>
      <c r="L9" s="471">
        <f t="shared" si="2"/>
        <v>13.602450186078812</v>
      </c>
      <c r="M9" s="471">
        <f t="shared" si="3"/>
        <v>38.72750316856781</v>
      </c>
      <c r="N9" s="467">
        <f>K9-'[13]Maijs'!K9</f>
        <v>982</v>
      </c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</row>
    <row r="10" spans="1:104" s="477" customFormat="1" ht="13.5" customHeight="1">
      <c r="A10" s="474" t="s">
        <v>746</v>
      </c>
      <c r="B10" s="11">
        <f>SUM(B17,B20,B25,B28,B34,B41,B48,B54,B61,B67,B74,B81,B100,B106,B88,B93)</f>
        <v>33358432</v>
      </c>
      <c r="C10" s="11">
        <f>SUM(C17,C20,C25,C28,C34,C41,C48,C54,C61,C88,C67,C74,C81,C100,C106)</f>
        <v>10671078</v>
      </c>
      <c r="D10" s="11">
        <f>SUM(D17,D20,D25,D28,D34,D41,D48,D54,D61,D88,D67,D74,D81,D100,D106)</f>
        <v>3536885</v>
      </c>
      <c r="E10" s="475">
        <f t="shared" si="0"/>
        <v>0.1060267161238274</v>
      </c>
      <c r="F10" s="475">
        <f t="shared" si="1"/>
        <v>0.33144589515698414</v>
      </c>
      <c r="G10" s="469">
        <f>D10-'[13]Maijs'!D10</f>
        <v>864120</v>
      </c>
      <c r="H10" s="474" t="s">
        <v>746</v>
      </c>
      <c r="I10" s="11">
        <f>SUM(I17,I20,I25,I28,I34,I41,I48,I54,I61,I67,I74,I81,I100,I106,I88,I93)</f>
        <v>33359</v>
      </c>
      <c r="J10" s="401">
        <f>SUM(J17,J20,J25,J28,J34,J41,J48,J54,J61,J88,J67,J74,J81,J100,J106)</f>
        <v>10671</v>
      </c>
      <c r="K10" s="401">
        <f>SUM(K17,K20,K25,K28,K34,K41,K48,K54,K61,K67,K74,K81,K88,K100,K106)</f>
        <v>3538</v>
      </c>
      <c r="L10" s="58">
        <f t="shared" si="2"/>
        <v>10.605833508198687</v>
      </c>
      <c r="M10" s="58">
        <f t="shared" si="3"/>
        <v>33.155280667228936</v>
      </c>
      <c r="N10" s="401">
        <f>K10-'[13]Maijs'!K10</f>
        <v>865</v>
      </c>
      <c r="O10" s="476"/>
      <c r="P10" s="476"/>
      <c r="Q10" s="476"/>
      <c r="R10" s="476"/>
      <c r="S10" s="476"/>
      <c r="T10" s="476"/>
      <c r="U10" s="476"/>
      <c r="V10" s="476"/>
      <c r="W10" s="476"/>
      <c r="X10" s="476"/>
      <c r="Y10" s="476"/>
      <c r="Z10" s="476"/>
      <c r="AA10" s="476"/>
      <c r="AB10" s="476"/>
      <c r="AC10" s="476"/>
      <c r="AD10" s="476"/>
      <c r="AE10" s="476"/>
      <c r="AF10" s="476"/>
      <c r="AG10" s="476"/>
      <c r="AH10" s="476"/>
      <c r="AI10" s="476"/>
      <c r="AJ10" s="476"/>
      <c r="AK10" s="476"/>
      <c r="AL10" s="476"/>
      <c r="AM10" s="476"/>
      <c r="AN10" s="476"/>
      <c r="AO10" s="476"/>
      <c r="AP10" s="476"/>
      <c r="AQ10" s="476"/>
      <c r="AR10" s="476"/>
      <c r="AS10" s="476"/>
      <c r="AT10" s="476"/>
      <c r="AU10" s="476"/>
      <c r="AV10" s="476"/>
      <c r="AW10" s="476"/>
      <c r="AX10" s="476"/>
      <c r="AY10" s="476"/>
      <c r="AZ10" s="476"/>
      <c r="BA10" s="476"/>
      <c r="BB10" s="476"/>
      <c r="BC10" s="476"/>
      <c r="BD10" s="476"/>
      <c r="BE10" s="476"/>
      <c r="BF10" s="476"/>
      <c r="BG10" s="476"/>
      <c r="BH10" s="476"/>
      <c r="BI10" s="476"/>
      <c r="BJ10" s="476"/>
      <c r="BK10" s="476"/>
      <c r="BL10" s="476"/>
      <c r="BM10" s="476"/>
      <c r="BN10" s="476"/>
      <c r="BO10" s="476"/>
      <c r="BP10" s="476"/>
      <c r="BQ10" s="476"/>
      <c r="BR10" s="476"/>
      <c r="BS10" s="476"/>
      <c r="BT10" s="476"/>
      <c r="BU10" s="476"/>
      <c r="BV10" s="476"/>
      <c r="BW10" s="476"/>
      <c r="BX10" s="476"/>
      <c r="BY10" s="476"/>
      <c r="BZ10" s="476"/>
      <c r="CA10" s="476"/>
      <c r="CB10" s="476"/>
      <c r="CC10" s="476"/>
      <c r="CD10" s="476"/>
      <c r="CE10" s="476"/>
      <c r="CF10" s="476"/>
      <c r="CG10" s="476"/>
      <c r="CH10" s="476"/>
      <c r="CI10" s="476"/>
      <c r="CJ10" s="476"/>
      <c r="CK10" s="476"/>
      <c r="CL10" s="476"/>
      <c r="CM10" s="476"/>
      <c r="CN10" s="476"/>
      <c r="CO10" s="476"/>
      <c r="CP10" s="476"/>
      <c r="CQ10" s="476"/>
      <c r="CR10" s="476"/>
      <c r="CS10" s="476"/>
      <c r="CT10" s="476"/>
      <c r="CU10" s="476"/>
      <c r="CV10" s="476"/>
      <c r="CW10" s="476"/>
      <c r="CX10" s="476"/>
      <c r="CY10" s="476"/>
      <c r="CZ10" s="476"/>
    </row>
    <row r="11" spans="1:104" s="477" customFormat="1" ht="14.25" customHeight="1">
      <c r="A11" s="474" t="s">
        <v>747</v>
      </c>
      <c r="B11" s="11">
        <f>SUM(B29,B35,B42,B49,B55,B62,B68,B75,B82,B94,B101)</f>
        <v>22800379</v>
      </c>
      <c r="C11" s="11">
        <f>SUM(C29,C35,C42,C49,C55,C62,C68,C75,C82,)</f>
        <v>9054138</v>
      </c>
      <c r="D11" s="11">
        <f>SUM(D29,D35,D42,D49,D55,D62,D68,D75,D82,)</f>
        <v>4101894</v>
      </c>
      <c r="E11" s="475">
        <f t="shared" si="0"/>
        <v>0.17990464105881748</v>
      </c>
      <c r="F11" s="475">
        <f t="shared" si="1"/>
        <v>0.45304080852313056</v>
      </c>
      <c r="G11" s="469">
        <f>D11-'[13]Maijs'!D11</f>
        <v>117860</v>
      </c>
      <c r="H11" s="474" t="s">
        <v>747</v>
      </c>
      <c r="I11" s="11">
        <f>SUM(I29,I35,I42,I49,I55,I62,I68,I75,I82,I94,I101)</f>
        <v>22800</v>
      </c>
      <c r="J11" s="401">
        <f>SUM(J29,J35,J42,J55,J49,J62,J68,J75,J82,)</f>
        <v>9054</v>
      </c>
      <c r="K11" s="401">
        <f>SUM(K29,K35,K42,K49,K55,K62,K68,K75,K82,)</f>
        <v>4101</v>
      </c>
      <c r="L11" s="58">
        <f t="shared" si="2"/>
        <v>17.986842105263158</v>
      </c>
      <c r="M11" s="58">
        <f t="shared" si="3"/>
        <v>45.294897282968854</v>
      </c>
      <c r="N11" s="401">
        <f>K11-'[13]Maijs'!K11</f>
        <v>117</v>
      </c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76"/>
      <c r="AS11" s="476"/>
      <c r="AT11" s="476"/>
      <c r="AU11" s="476"/>
      <c r="AV11" s="476"/>
      <c r="AW11" s="476"/>
      <c r="AX11" s="476"/>
      <c r="AY11" s="476"/>
      <c r="AZ11" s="476"/>
      <c r="BA11" s="476"/>
      <c r="BB11" s="476"/>
      <c r="BC11" s="476"/>
      <c r="BD11" s="476"/>
      <c r="BE11" s="476"/>
      <c r="BF11" s="476"/>
      <c r="BG11" s="476"/>
      <c r="BH11" s="476"/>
      <c r="BI11" s="476"/>
      <c r="BJ11" s="476"/>
      <c r="BK11" s="476"/>
      <c r="BL11" s="476"/>
      <c r="BM11" s="476"/>
      <c r="BN11" s="476"/>
      <c r="BO11" s="476"/>
      <c r="BP11" s="476"/>
      <c r="BQ11" s="476"/>
      <c r="BR11" s="476"/>
      <c r="BS11" s="476"/>
      <c r="BT11" s="476"/>
      <c r="BU11" s="476"/>
      <c r="BV11" s="476"/>
      <c r="BW11" s="476"/>
      <c r="BX11" s="476"/>
      <c r="BY11" s="476"/>
      <c r="BZ11" s="476"/>
      <c r="CA11" s="476"/>
      <c r="CB11" s="476"/>
      <c r="CC11" s="476"/>
      <c r="CD11" s="476"/>
      <c r="CE11" s="476"/>
      <c r="CF11" s="476"/>
      <c r="CG11" s="476"/>
      <c r="CH11" s="476"/>
      <c r="CI11" s="476"/>
      <c r="CJ11" s="476"/>
      <c r="CK11" s="476"/>
      <c r="CL11" s="476"/>
      <c r="CM11" s="476"/>
      <c r="CN11" s="476"/>
      <c r="CO11" s="476"/>
      <c r="CP11" s="476"/>
      <c r="CQ11" s="476"/>
      <c r="CR11" s="476"/>
      <c r="CS11" s="476"/>
      <c r="CT11" s="476"/>
      <c r="CU11" s="476"/>
      <c r="CV11" s="476"/>
      <c r="CW11" s="476"/>
      <c r="CX11" s="476"/>
      <c r="CY11" s="476"/>
      <c r="CZ11" s="476"/>
    </row>
    <row r="12" spans="1:104" s="60" customFormat="1" ht="14.25" customHeight="1">
      <c r="A12" s="472" t="s">
        <v>748</v>
      </c>
      <c r="B12" s="467">
        <f>SUM(B13:B14)</f>
        <v>12364923</v>
      </c>
      <c r="C12" s="467">
        <f>SUM(C13:C14)</f>
        <v>3102611</v>
      </c>
      <c r="D12" s="467">
        <f>SUM(D13:D14)</f>
        <v>1640481</v>
      </c>
      <c r="E12" s="468">
        <f t="shared" si="0"/>
        <v>0.13267215655123774</v>
      </c>
      <c r="F12" s="475">
        <f t="shared" si="1"/>
        <v>0.5287420820721643</v>
      </c>
      <c r="G12" s="469">
        <f>D12-'[13]Maijs'!D12</f>
        <v>249076</v>
      </c>
      <c r="H12" s="472" t="s">
        <v>748</v>
      </c>
      <c r="I12" s="467">
        <f>SUM(I13:I14)</f>
        <v>12365</v>
      </c>
      <c r="J12" s="470">
        <f>SUM(J13:J14)</f>
        <v>3102</v>
      </c>
      <c r="K12" s="470">
        <f>SUM(K13:K14)</f>
        <v>1640</v>
      </c>
      <c r="L12" s="471">
        <f t="shared" si="2"/>
        <v>13.263243024666396</v>
      </c>
      <c r="M12" s="471">
        <f t="shared" si="3"/>
        <v>52.86911669890393</v>
      </c>
      <c r="N12" s="470">
        <f>K12-'[13]Maijs'!K12</f>
        <v>249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</row>
    <row r="13" spans="1:104" s="477" customFormat="1" ht="13.5" customHeight="1">
      <c r="A13" s="474" t="s">
        <v>746</v>
      </c>
      <c r="B13" s="11">
        <f>B22+B31+B37+B44+B51+B57+B70+B77+B84+B103+B90+B96+B108</f>
        <v>7130147</v>
      </c>
      <c r="C13" s="11">
        <f>C22+C31+C37+C44+C51+C57+C70+C77+C84+C90+C96+C103+C108</f>
        <v>1709152</v>
      </c>
      <c r="D13" s="11">
        <f>D22+D31+D37+D44+D51+D57+D70+D77+D84+D90+D96+D103+D108</f>
        <v>977692</v>
      </c>
      <c r="E13" s="475">
        <f t="shared" si="0"/>
        <v>0.13712087562851089</v>
      </c>
      <c r="F13" s="475">
        <f t="shared" si="1"/>
        <v>0.5720333826365356</v>
      </c>
      <c r="G13" s="469">
        <f>D13-'[13]Maijs'!D13</f>
        <v>140995</v>
      </c>
      <c r="H13" s="474" t="s">
        <v>746</v>
      </c>
      <c r="I13" s="11">
        <f>I22+I31+I37+I44+I51+I57+I70+I77+I84+I103+I90+I96+I108</f>
        <v>7130</v>
      </c>
      <c r="J13" s="401">
        <f>J22+J31+J37+J44+J51+J57+J70+J77+J84+J103+J90+J96</f>
        <v>1709</v>
      </c>
      <c r="K13" s="401">
        <f>K22+K31+K37+K44+K51+K57+K70+K77+K84+K90+K96+K103+K108</f>
        <v>977</v>
      </c>
      <c r="L13" s="58">
        <f t="shared" si="2"/>
        <v>13.70266479663394</v>
      </c>
      <c r="M13" s="58">
        <f t="shared" si="3"/>
        <v>57.16793446459918</v>
      </c>
      <c r="N13" s="401">
        <f>K13-'[13]Maijs'!K13</f>
        <v>141</v>
      </c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6"/>
      <c r="BS13" s="476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476"/>
      <c r="CG13" s="476"/>
      <c r="CH13" s="476"/>
      <c r="CI13" s="476"/>
      <c r="CJ13" s="476"/>
      <c r="CK13" s="476"/>
      <c r="CL13" s="476"/>
      <c r="CM13" s="476"/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  <c r="CX13" s="476"/>
      <c r="CY13" s="476"/>
      <c r="CZ13" s="476"/>
    </row>
    <row r="14" spans="1:104" s="477" customFormat="1" ht="14.25" customHeight="1">
      <c r="A14" s="474" t="s">
        <v>747</v>
      </c>
      <c r="B14" s="11">
        <f>B38+B45+B58+B64+B71+B78+B85+B97</f>
        <v>5234776</v>
      </c>
      <c r="C14" s="11">
        <f>C38+C45+C58+C64+C71+C78+C85+C97</f>
        <v>1393459</v>
      </c>
      <c r="D14" s="11">
        <f>D38+D45+D58+D64+D71+D78+D85+D97</f>
        <v>662789</v>
      </c>
      <c r="E14" s="475">
        <f t="shared" si="0"/>
        <v>0.12661267645454172</v>
      </c>
      <c r="F14" s="475">
        <f t="shared" si="1"/>
        <v>0.47564298626654966</v>
      </c>
      <c r="G14" s="469">
        <f>D14-'[13]Maijs'!D14</f>
        <v>108081</v>
      </c>
      <c r="H14" s="474" t="s">
        <v>747</v>
      </c>
      <c r="I14" s="11">
        <f>I38+I45+I58+I64+I71+I78+I85+I97</f>
        <v>5235</v>
      </c>
      <c r="J14" s="478">
        <f>J38+J45+J58+J64+J71+J78+J85+J97</f>
        <v>1393</v>
      </c>
      <c r="K14" s="478">
        <f>K38+K45+K58+K64+K71+K78+K85+K97</f>
        <v>663</v>
      </c>
      <c r="L14" s="58">
        <f t="shared" si="2"/>
        <v>12.664756446991404</v>
      </c>
      <c r="M14" s="58">
        <f t="shared" si="3"/>
        <v>47.59511844938981</v>
      </c>
      <c r="N14" s="478">
        <f>K14-'[13]Maijs'!K14</f>
        <v>108</v>
      </c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476"/>
      <c r="AN14" s="476"/>
      <c r="AO14" s="476"/>
      <c r="AP14" s="476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  <c r="BE14" s="476"/>
      <c r="BF14" s="476"/>
      <c r="BG14" s="476"/>
      <c r="BH14" s="476"/>
      <c r="BI14" s="476"/>
      <c r="BJ14" s="476"/>
      <c r="BK14" s="476"/>
      <c r="BL14" s="476"/>
      <c r="BM14" s="476"/>
      <c r="BN14" s="476"/>
      <c r="BO14" s="476"/>
      <c r="BP14" s="476"/>
      <c r="BQ14" s="476"/>
      <c r="BR14" s="476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6"/>
      <c r="CJ14" s="476"/>
      <c r="CK14" s="476"/>
      <c r="CL14" s="476"/>
      <c r="CM14" s="476"/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  <c r="CX14" s="476"/>
      <c r="CY14" s="476"/>
      <c r="CZ14" s="476"/>
    </row>
    <row r="15" spans="1:104" s="66" customFormat="1" ht="13.5" customHeight="1" hidden="1">
      <c r="A15" s="74" t="s">
        <v>400</v>
      </c>
      <c r="B15" s="401">
        <f aca="true" t="shared" si="4" ref="B15:D16">B16</f>
        <v>0</v>
      </c>
      <c r="C15" s="401">
        <f t="shared" si="4"/>
        <v>0</v>
      </c>
      <c r="D15" s="401">
        <f t="shared" si="4"/>
        <v>0</v>
      </c>
      <c r="E15" s="475" t="str">
        <f t="shared" si="0"/>
        <v> </v>
      </c>
      <c r="F15" s="475" t="str">
        <f t="shared" si="1"/>
        <v> </v>
      </c>
      <c r="G15" s="469">
        <f>D15-'[13]Maijs'!D15</f>
        <v>0</v>
      </c>
      <c r="H15" s="74" t="s">
        <v>400</v>
      </c>
      <c r="I15" s="401">
        <f aca="true" t="shared" si="5" ref="I15:K16">I16</f>
        <v>0</v>
      </c>
      <c r="J15" s="401">
        <f t="shared" si="5"/>
        <v>0</v>
      </c>
      <c r="K15" s="401">
        <f t="shared" si="5"/>
        <v>0</v>
      </c>
      <c r="L15" s="58" t="e">
        <f t="shared" si="2"/>
        <v>#VALUE!</v>
      </c>
      <c r="M15" s="58" t="e">
        <f t="shared" si="3"/>
        <v>#VALUE!</v>
      </c>
      <c r="N15" s="401">
        <f>K15-'[13]Maijs'!K15</f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s="477" customFormat="1" ht="12.75" hidden="1">
      <c r="A16" s="479" t="s">
        <v>749</v>
      </c>
      <c r="B16" s="480">
        <f t="shared" si="4"/>
        <v>0</v>
      </c>
      <c r="C16" s="480">
        <f t="shared" si="4"/>
        <v>0</v>
      </c>
      <c r="D16" s="480">
        <f t="shared" si="4"/>
        <v>0</v>
      </c>
      <c r="E16" s="475" t="str">
        <f t="shared" si="0"/>
        <v> </v>
      </c>
      <c r="F16" s="475" t="str">
        <f t="shared" si="1"/>
        <v> </v>
      </c>
      <c r="G16" s="469">
        <f>D16-'[13]Maijs'!D16</f>
        <v>0</v>
      </c>
      <c r="H16" s="479" t="s">
        <v>749</v>
      </c>
      <c r="I16" s="480">
        <f t="shared" si="5"/>
        <v>0</v>
      </c>
      <c r="J16" s="480">
        <f t="shared" si="5"/>
        <v>0</v>
      </c>
      <c r="K16" s="480">
        <f t="shared" si="5"/>
        <v>0</v>
      </c>
      <c r="L16" s="481" t="e">
        <f t="shared" si="2"/>
        <v>#VALUE!</v>
      </c>
      <c r="M16" s="481" t="e">
        <f t="shared" si="3"/>
        <v>#VALUE!</v>
      </c>
      <c r="N16" s="480">
        <f>K16-'[13]Maijs'!K16</f>
        <v>0</v>
      </c>
      <c r="O16" s="476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476"/>
      <c r="AN16" s="476"/>
      <c r="AO16" s="476"/>
      <c r="AP16" s="476"/>
      <c r="AQ16" s="476"/>
      <c r="AR16" s="476"/>
      <c r="AS16" s="476"/>
      <c r="AT16" s="476"/>
      <c r="AU16" s="476"/>
      <c r="AV16" s="476"/>
      <c r="AW16" s="476"/>
      <c r="AX16" s="476"/>
      <c r="AY16" s="476"/>
      <c r="AZ16" s="476"/>
      <c r="BA16" s="476"/>
      <c r="BB16" s="476"/>
      <c r="BC16" s="476"/>
      <c r="BD16" s="476"/>
      <c r="BE16" s="476"/>
      <c r="BF16" s="476"/>
      <c r="BG16" s="476"/>
      <c r="BH16" s="476"/>
      <c r="BI16" s="476"/>
      <c r="BJ16" s="476"/>
      <c r="BK16" s="476"/>
      <c r="BL16" s="476"/>
      <c r="BM16" s="476"/>
      <c r="BN16" s="476"/>
      <c r="BO16" s="476"/>
      <c r="BP16" s="476"/>
      <c r="BQ16" s="476"/>
      <c r="BR16" s="476"/>
      <c r="BS16" s="476"/>
      <c r="BT16" s="476"/>
      <c r="BU16" s="476"/>
      <c r="BV16" s="476"/>
      <c r="BW16" s="476"/>
      <c r="BX16" s="476"/>
      <c r="BY16" s="476"/>
      <c r="BZ16" s="476"/>
      <c r="CA16" s="476"/>
      <c r="CB16" s="476"/>
      <c r="CC16" s="476"/>
      <c r="CD16" s="476"/>
      <c r="CE16" s="476"/>
      <c r="CF16" s="476"/>
      <c r="CG16" s="476"/>
      <c r="CH16" s="476"/>
      <c r="CI16" s="476"/>
      <c r="CJ16" s="476"/>
      <c r="CK16" s="476"/>
      <c r="CL16" s="476"/>
      <c r="CM16" s="476"/>
      <c r="CN16" s="476"/>
      <c r="CO16" s="476"/>
      <c r="CP16" s="476"/>
      <c r="CQ16" s="476"/>
      <c r="CR16" s="476"/>
      <c r="CS16" s="476"/>
      <c r="CT16" s="476"/>
      <c r="CU16" s="476"/>
      <c r="CV16" s="476"/>
      <c r="CW16" s="476"/>
      <c r="CX16" s="476"/>
      <c r="CY16" s="476"/>
      <c r="CZ16" s="476"/>
    </row>
    <row r="17" spans="1:104" s="60" customFormat="1" ht="12.75" hidden="1">
      <c r="A17" s="482" t="s">
        <v>746</v>
      </c>
      <c r="B17" s="483"/>
      <c r="C17" s="483"/>
      <c r="D17" s="483"/>
      <c r="E17" s="475" t="str">
        <f t="shared" si="0"/>
        <v> </v>
      </c>
      <c r="F17" s="475" t="str">
        <f t="shared" si="1"/>
        <v> </v>
      </c>
      <c r="G17" s="469">
        <f>D17-'[13]Maijs'!D17</f>
        <v>0</v>
      </c>
      <c r="H17" s="482" t="s">
        <v>746</v>
      </c>
      <c r="I17" s="483">
        <f>ROUND(B17/1000,0)</f>
        <v>0</v>
      </c>
      <c r="J17" s="483">
        <f>ROUND(C17/1000,0)</f>
        <v>0</v>
      </c>
      <c r="K17" s="483">
        <f>ROUND(D17/1000,0)</f>
        <v>0</v>
      </c>
      <c r="L17" s="82" t="e">
        <f t="shared" si="2"/>
        <v>#VALUE!</v>
      </c>
      <c r="M17" s="82" t="e">
        <f t="shared" si="3"/>
        <v>#VALUE!</v>
      </c>
      <c r="N17" s="483">
        <f>K17-'[13]Maijs'!K17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66" customFormat="1" ht="13.5" customHeight="1">
      <c r="A18" s="74" t="s">
        <v>402</v>
      </c>
      <c r="B18" s="401">
        <f>B19+B21</f>
        <v>288119</v>
      </c>
      <c r="C18" s="401">
        <f>C19+C21</f>
        <v>275006</v>
      </c>
      <c r="D18" s="401">
        <f>D19+D21</f>
        <v>34785</v>
      </c>
      <c r="E18" s="484">
        <f t="shared" si="0"/>
        <v>0.12073136447093041</v>
      </c>
      <c r="F18" s="484">
        <f t="shared" si="1"/>
        <v>0.12648814934946873</v>
      </c>
      <c r="G18" s="469">
        <f>D18-'[13]Maijs'!D18</f>
        <v>23898</v>
      </c>
      <c r="H18" s="74" t="s">
        <v>402</v>
      </c>
      <c r="I18" s="401">
        <f>I19+I21</f>
        <v>288</v>
      </c>
      <c r="J18" s="401">
        <f>J19+J21</f>
        <v>275</v>
      </c>
      <c r="K18" s="401">
        <f>K19+K21</f>
        <v>35</v>
      </c>
      <c r="L18" s="58">
        <f t="shared" si="2"/>
        <v>12.152777777777777</v>
      </c>
      <c r="M18" s="58">
        <f t="shared" si="3"/>
        <v>12.727272727272727</v>
      </c>
      <c r="N18" s="401">
        <f>K18-'[13]Maijs'!K18</f>
        <v>24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s="477" customFormat="1" ht="12.75">
      <c r="A19" s="479" t="s">
        <v>749</v>
      </c>
      <c r="B19" s="480">
        <f>B20</f>
        <v>261926</v>
      </c>
      <c r="C19" s="480">
        <f>C20</f>
        <v>261926</v>
      </c>
      <c r="D19" s="480">
        <f>D20</f>
        <v>21711</v>
      </c>
      <c r="E19" s="475">
        <f t="shared" si="0"/>
        <v>0.0828898238433756</v>
      </c>
      <c r="F19" s="475">
        <f t="shared" si="1"/>
        <v>0.0828898238433756</v>
      </c>
      <c r="G19" s="469">
        <f>D19-'[13]Maijs'!D19</f>
        <v>21711</v>
      </c>
      <c r="H19" s="479" t="s">
        <v>749</v>
      </c>
      <c r="I19" s="480">
        <f>I20</f>
        <v>262</v>
      </c>
      <c r="J19" s="480">
        <f>J20</f>
        <v>262</v>
      </c>
      <c r="K19" s="480">
        <f>K20</f>
        <v>22</v>
      </c>
      <c r="L19" s="481">
        <f t="shared" si="2"/>
        <v>8.396946564885496</v>
      </c>
      <c r="M19" s="481">
        <f t="shared" si="3"/>
        <v>8.396946564885496</v>
      </c>
      <c r="N19" s="480">
        <f>K19-'[13]Maijs'!K19</f>
        <v>22</v>
      </c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6"/>
      <c r="BH19" s="476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76"/>
      <c r="CK19" s="476"/>
      <c r="CL19" s="476"/>
      <c r="CM19" s="476"/>
      <c r="CN19" s="476"/>
      <c r="CO19" s="476"/>
      <c r="CP19" s="476"/>
      <c r="CQ19" s="476"/>
      <c r="CR19" s="476"/>
      <c r="CS19" s="476"/>
      <c r="CT19" s="476"/>
      <c r="CU19" s="476"/>
      <c r="CV19" s="476"/>
      <c r="CW19" s="476"/>
      <c r="CX19" s="476"/>
      <c r="CY19" s="476"/>
      <c r="CZ19" s="476"/>
    </row>
    <row r="20" spans="1:104" s="60" customFormat="1" ht="12.75">
      <c r="A20" s="482" t="s">
        <v>746</v>
      </c>
      <c r="B20" s="483">
        <v>261926</v>
      </c>
      <c r="C20" s="483">
        <v>261926</v>
      </c>
      <c r="D20" s="483">
        <v>21711</v>
      </c>
      <c r="E20" s="475">
        <f t="shared" si="0"/>
        <v>0.0828898238433756</v>
      </c>
      <c r="F20" s="475">
        <f t="shared" si="1"/>
        <v>0.0828898238433756</v>
      </c>
      <c r="G20" s="469">
        <f>D20-'[13]Maijs'!D20</f>
        <v>21711</v>
      </c>
      <c r="H20" s="482" t="s">
        <v>746</v>
      </c>
      <c r="I20" s="483">
        <f>ROUND(B20/1000,0)</f>
        <v>262</v>
      </c>
      <c r="J20" s="483">
        <f>ROUND(C20/1000,0)</f>
        <v>262</v>
      </c>
      <c r="K20" s="483">
        <f>ROUND(D20/1000,0)</f>
        <v>22</v>
      </c>
      <c r="L20" s="82">
        <f t="shared" si="2"/>
        <v>8.396946564885496</v>
      </c>
      <c r="M20" s="82">
        <f t="shared" si="3"/>
        <v>8.396946564885496</v>
      </c>
      <c r="N20" s="483">
        <f>K20-'[13]Maijs'!K20</f>
        <v>22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s="477" customFormat="1" ht="12.75">
      <c r="A21" s="479" t="s">
        <v>750</v>
      </c>
      <c r="B21" s="480">
        <f>B22</f>
        <v>26193</v>
      </c>
      <c r="C21" s="480">
        <f>C22</f>
        <v>13080</v>
      </c>
      <c r="D21" s="480">
        <f>D22</f>
        <v>13074</v>
      </c>
      <c r="E21" s="475">
        <f t="shared" si="0"/>
        <v>0.4991409918680563</v>
      </c>
      <c r="F21" s="475">
        <f t="shared" si="1"/>
        <v>0.9995412844036697</v>
      </c>
      <c r="G21" s="469">
        <f>D21-'[13]Maijs'!D21</f>
        <v>2187</v>
      </c>
      <c r="H21" s="479" t="s">
        <v>750</v>
      </c>
      <c r="I21" s="480">
        <f>I22</f>
        <v>26</v>
      </c>
      <c r="J21" s="480">
        <f>J22</f>
        <v>13</v>
      </c>
      <c r="K21" s="480">
        <f>K22</f>
        <v>13</v>
      </c>
      <c r="L21" s="481">
        <f t="shared" si="2"/>
        <v>50</v>
      </c>
      <c r="M21" s="481">
        <f t="shared" si="3"/>
        <v>100</v>
      </c>
      <c r="N21" s="480">
        <f>K21-'[13]Maijs'!K21</f>
        <v>2</v>
      </c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6"/>
      <c r="BH21" s="476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6"/>
      <c r="CL21" s="476"/>
      <c r="CM21" s="476"/>
      <c r="CN21" s="476"/>
      <c r="CO21" s="476"/>
      <c r="CP21" s="476"/>
      <c r="CQ21" s="476"/>
      <c r="CR21" s="476"/>
      <c r="CS21" s="476"/>
      <c r="CT21" s="476"/>
      <c r="CU21" s="476"/>
      <c r="CV21" s="476"/>
      <c r="CW21" s="476"/>
      <c r="CX21" s="476"/>
      <c r="CY21" s="476"/>
      <c r="CZ21" s="476"/>
    </row>
    <row r="22" spans="1:104" s="60" customFormat="1" ht="12.75">
      <c r="A22" s="482" t="s">
        <v>746</v>
      </c>
      <c r="B22" s="483">
        <v>26193</v>
      </c>
      <c r="C22" s="483">
        <v>13080</v>
      </c>
      <c r="D22" s="483">
        <v>13074</v>
      </c>
      <c r="E22" s="475">
        <f t="shared" si="0"/>
        <v>0.4991409918680563</v>
      </c>
      <c r="F22" s="475">
        <f t="shared" si="1"/>
        <v>0.9995412844036697</v>
      </c>
      <c r="G22" s="469">
        <f>D22-'[13]Maijs'!D22</f>
        <v>2187</v>
      </c>
      <c r="H22" s="482" t="s">
        <v>746</v>
      </c>
      <c r="I22" s="483">
        <f>ROUND(B22/1000,0)</f>
        <v>26</v>
      </c>
      <c r="J22" s="483">
        <f>ROUND(C22/1000,0)</f>
        <v>13</v>
      </c>
      <c r="K22" s="483">
        <f>ROUND(D22/1000,0)</f>
        <v>13</v>
      </c>
      <c r="L22" s="82">
        <f t="shared" si="2"/>
        <v>50</v>
      </c>
      <c r="M22" s="82">
        <f t="shared" si="3"/>
        <v>100</v>
      </c>
      <c r="N22" s="483">
        <f>K22-'[13]Maijs'!K22</f>
        <v>2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66" customFormat="1" ht="13.5" customHeight="1" hidden="1">
      <c r="A23" s="74" t="s">
        <v>406</v>
      </c>
      <c r="B23" s="401">
        <f aca="true" t="shared" si="6" ref="B23:D24">B24</f>
        <v>0</v>
      </c>
      <c r="C23" s="401">
        <f t="shared" si="6"/>
        <v>0</v>
      </c>
      <c r="D23" s="401">
        <f t="shared" si="6"/>
        <v>0</v>
      </c>
      <c r="E23" s="484" t="str">
        <f t="shared" si="0"/>
        <v> </v>
      </c>
      <c r="F23" s="475" t="str">
        <f t="shared" si="1"/>
        <v> </v>
      </c>
      <c r="G23" s="469">
        <f>D23-'[13]Maijs'!D23</f>
        <v>0</v>
      </c>
      <c r="H23" s="74" t="s">
        <v>406</v>
      </c>
      <c r="I23" s="401">
        <f aca="true" t="shared" si="7" ref="I23:K24">I24</f>
        <v>0</v>
      </c>
      <c r="J23" s="401">
        <f t="shared" si="7"/>
        <v>0</v>
      </c>
      <c r="K23" s="401">
        <f t="shared" si="7"/>
        <v>0</v>
      </c>
      <c r="L23" s="58" t="e">
        <f t="shared" si="2"/>
        <v>#VALUE!</v>
      </c>
      <c r="M23" s="58" t="e">
        <f t="shared" si="3"/>
        <v>#VALUE!</v>
      </c>
      <c r="N23" s="401">
        <f>K23-'[13]Maijs'!K23</f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 s="477" customFormat="1" ht="12.75" hidden="1">
      <c r="A24" s="479" t="s">
        <v>749</v>
      </c>
      <c r="B24" s="480">
        <f t="shared" si="6"/>
        <v>0</v>
      </c>
      <c r="C24" s="480">
        <f t="shared" si="6"/>
        <v>0</v>
      </c>
      <c r="D24" s="480">
        <f t="shared" si="6"/>
        <v>0</v>
      </c>
      <c r="E24" s="475" t="str">
        <f t="shared" si="0"/>
        <v> </v>
      </c>
      <c r="F24" s="475" t="str">
        <f t="shared" si="1"/>
        <v> </v>
      </c>
      <c r="G24" s="469">
        <f>D24-'[13]Maijs'!D24</f>
        <v>0</v>
      </c>
      <c r="H24" s="479" t="s">
        <v>749</v>
      </c>
      <c r="I24" s="480">
        <f t="shared" si="7"/>
        <v>0</v>
      </c>
      <c r="J24" s="480">
        <f t="shared" si="7"/>
        <v>0</v>
      </c>
      <c r="K24" s="480">
        <f t="shared" si="7"/>
        <v>0</v>
      </c>
      <c r="L24" s="481" t="e">
        <f t="shared" si="2"/>
        <v>#VALUE!</v>
      </c>
      <c r="M24" s="481" t="e">
        <f t="shared" si="3"/>
        <v>#VALUE!</v>
      </c>
      <c r="N24" s="480">
        <f>K24-'[13]Maijs'!K24</f>
        <v>0</v>
      </c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76"/>
      <c r="AQ24" s="476"/>
      <c r="AR24" s="476"/>
      <c r="AS24" s="476"/>
      <c r="AT24" s="476"/>
      <c r="AU24" s="476"/>
      <c r="AV24" s="476"/>
      <c r="AW24" s="476"/>
      <c r="AX24" s="476"/>
      <c r="AY24" s="476"/>
      <c r="AZ24" s="476"/>
      <c r="BA24" s="476"/>
      <c r="BB24" s="476"/>
      <c r="BC24" s="476"/>
      <c r="BD24" s="476"/>
      <c r="BE24" s="476"/>
      <c r="BF24" s="476"/>
      <c r="BG24" s="476"/>
      <c r="BH24" s="476"/>
      <c r="BI24" s="476"/>
      <c r="BJ24" s="476"/>
      <c r="BK24" s="476"/>
      <c r="BL24" s="476"/>
      <c r="BM24" s="476"/>
      <c r="BN24" s="476"/>
      <c r="BO24" s="476"/>
      <c r="BP24" s="476"/>
      <c r="BQ24" s="476"/>
      <c r="BR24" s="476"/>
      <c r="BS24" s="476"/>
      <c r="BT24" s="476"/>
      <c r="BU24" s="476"/>
      <c r="BV24" s="476"/>
      <c r="BW24" s="476"/>
      <c r="BX24" s="476"/>
      <c r="BY24" s="476"/>
      <c r="BZ24" s="476"/>
      <c r="CA24" s="476"/>
      <c r="CB24" s="476"/>
      <c r="CC24" s="476"/>
      <c r="CD24" s="476"/>
      <c r="CE24" s="476"/>
      <c r="CF24" s="476"/>
      <c r="CG24" s="476"/>
      <c r="CH24" s="476"/>
      <c r="CI24" s="476"/>
      <c r="CJ24" s="476"/>
      <c r="CK24" s="476"/>
      <c r="CL24" s="476"/>
      <c r="CM24" s="476"/>
      <c r="CN24" s="476"/>
      <c r="CO24" s="476"/>
      <c r="CP24" s="476"/>
      <c r="CQ24" s="476"/>
      <c r="CR24" s="476"/>
      <c r="CS24" s="476"/>
      <c r="CT24" s="476"/>
      <c r="CU24" s="476"/>
      <c r="CV24" s="476"/>
      <c r="CW24" s="476"/>
      <c r="CX24" s="476"/>
      <c r="CY24" s="476"/>
      <c r="CZ24" s="476"/>
    </row>
    <row r="25" spans="1:104" s="60" customFormat="1" ht="12.75" hidden="1">
      <c r="A25" s="482" t="s">
        <v>746</v>
      </c>
      <c r="B25" s="483"/>
      <c r="C25" s="483"/>
      <c r="D25" s="483"/>
      <c r="E25" s="475" t="str">
        <f t="shared" si="0"/>
        <v> </v>
      </c>
      <c r="F25" s="475" t="str">
        <f t="shared" si="1"/>
        <v> </v>
      </c>
      <c r="G25" s="469">
        <f>D25-'[13]Maijs'!D25</f>
        <v>0</v>
      </c>
      <c r="H25" s="482" t="s">
        <v>746</v>
      </c>
      <c r="I25" s="483">
        <f>ROUND(B25/1000,0)</f>
        <v>0</v>
      </c>
      <c r="J25" s="483">
        <f>ROUND(C25/1000,0)</f>
        <v>0</v>
      </c>
      <c r="K25" s="483">
        <f>ROUND(D25/1000,0)</f>
        <v>0</v>
      </c>
      <c r="L25" s="82" t="e">
        <f t="shared" si="2"/>
        <v>#VALUE!</v>
      </c>
      <c r="M25" s="82" t="e">
        <f t="shared" si="3"/>
        <v>#VALUE!</v>
      </c>
      <c r="N25" s="483">
        <f>K25-'[13]Maijs'!K25</f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66" customFormat="1" ht="12">
      <c r="A26" s="74" t="s">
        <v>408</v>
      </c>
      <c r="B26" s="401">
        <f>B27+B30</f>
        <v>6043999</v>
      </c>
      <c r="C26" s="401">
        <f>C27+C30</f>
        <v>2810868</v>
      </c>
      <c r="D26" s="401">
        <f>D27+D30</f>
        <v>477278</v>
      </c>
      <c r="E26" s="484">
        <f t="shared" si="0"/>
        <v>0.07896725330364879</v>
      </c>
      <c r="F26" s="484">
        <f t="shared" si="1"/>
        <v>0.1697973721996195</v>
      </c>
      <c r="G26" s="469">
        <f>D26-'[13]Maijs'!D26</f>
        <v>219903</v>
      </c>
      <c r="H26" s="74" t="s">
        <v>408</v>
      </c>
      <c r="I26" s="401">
        <f>I27+I30</f>
        <v>6044</v>
      </c>
      <c r="J26" s="401">
        <f>J27+J30</f>
        <v>2811</v>
      </c>
      <c r="K26" s="401">
        <f>K27+K30</f>
        <v>477</v>
      </c>
      <c r="L26" s="58">
        <f t="shared" si="2"/>
        <v>7.8921244209133015</v>
      </c>
      <c r="M26" s="58">
        <f t="shared" si="3"/>
        <v>16.969050160085377</v>
      </c>
      <c r="N26" s="401">
        <f>K26-'[13]Maijs'!K26</f>
        <v>220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04" s="477" customFormat="1" ht="12.75">
      <c r="A27" s="479" t="s">
        <v>749</v>
      </c>
      <c r="B27" s="480">
        <f>SUM(B28:B29)</f>
        <v>6027039</v>
      </c>
      <c r="C27" s="480">
        <f>SUM(C28:C29)</f>
        <v>2802388</v>
      </c>
      <c r="D27" s="480">
        <f>SUM(D28:D29)</f>
        <v>468798</v>
      </c>
      <c r="E27" s="475">
        <f t="shared" si="0"/>
        <v>0.077782473284145</v>
      </c>
      <c r="F27" s="475">
        <f t="shared" si="1"/>
        <v>0.16728518677642068</v>
      </c>
      <c r="G27" s="469">
        <f>D27-'[13]Maijs'!D27</f>
        <v>215658</v>
      </c>
      <c r="H27" s="479" t="s">
        <v>749</v>
      </c>
      <c r="I27" s="480">
        <f>SUM(I28:I29)</f>
        <v>6027</v>
      </c>
      <c r="J27" s="480">
        <f>SUM(J28:J29)</f>
        <v>2803</v>
      </c>
      <c r="K27" s="480">
        <f>SUM(K28:K29)</f>
        <v>469</v>
      </c>
      <c r="L27" s="481">
        <f t="shared" si="2"/>
        <v>7.781649245063879</v>
      </c>
      <c r="M27" s="481">
        <f t="shared" si="3"/>
        <v>16.73207277916518</v>
      </c>
      <c r="N27" s="480">
        <f>K27-'[13]Maijs'!K27</f>
        <v>216</v>
      </c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6"/>
      <c r="AQ27" s="476"/>
      <c r="AR27" s="476"/>
      <c r="AS27" s="476"/>
      <c r="AT27" s="476"/>
      <c r="AU27" s="476"/>
      <c r="AV27" s="476"/>
      <c r="AW27" s="476"/>
      <c r="AX27" s="476"/>
      <c r="AY27" s="476"/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6"/>
      <c r="BK27" s="476"/>
      <c r="BL27" s="476"/>
      <c r="BM27" s="476"/>
      <c r="BN27" s="476"/>
      <c r="BO27" s="476"/>
      <c r="BP27" s="476"/>
      <c r="BQ27" s="476"/>
      <c r="BR27" s="476"/>
      <c r="BS27" s="476"/>
      <c r="BT27" s="476"/>
      <c r="BU27" s="476"/>
      <c r="BV27" s="476"/>
      <c r="BW27" s="476"/>
      <c r="BX27" s="476"/>
      <c r="BY27" s="476"/>
      <c r="BZ27" s="476"/>
      <c r="CA27" s="476"/>
      <c r="CB27" s="476"/>
      <c r="CC27" s="476"/>
      <c r="CD27" s="476"/>
      <c r="CE27" s="476"/>
      <c r="CF27" s="476"/>
      <c r="CG27" s="476"/>
      <c r="CH27" s="476"/>
      <c r="CI27" s="476"/>
      <c r="CJ27" s="476"/>
      <c r="CK27" s="476"/>
      <c r="CL27" s="476"/>
      <c r="CM27" s="476"/>
      <c r="CN27" s="476"/>
      <c r="CO27" s="476"/>
      <c r="CP27" s="476"/>
      <c r="CQ27" s="476"/>
      <c r="CR27" s="476"/>
      <c r="CS27" s="476"/>
      <c r="CT27" s="476"/>
      <c r="CU27" s="476"/>
      <c r="CV27" s="476"/>
      <c r="CW27" s="476"/>
      <c r="CX27" s="476"/>
      <c r="CY27" s="476"/>
      <c r="CZ27" s="476"/>
    </row>
    <row r="28" spans="1:104" s="60" customFormat="1" ht="12.75">
      <c r="A28" s="482" t="s">
        <v>746</v>
      </c>
      <c r="B28" s="483">
        <v>5729733</v>
      </c>
      <c r="C28" s="483">
        <v>2652582</v>
      </c>
      <c r="D28" s="483">
        <v>425473</v>
      </c>
      <c r="E28" s="475">
        <f t="shared" si="0"/>
        <v>0.07425703780612465</v>
      </c>
      <c r="F28" s="475">
        <f t="shared" si="1"/>
        <v>0.16039956540457562</v>
      </c>
      <c r="G28" s="469">
        <f>D28-'[13]Maijs'!D28</f>
        <v>215658</v>
      </c>
      <c r="H28" s="482" t="s">
        <v>746</v>
      </c>
      <c r="I28" s="483">
        <f aca="true" t="shared" si="8" ref="I28:K29">ROUND(B28/1000,0)</f>
        <v>5730</v>
      </c>
      <c r="J28" s="483">
        <f t="shared" si="8"/>
        <v>2653</v>
      </c>
      <c r="K28" s="483">
        <f>ROUND(D28/1000,0)+1</f>
        <v>426</v>
      </c>
      <c r="L28" s="82">
        <f t="shared" si="2"/>
        <v>7.43455497382199</v>
      </c>
      <c r="M28" s="82">
        <f t="shared" si="3"/>
        <v>16.057293629853</v>
      </c>
      <c r="N28" s="483">
        <f>K28-'[13]Maijs'!K28</f>
        <v>216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60" customFormat="1" ht="12.75">
      <c r="A29" s="482" t="s">
        <v>747</v>
      </c>
      <c r="B29" s="483">
        <v>297306</v>
      </c>
      <c r="C29" s="483">
        <v>149806</v>
      </c>
      <c r="D29" s="483">
        <v>43325</v>
      </c>
      <c r="E29" s="475">
        <f t="shared" si="0"/>
        <v>0.1457252796781767</v>
      </c>
      <c r="F29" s="475">
        <f t="shared" si="1"/>
        <v>0.2892073748715005</v>
      </c>
      <c r="G29" s="469">
        <f>D29-'[13]Maijs'!D29</f>
        <v>0</v>
      </c>
      <c r="H29" s="482" t="s">
        <v>747</v>
      </c>
      <c r="I29" s="483">
        <f t="shared" si="8"/>
        <v>297</v>
      </c>
      <c r="J29" s="483">
        <f t="shared" si="8"/>
        <v>150</v>
      </c>
      <c r="K29" s="483">
        <f t="shared" si="8"/>
        <v>43</v>
      </c>
      <c r="L29" s="82">
        <f t="shared" si="2"/>
        <v>14.47811447811448</v>
      </c>
      <c r="M29" s="82">
        <f t="shared" si="3"/>
        <v>28.666666666666668</v>
      </c>
      <c r="N29" s="483">
        <f>K29-'[13]Maijs'!K29</f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477" customFormat="1" ht="12.75">
      <c r="A30" s="479" t="s">
        <v>750</v>
      </c>
      <c r="B30" s="480">
        <f>B31</f>
        <v>16960</v>
      </c>
      <c r="C30" s="480">
        <f>C31</f>
        <v>8480</v>
      </c>
      <c r="D30" s="480">
        <f>D31</f>
        <v>8480</v>
      </c>
      <c r="E30" s="475">
        <f t="shared" si="0"/>
        <v>0.5</v>
      </c>
      <c r="F30" s="475">
        <f t="shared" si="1"/>
        <v>1</v>
      </c>
      <c r="G30" s="469">
        <f>D30-'[13]Maijs'!D30</f>
        <v>4245</v>
      </c>
      <c r="H30" s="479" t="s">
        <v>750</v>
      </c>
      <c r="I30" s="480">
        <f>I31</f>
        <v>17</v>
      </c>
      <c r="J30" s="480">
        <f>J31</f>
        <v>8</v>
      </c>
      <c r="K30" s="480">
        <f>K31</f>
        <v>8</v>
      </c>
      <c r="L30" s="481">
        <f t="shared" si="2"/>
        <v>47.05882352941176</v>
      </c>
      <c r="M30" s="481">
        <f t="shared" si="3"/>
        <v>100</v>
      </c>
      <c r="N30" s="480">
        <f>K30-'[13]Maijs'!K30</f>
        <v>4</v>
      </c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476"/>
      <c r="AE30" s="476"/>
      <c r="AF30" s="476"/>
      <c r="AG30" s="476"/>
      <c r="AH30" s="476"/>
      <c r="AI30" s="476"/>
      <c r="AJ30" s="476"/>
      <c r="AK30" s="476"/>
      <c r="AL30" s="476"/>
      <c r="AM30" s="476"/>
      <c r="AN30" s="476"/>
      <c r="AO30" s="476"/>
      <c r="AP30" s="476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6"/>
      <c r="BC30" s="476"/>
      <c r="BD30" s="476"/>
      <c r="BE30" s="476"/>
      <c r="BF30" s="476"/>
      <c r="BG30" s="476"/>
      <c r="BH30" s="476"/>
      <c r="BI30" s="476"/>
      <c r="BJ30" s="476"/>
      <c r="BK30" s="476"/>
      <c r="BL30" s="476"/>
      <c r="BM30" s="476"/>
      <c r="BN30" s="476"/>
      <c r="BO30" s="476"/>
      <c r="BP30" s="476"/>
      <c r="BQ30" s="476"/>
      <c r="BR30" s="476"/>
      <c r="BS30" s="476"/>
      <c r="BT30" s="476"/>
      <c r="BU30" s="476"/>
      <c r="BV30" s="476"/>
      <c r="BW30" s="476"/>
      <c r="BX30" s="476"/>
      <c r="BY30" s="476"/>
      <c r="BZ30" s="476"/>
      <c r="CA30" s="476"/>
      <c r="CB30" s="476"/>
      <c r="CC30" s="476"/>
      <c r="CD30" s="476"/>
      <c r="CE30" s="476"/>
      <c r="CF30" s="476"/>
      <c r="CG30" s="476"/>
      <c r="CH30" s="476"/>
      <c r="CI30" s="476"/>
      <c r="CJ30" s="476"/>
      <c r="CK30" s="476"/>
      <c r="CL30" s="476"/>
      <c r="CM30" s="476"/>
      <c r="CN30" s="476"/>
      <c r="CO30" s="476"/>
      <c r="CP30" s="476"/>
      <c r="CQ30" s="476"/>
      <c r="CR30" s="476"/>
      <c r="CS30" s="476"/>
      <c r="CT30" s="476"/>
      <c r="CU30" s="476"/>
      <c r="CV30" s="476"/>
      <c r="CW30" s="476"/>
      <c r="CX30" s="476"/>
      <c r="CY30" s="476"/>
      <c r="CZ30" s="476"/>
    </row>
    <row r="31" spans="1:104" s="60" customFormat="1" ht="12.75">
      <c r="A31" s="482" t="s">
        <v>746</v>
      </c>
      <c r="B31" s="483">
        <v>16960</v>
      </c>
      <c r="C31" s="483">
        <v>8480</v>
      </c>
      <c r="D31" s="483">
        <v>8480</v>
      </c>
      <c r="E31" s="475">
        <f t="shared" si="0"/>
        <v>0.5</v>
      </c>
      <c r="F31" s="475">
        <f t="shared" si="1"/>
        <v>1</v>
      </c>
      <c r="G31" s="469">
        <f>D31-'[13]Maijs'!D31</f>
        <v>4245</v>
      </c>
      <c r="H31" s="482" t="s">
        <v>746</v>
      </c>
      <c r="I31" s="483">
        <f>ROUND(B31/1000,0)</f>
        <v>17</v>
      </c>
      <c r="J31" s="483">
        <f>ROUND(C31/1000,0)</f>
        <v>8</v>
      </c>
      <c r="K31" s="483">
        <f>ROUND(D31/1000,0)</f>
        <v>8</v>
      </c>
      <c r="L31" s="82">
        <f t="shared" si="2"/>
        <v>47.05882352941176</v>
      </c>
      <c r="M31" s="82">
        <f t="shared" si="3"/>
        <v>100</v>
      </c>
      <c r="N31" s="483">
        <f>K31-'[13]Maijs'!K31</f>
        <v>4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66" customFormat="1" ht="12">
      <c r="A32" s="74" t="s">
        <v>410</v>
      </c>
      <c r="B32" s="401">
        <f>B33+B36</f>
        <v>3710930</v>
      </c>
      <c r="C32" s="401">
        <f>C33+C36</f>
        <v>1844698</v>
      </c>
      <c r="D32" s="401">
        <f>D33+D36</f>
        <v>1058531</v>
      </c>
      <c r="E32" s="484">
        <f t="shared" si="0"/>
        <v>0.2852468249198988</v>
      </c>
      <c r="F32" s="484">
        <f t="shared" si="1"/>
        <v>0.5738234659548609</v>
      </c>
      <c r="G32" s="469">
        <f>D32-'[13]Maijs'!D32</f>
        <v>8455</v>
      </c>
      <c r="H32" s="74" t="s">
        <v>410</v>
      </c>
      <c r="I32" s="401">
        <f>I33+I36</f>
        <v>3711</v>
      </c>
      <c r="J32" s="401">
        <f>J33+J36</f>
        <v>1844</v>
      </c>
      <c r="K32" s="401">
        <f>K33+K36</f>
        <v>1058</v>
      </c>
      <c r="L32" s="58">
        <f t="shared" si="2"/>
        <v>28.509835623821072</v>
      </c>
      <c r="M32" s="58">
        <f t="shared" si="3"/>
        <v>57.375271149674624</v>
      </c>
      <c r="N32" s="401">
        <f>K32-'[13]Maijs'!K32</f>
        <v>8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s="477" customFormat="1" ht="12.75">
      <c r="A33" s="479" t="s">
        <v>749</v>
      </c>
      <c r="B33" s="480">
        <f>SUM(B34:B35)</f>
        <v>2840580</v>
      </c>
      <c r="C33" s="480">
        <f>SUM(C34:C35)</f>
        <v>1470698</v>
      </c>
      <c r="D33" s="480">
        <f>SUM(D34:D35)</f>
        <v>858094</v>
      </c>
      <c r="E33" s="475">
        <f t="shared" si="0"/>
        <v>0.3020840814199917</v>
      </c>
      <c r="F33" s="475">
        <f t="shared" si="1"/>
        <v>0.5834603705179445</v>
      </c>
      <c r="G33" s="469">
        <f>D33-'[13]Maijs'!D33</f>
        <v>8455</v>
      </c>
      <c r="H33" s="479" t="s">
        <v>749</v>
      </c>
      <c r="I33" s="480">
        <f>SUM(I34:I35)</f>
        <v>2841</v>
      </c>
      <c r="J33" s="480">
        <f>SUM(J34:J35)</f>
        <v>1470</v>
      </c>
      <c r="K33" s="480">
        <f>SUM(K34:K35)</f>
        <v>858</v>
      </c>
      <c r="L33" s="481">
        <f t="shared" si="2"/>
        <v>30.20063357972545</v>
      </c>
      <c r="M33" s="481">
        <f t="shared" si="3"/>
        <v>58.36734693877551</v>
      </c>
      <c r="N33" s="480">
        <f>K33-'[13]Maijs'!K33</f>
        <v>8</v>
      </c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  <c r="BQ33" s="476"/>
      <c r="BR33" s="476"/>
      <c r="BS33" s="476"/>
      <c r="BT33" s="476"/>
      <c r="BU33" s="476"/>
      <c r="BV33" s="476"/>
      <c r="BW33" s="476"/>
      <c r="BX33" s="476"/>
      <c r="BY33" s="476"/>
      <c r="BZ33" s="476"/>
      <c r="CA33" s="476"/>
      <c r="CB33" s="476"/>
      <c r="CC33" s="476"/>
      <c r="CD33" s="476"/>
      <c r="CE33" s="476"/>
      <c r="CF33" s="476"/>
      <c r="CG33" s="476"/>
      <c r="CH33" s="476"/>
      <c r="CI33" s="476"/>
      <c r="CJ33" s="476"/>
      <c r="CK33" s="476"/>
      <c r="CL33" s="476"/>
      <c r="CM33" s="476"/>
      <c r="CN33" s="476"/>
      <c r="CO33" s="476"/>
      <c r="CP33" s="476"/>
      <c r="CQ33" s="476"/>
      <c r="CR33" s="476"/>
      <c r="CS33" s="476"/>
      <c r="CT33" s="476"/>
      <c r="CU33" s="476"/>
      <c r="CV33" s="476"/>
      <c r="CW33" s="476"/>
      <c r="CX33" s="476"/>
      <c r="CY33" s="476"/>
      <c r="CZ33" s="476"/>
    </row>
    <row r="34" spans="1:104" s="60" customFormat="1" ht="12.75">
      <c r="A34" s="482" t="s">
        <v>746</v>
      </c>
      <c r="B34" s="483">
        <v>1626717</v>
      </c>
      <c r="C34" s="483">
        <v>552335</v>
      </c>
      <c r="D34" s="483">
        <v>266102</v>
      </c>
      <c r="E34" s="475">
        <f t="shared" si="0"/>
        <v>0.1635822334185971</v>
      </c>
      <c r="F34" s="475">
        <f t="shared" si="1"/>
        <v>0.48177645812776665</v>
      </c>
      <c r="G34" s="469">
        <f>D34-'[13]Maijs'!D34</f>
        <v>8455</v>
      </c>
      <c r="H34" s="482" t="s">
        <v>746</v>
      </c>
      <c r="I34" s="483">
        <f aca="true" t="shared" si="9" ref="I34:K35">ROUND(B34/1000,0)</f>
        <v>1627</v>
      </c>
      <c r="J34" s="483">
        <f t="shared" si="9"/>
        <v>552</v>
      </c>
      <c r="K34" s="483">
        <f t="shared" si="9"/>
        <v>266</v>
      </c>
      <c r="L34" s="82">
        <f t="shared" si="2"/>
        <v>16.349108789182544</v>
      </c>
      <c r="M34" s="82">
        <f t="shared" si="3"/>
        <v>48.188405797101446</v>
      </c>
      <c r="N34" s="483">
        <f>K34-'[13]Maijs'!K34</f>
        <v>8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60" customFormat="1" ht="12.75">
      <c r="A35" s="482" t="s">
        <v>747</v>
      </c>
      <c r="B35" s="483">
        <v>1213863</v>
      </c>
      <c r="C35" s="483">
        <v>918363</v>
      </c>
      <c r="D35" s="483">
        <v>591992</v>
      </c>
      <c r="E35" s="475">
        <f t="shared" si="0"/>
        <v>0.48769259792909087</v>
      </c>
      <c r="F35" s="475">
        <f t="shared" si="1"/>
        <v>0.6446165622961727</v>
      </c>
      <c r="G35" s="469">
        <f>D35-'[13]Maijs'!D35</f>
        <v>0</v>
      </c>
      <c r="H35" s="482" t="s">
        <v>747</v>
      </c>
      <c r="I35" s="483">
        <f t="shared" si="9"/>
        <v>1214</v>
      </c>
      <c r="J35" s="483">
        <f>ROUND(C35/1000,0)</f>
        <v>918</v>
      </c>
      <c r="K35" s="483">
        <f t="shared" si="9"/>
        <v>592</v>
      </c>
      <c r="L35" s="82">
        <f t="shared" si="2"/>
        <v>48.76441515650741</v>
      </c>
      <c r="M35" s="82">
        <f t="shared" si="3"/>
        <v>64.4880174291939</v>
      </c>
      <c r="N35" s="483">
        <f>K35-'[13]Maijs'!K35</f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477" customFormat="1" ht="12.75">
      <c r="A36" s="479" t="s">
        <v>750</v>
      </c>
      <c r="B36" s="480">
        <f>SUM(B37:B38)</f>
        <v>870350</v>
      </c>
      <c r="C36" s="480">
        <f>SUM(C37:C38)</f>
        <v>374000</v>
      </c>
      <c r="D36" s="480">
        <f>SUM(D37:D38)</f>
        <v>200437</v>
      </c>
      <c r="E36" s="475">
        <f t="shared" si="0"/>
        <v>0.23029470902510485</v>
      </c>
      <c r="F36" s="475">
        <f t="shared" si="1"/>
        <v>0.535927807486631</v>
      </c>
      <c r="G36" s="469">
        <f>D36-'[13]Maijs'!D36</f>
        <v>0</v>
      </c>
      <c r="H36" s="479" t="s">
        <v>750</v>
      </c>
      <c r="I36" s="480">
        <f>SUM(I37:I38)</f>
        <v>870</v>
      </c>
      <c r="J36" s="480">
        <f>SUM(J37:J38)</f>
        <v>374</v>
      </c>
      <c r="K36" s="480">
        <f>SUM(K37:K38)</f>
        <v>200</v>
      </c>
      <c r="L36" s="481">
        <f t="shared" si="2"/>
        <v>22.988505747126435</v>
      </c>
      <c r="M36" s="481">
        <f t="shared" si="3"/>
        <v>53.475935828877006</v>
      </c>
      <c r="N36" s="480">
        <f>K36-'[13]Maijs'!K36</f>
        <v>0</v>
      </c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6"/>
      <c r="BD36" s="476"/>
      <c r="BE36" s="476"/>
      <c r="BF36" s="476"/>
      <c r="BG36" s="476"/>
      <c r="BH36" s="476"/>
      <c r="BI36" s="476"/>
      <c r="BJ36" s="476"/>
      <c r="BK36" s="476"/>
      <c r="BL36" s="476"/>
      <c r="BM36" s="476"/>
      <c r="BN36" s="476"/>
      <c r="BO36" s="476"/>
      <c r="BP36" s="476"/>
      <c r="BQ36" s="476"/>
      <c r="BR36" s="476"/>
      <c r="BS36" s="476"/>
      <c r="BT36" s="476"/>
      <c r="BU36" s="476"/>
      <c r="BV36" s="476"/>
      <c r="BW36" s="476"/>
      <c r="BX36" s="476"/>
      <c r="BY36" s="476"/>
      <c r="BZ36" s="476"/>
      <c r="CA36" s="476"/>
      <c r="CB36" s="476"/>
      <c r="CC36" s="476"/>
      <c r="CD36" s="476"/>
      <c r="CE36" s="476"/>
      <c r="CF36" s="476"/>
      <c r="CG36" s="476"/>
      <c r="CH36" s="476"/>
      <c r="CI36" s="476"/>
      <c r="CJ36" s="476"/>
      <c r="CK36" s="476"/>
      <c r="CL36" s="476"/>
      <c r="CM36" s="476"/>
      <c r="CN36" s="476"/>
      <c r="CO36" s="476"/>
      <c r="CP36" s="476"/>
      <c r="CQ36" s="476"/>
      <c r="CR36" s="476"/>
      <c r="CS36" s="476"/>
      <c r="CT36" s="476"/>
      <c r="CU36" s="476"/>
      <c r="CV36" s="476"/>
      <c r="CW36" s="476"/>
      <c r="CX36" s="476"/>
      <c r="CY36" s="476"/>
      <c r="CZ36" s="476"/>
    </row>
    <row r="37" spans="1:104" s="60" customFormat="1" ht="12.75">
      <c r="A37" s="482" t="s">
        <v>746</v>
      </c>
      <c r="B37" s="483">
        <v>73450</v>
      </c>
      <c r="C37" s="483">
        <v>6000</v>
      </c>
      <c r="D37" s="483">
        <v>2453</v>
      </c>
      <c r="E37" s="475">
        <f t="shared" si="0"/>
        <v>0.033396868618107554</v>
      </c>
      <c r="F37" s="475">
        <f t="shared" si="1"/>
        <v>0.4088333333333333</v>
      </c>
      <c r="G37" s="469">
        <f>D37-'[13]Maijs'!D37</f>
        <v>0</v>
      </c>
      <c r="H37" s="482" t="s">
        <v>746</v>
      </c>
      <c r="I37" s="483">
        <f aca="true" t="shared" si="10" ref="I37:K38">ROUND(B37/1000,0)</f>
        <v>73</v>
      </c>
      <c r="J37" s="483">
        <f t="shared" si="10"/>
        <v>6</v>
      </c>
      <c r="K37" s="483">
        <f t="shared" si="10"/>
        <v>2</v>
      </c>
      <c r="L37" s="82">
        <f t="shared" si="2"/>
        <v>2.73972602739726</v>
      </c>
      <c r="M37" s="82">
        <f t="shared" si="3"/>
        <v>33.33333333333333</v>
      </c>
      <c r="N37" s="483">
        <f>K37-'[13]Maijs'!K37</f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60" customFormat="1" ht="12.75">
      <c r="A38" s="482" t="s">
        <v>747</v>
      </c>
      <c r="B38" s="483">
        <v>796900</v>
      </c>
      <c r="C38" s="483">
        <v>368000</v>
      </c>
      <c r="D38" s="483">
        <v>197984</v>
      </c>
      <c r="E38" s="475">
        <f t="shared" si="0"/>
        <v>0.24844271552265026</v>
      </c>
      <c r="F38" s="475">
        <f t="shared" si="1"/>
        <v>0.538</v>
      </c>
      <c r="G38" s="469">
        <f>D38-'[13]Maijs'!D38</f>
        <v>0</v>
      </c>
      <c r="H38" s="482" t="s">
        <v>747</v>
      </c>
      <c r="I38" s="483">
        <f t="shared" si="10"/>
        <v>797</v>
      </c>
      <c r="J38" s="483">
        <f t="shared" si="10"/>
        <v>368</v>
      </c>
      <c r="K38" s="483">
        <f t="shared" si="10"/>
        <v>198</v>
      </c>
      <c r="L38" s="82">
        <f t="shared" si="2"/>
        <v>24.843161856963615</v>
      </c>
      <c r="M38" s="82">
        <f t="shared" si="3"/>
        <v>53.80434782608695</v>
      </c>
      <c r="N38" s="483">
        <f>K38-'[13]Maijs'!K38</f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66" customFormat="1" ht="12">
      <c r="A39" s="74" t="s">
        <v>412</v>
      </c>
      <c r="B39" s="401">
        <f>B40+B43</f>
        <v>4195425</v>
      </c>
      <c r="C39" s="401">
        <f>C40+C43</f>
        <v>2092962</v>
      </c>
      <c r="D39" s="401">
        <f>D40+D43</f>
        <v>232653</v>
      </c>
      <c r="E39" s="484">
        <f t="shared" si="0"/>
        <v>0.05545397665314003</v>
      </c>
      <c r="F39" s="484">
        <f t="shared" si="1"/>
        <v>0.11115968660682803</v>
      </c>
      <c r="G39" s="469">
        <f>D39-'[13]Maijs'!D39</f>
        <v>946</v>
      </c>
      <c r="H39" s="74" t="s">
        <v>412</v>
      </c>
      <c r="I39" s="401">
        <f>I40+I43</f>
        <v>4196</v>
      </c>
      <c r="J39" s="401">
        <f>J40+J43</f>
        <v>2093</v>
      </c>
      <c r="K39" s="401">
        <f>K40+K43</f>
        <v>233</v>
      </c>
      <c r="L39" s="58">
        <f t="shared" si="2"/>
        <v>5.552907530981887</v>
      </c>
      <c r="M39" s="58">
        <f t="shared" si="3"/>
        <v>11.13234591495461</v>
      </c>
      <c r="N39" s="401">
        <f>K39-'[13]Maijs'!K39</f>
        <v>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04" s="477" customFormat="1" ht="12.75">
      <c r="A40" s="479" t="s">
        <v>749</v>
      </c>
      <c r="B40" s="480">
        <f>SUM(B41:B42)</f>
        <v>3361152</v>
      </c>
      <c r="C40" s="480">
        <f>SUM(C41:C42)</f>
        <v>2059598</v>
      </c>
      <c r="D40" s="480">
        <f>SUM(D41:D42)</f>
        <v>231707</v>
      </c>
      <c r="E40" s="475">
        <f t="shared" si="0"/>
        <v>0.06893678119882707</v>
      </c>
      <c r="F40" s="475">
        <f t="shared" si="1"/>
        <v>0.11250108030790475</v>
      </c>
      <c r="G40" s="469">
        <f>D40-'[13]Maijs'!D40</f>
        <v>0</v>
      </c>
      <c r="H40" s="479" t="s">
        <v>749</v>
      </c>
      <c r="I40" s="480">
        <f>SUM(I41:I42)</f>
        <v>3361</v>
      </c>
      <c r="J40" s="480">
        <f>SUM(J41:J42)</f>
        <v>2060</v>
      </c>
      <c r="K40" s="480">
        <f>SUM(K41:K42)</f>
        <v>232</v>
      </c>
      <c r="L40" s="481">
        <f t="shared" si="2"/>
        <v>6.902707527521571</v>
      </c>
      <c r="M40" s="481">
        <f t="shared" si="3"/>
        <v>11.262135922330096</v>
      </c>
      <c r="N40" s="480">
        <f>K40-'[13]Maijs'!K40</f>
        <v>0</v>
      </c>
      <c r="O40" s="476"/>
      <c r="P40" s="476"/>
      <c r="Q40" s="476"/>
      <c r="R40" s="476"/>
      <c r="S40" s="476"/>
      <c r="T40" s="476"/>
      <c r="U40" s="476"/>
      <c r="V40" s="476"/>
      <c r="W40" s="476"/>
      <c r="X40" s="476"/>
      <c r="Y40" s="476"/>
      <c r="Z40" s="476"/>
      <c r="AA40" s="476"/>
      <c r="AB40" s="476"/>
      <c r="AC40" s="476"/>
      <c r="AD40" s="476"/>
      <c r="AE40" s="476"/>
      <c r="AF40" s="476"/>
      <c r="AG40" s="476"/>
      <c r="AH40" s="476"/>
      <c r="AI40" s="476"/>
      <c r="AJ40" s="476"/>
      <c r="AK40" s="476"/>
      <c r="AL40" s="476"/>
      <c r="AM40" s="476"/>
      <c r="AN40" s="476"/>
      <c r="AO40" s="476"/>
      <c r="AP40" s="476"/>
      <c r="AQ40" s="476"/>
      <c r="AR40" s="476"/>
      <c r="AS40" s="476"/>
      <c r="AT40" s="476"/>
      <c r="AU40" s="476"/>
      <c r="AV40" s="476"/>
      <c r="AW40" s="476"/>
      <c r="AX40" s="476"/>
      <c r="AY40" s="476"/>
      <c r="AZ40" s="476"/>
      <c r="BA40" s="476"/>
      <c r="BB40" s="476"/>
      <c r="BC40" s="476"/>
      <c r="BD40" s="476"/>
      <c r="BE40" s="476"/>
      <c r="BF40" s="476"/>
      <c r="BG40" s="476"/>
      <c r="BH40" s="476"/>
      <c r="BI40" s="476"/>
      <c r="BJ40" s="476"/>
      <c r="BK40" s="476"/>
      <c r="BL40" s="476"/>
      <c r="BM40" s="476"/>
      <c r="BN40" s="476"/>
      <c r="BO40" s="476"/>
      <c r="BP40" s="476"/>
      <c r="BQ40" s="476"/>
      <c r="BR40" s="476"/>
      <c r="BS40" s="476"/>
      <c r="BT40" s="476"/>
      <c r="BU40" s="476"/>
      <c r="BV40" s="476"/>
      <c r="BW40" s="476"/>
      <c r="BX40" s="476"/>
      <c r="BY40" s="476"/>
      <c r="BZ40" s="476"/>
      <c r="CA40" s="476"/>
      <c r="CB40" s="476"/>
      <c r="CC40" s="476"/>
      <c r="CD40" s="476"/>
      <c r="CE40" s="476"/>
      <c r="CF40" s="476"/>
      <c r="CG40" s="476"/>
      <c r="CH40" s="476"/>
      <c r="CI40" s="476"/>
      <c r="CJ40" s="476"/>
      <c r="CK40" s="476"/>
      <c r="CL40" s="476"/>
      <c r="CM40" s="476"/>
      <c r="CN40" s="476"/>
      <c r="CO40" s="476"/>
      <c r="CP40" s="476"/>
      <c r="CQ40" s="476"/>
      <c r="CR40" s="476"/>
      <c r="CS40" s="476"/>
      <c r="CT40" s="476"/>
      <c r="CU40" s="476"/>
      <c r="CV40" s="476"/>
      <c r="CW40" s="476"/>
      <c r="CX40" s="476"/>
      <c r="CY40" s="476"/>
      <c r="CZ40" s="476"/>
    </row>
    <row r="41" spans="1:104" s="60" customFormat="1" ht="12.75">
      <c r="A41" s="482" t="s">
        <v>746</v>
      </c>
      <c r="B41" s="483">
        <v>240052</v>
      </c>
      <c r="C41" s="483">
        <v>142888</v>
      </c>
      <c r="D41" s="483">
        <v>47596</v>
      </c>
      <c r="E41" s="475">
        <f t="shared" si="0"/>
        <v>0.1982737073634046</v>
      </c>
      <c r="F41" s="475">
        <f t="shared" si="1"/>
        <v>0.33310005038911594</v>
      </c>
      <c r="G41" s="469">
        <f>D41-'[13]Maijs'!D41</f>
        <v>0</v>
      </c>
      <c r="H41" s="482" t="s">
        <v>746</v>
      </c>
      <c r="I41" s="483">
        <f aca="true" t="shared" si="11" ref="I41:K42">ROUND(B41/1000,0)</f>
        <v>240</v>
      </c>
      <c r="J41" s="483">
        <f t="shared" si="11"/>
        <v>143</v>
      </c>
      <c r="K41" s="483">
        <f>ROUND(D41/1000,0)</f>
        <v>48</v>
      </c>
      <c r="L41" s="82">
        <f t="shared" si="2"/>
        <v>20</v>
      </c>
      <c r="M41" s="82">
        <f t="shared" si="3"/>
        <v>33.56643356643357</v>
      </c>
      <c r="N41" s="483">
        <f>K41-'[13]Maijs'!K41</f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60" customFormat="1" ht="12.75">
      <c r="A42" s="482" t="s">
        <v>747</v>
      </c>
      <c r="B42" s="483">
        <v>3121100</v>
      </c>
      <c r="C42" s="483">
        <v>1916710</v>
      </c>
      <c r="D42" s="483">
        <v>184111</v>
      </c>
      <c r="E42" s="475">
        <f t="shared" si="0"/>
        <v>0.058989138444779085</v>
      </c>
      <c r="F42" s="475">
        <f t="shared" si="1"/>
        <v>0.09605574134845647</v>
      </c>
      <c r="G42" s="469">
        <f>D42-'[13]Maijs'!D42</f>
        <v>0</v>
      </c>
      <c r="H42" s="482" t="s">
        <v>747</v>
      </c>
      <c r="I42" s="483">
        <f t="shared" si="11"/>
        <v>3121</v>
      </c>
      <c r="J42" s="483">
        <f t="shared" si="11"/>
        <v>1917</v>
      </c>
      <c r="K42" s="483">
        <f t="shared" si="11"/>
        <v>184</v>
      </c>
      <c r="L42" s="82">
        <f t="shared" si="2"/>
        <v>5.8955462992630565</v>
      </c>
      <c r="M42" s="82">
        <f t="shared" si="3"/>
        <v>9.598330725091289</v>
      </c>
      <c r="N42" s="483">
        <f>K42-'[13]Maijs'!K42</f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477" customFormat="1" ht="12.75">
      <c r="A43" s="479" t="s">
        <v>750</v>
      </c>
      <c r="B43" s="480">
        <f>SUM(B44:B45)</f>
        <v>834273</v>
      </c>
      <c r="C43" s="480">
        <f>SUM(C44:C45)</f>
        <v>33364</v>
      </c>
      <c r="D43" s="480">
        <f>SUM(D44:D45)</f>
        <v>946</v>
      </c>
      <c r="E43" s="475">
        <f t="shared" si="0"/>
        <v>0.001133921390240365</v>
      </c>
      <c r="F43" s="475">
        <f t="shared" si="1"/>
        <v>0.028353914398753146</v>
      </c>
      <c r="G43" s="469">
        <f>D43-'[13]Maijs'!D43</f>
        <v>946</v>
      </c>
      <c r="H43" s="479" t="s">
        <v>750</v>
      </c>
      <c r="I43" s="480">
        <f>SUM(I44:I45)</f>
        <v>835</v>
      </c>
      <c r="J43" s="480">
        <f>SUM(J44:J45)</f>
        <v>33</v>
      </c>
      <c r="K43" s="480">
        <f>SUM(K44:K45)</f>
        <v>1</v>
      </c>
      <c r="L43" s="481">
        <f t="shared" si="2"/>
        <v>0.11976047904191617</v>
      </c>
      <c r="M43" s="481">
        <f t="shared" si="3"/>
        <v>3.0303030303030303</v>
      </c>
      <c r="N43" s="480">
        <f>K43-'[13]Maijs'!K43</f>
        <v>1</v>
      </c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6"/>
      <c r="AL43" s="476"/>
      <c r="AM43" s="476"/>
      <c r="AN43" s="476"/>
      <c r="AO43" s="476"/>
      <c r="AP43" s="476"/>
      <c r="AQ43" s="476"/>
      <c r="AR43" s="476"/>
      <c r="AS43" s="476"/>
      <c r="AT43" s="476"/>
      <c r="AU43" s="476"/>
      <c r="AV43" s="476"/>
      <c r="AW43" s="476"/>
      <c r="AX43" s="476"/>
      <c r="AY43" s="476"/>
      <c r="AZ43" s="476"/>
      <c r="BA43" s="476"/>
      <c r="BB43" s="476"/>
      <c r="BC43" s="476"/>
      <c r="BD43" s="476"/>
      <c r="BE43" s="476"/>
      <c r="BF43" s="476"/>
      <c r="BG43" s="476"/>
      <c r="BH43" s="476"/>
      <c r="BI43" s="476"/>
      <c r="BJ43" s="476"/>
      <c r="BK43" s="476"/>
      <c r="BL43" s="476"/>
      <c r="BM43" s="476"/>
      <c r="BN43" s="476"/>
      <c r="BO43" s="476"/>
      <c r="BP43" s="476"/>
      <c r="BQ43" s="476"/>
      <c r="BR43" s="476"/>
      <c r="BS43" s="476"/>
      <c r="BT43" s="476"/>
      <c r="BU43" s="476"/>
      <c r="BV43" s="476"/>
      <c r="BW43" s="476"/>
      <c r="BX43" s="476"/>
      <c r="BY43" s="476"/>
      <c r="BZ43" s="476"/>
      <c r="CA43" s="476"/>
      <c r="CB43" s="476"/>
      <c r="CC43" s="476"/>
      <c r="CD43" s="476"/>
      <c r="CE43" s="476"/>
      <c r="CF43" s="476"/>
      <c r="CG43" s="476"/>
      <c r="CH43" s="476"/>
      <c r="CI43" s="476"/>
      <c r="CJ43" s="476"/>
      <c r="CK43" s="476"/>
      <c r="CL43" s="476"/>
      <c r="CM43" s="476"/>
      <c r="CN43" s="476"/>
      <c r="CO43" s="476"/>
      <c r="CP43" s="476"/>
      <c r="CQ43" s="476"/>
      <c r="CR43" s="476"/>
      <c r="CS43" s="476"/>
      <c r="CT43" s="476"/>
      <c r="CU43" s="476"/>
      <c r="CV43" s="476"/>
      <c r="CW43" s="476"/>
      <c r="CX43" s="476"/>
      <c r="CY43" s="476"/>
      <c r="CZ43" s="476"/>
    </row>
    <row r="44" spans="1:104" s="60" customFormat="1" ht="12.75">
      <c r="A44" s="482" t="s">
        <v>746</v>
      </c>
      <c r="B44" s="483">
        <v>6623</v>
      </c>
      <c r="C44" s="483"/>
      <c r="D44" s="483"/>
      <c r="E44" s="475">
        <f t="shared" si="0"/>
        <v>0</v>
      </c>
      <c r="F44" s="475" t="str">
        <f t="shared" si="1"/>
        <v> </v>
      </c>
      <c r="G44" s="469">
        <f>D44-'[13]Maijs'!D44</f>
        <v>0</v>
      </c>
      <c r="H44" s="482" t="s">
        <v>746</v>
      </c>
      <c r="I44" s="483">
        <f aca="true" t="shared" si="12" ref="I44:K45">ROUND(B44/1000,0)</f>
        <v>7</v>
      </c>
      <c r="J44" s="483">
        <f t="shared" si="12"/>
        <v>0</v>
      </c>
      <c r="K44" s="483">
        <f t="shared" si="12"/>
        <v>0</v>
      </c>
      <c r="L44" s="82">
        <f t="shared" si="2"/>
        <v>0</v>
      </c>
      <c r="M44" s="82"/>
      <c r="N44" s="483">
        <f>K44-'[13]Maijs'!K44</f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60" customFormat="1" ht="12.75">
      <c r="A45" s="482" t="s">
        <v>747</v>
      </c>
      <c r="B45" s="483">
        <v>827650</v>
      </c>
      <c r="C45" s="483">
        <v>33364</v>
      </c>
      <c r="D45" s="483">
        <v>946</v>
      </c>
      <c r="E45" s="475">
        <f t="shared" si="0"/>
        <v>0.0011429952274512173</v>
      </c>
      <c r="F45" s="475">
        <f t="shared" si="1"/>
        <v>0.028353914398753146</v>
      </c>
      <c r="G45" s="469">
        <f>D45-'[13]Maijs'!D45</f>
        <v>946</v>
      </c>
      <c r="H45" s="482" t="s">
        <v>747</v>
      </c>
      <c r="I45" s="483">
        <f t="shared" si="12"/>
        <v>828</v>
      </c>
      <c r="J45" s="483">
        <f t="shared" si="12"/>
        <v>33</v>
      </c>
      <c r="K45" s="483">
        <f t="shared" si="12"/>
        <v>1</v>
      </c>
      <c r="L45" s="82">
        <f t="shared" si="2"/>
        <v>0.12077294685990338</v>
      </c>
      <c r="M45" s="82">
        <f t="shared" si="3"/>
        <v>3.0303030303030303</v>
      </c>
      <c r="N45" s="483">
        <f>K45-'[13]Maijs'!K45</f>
        <v>1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66" customFormat="1" ht="12">
      <c r="A46" s="59" t="s">
        <v>414</v>
      </c>
      <c r="B46" s="401">
        <f>B47+B50</f>
        <v>4381568</v>
      </c>
      <c r="C46" s="401">
        <f>C47+C50</f>
        <v>3911500</v>
      </c>
      <c r="D46" s="401">
        <f>D47+D50</f>
        <v>2307425</v>
      </c>
      <c r="E46" s="484">
        <f t="shared" si="0"/>
        <v>0.5266208352808858</v>
      </c>
      <c r="F46" s="484">
        <f t="shared" si="1"/>
        <v>0.5899079636967915</v>
      </c>
      <c r="G46" s="469">
        <f>D46-'[13]Maijs'!D46</f>
        <v>346593</v>
      </c>
      <c r="H46" s="59" t="s">
        <v>414</v>
      </c>
      <c r="I46" s="401">
        <f>I47+I50</f>
        <v>4381</v>
      </c>
      <c r="J46" s="401">
        <f>J47+J50</f>
        <v>3911</v>
      </c>
      <c r="K46" s="401">
        <f>K47+K50</f>
        <v>2307</v>
      </c>
      <c r="L46" s="58">
        <f t="shared" si="2"/>
        <v>52.659210225975805</v>
      </c>
      <c r="M46" s="58">
        <f>IF(ISERROR(ROUND(K46,0)/ROUND(J46,0))," ",(ROUND(K46,)/ROUND(J46,)))*100</f>
        <v>58.98747123497826</v>
      </c>
      <c r="N46" s="401">
        <f>K46-'[13]Maijs'!K46</f>
        <v>347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s="477" customFormat="1" ht="12.75" customHeight="1">
      <c r="A47" s="479" t="s">
        <v>749</v>
      </c>
      <c r="B47" s="480">
        <f>SUM(B48:B49)</f>
        <v>2766209</v>
      </c>
      <c r="C47" s="480">
        <f>SUM(C48:C49)</f>
        <v>2539209</v>
      </c>
      <c r="D47" s="480">
        <f>SUM(D48:D49)</f>
        <v>1536131</v>
      </c>
      <c r="E47" s="475">
        <f t="shared" si="0"/>
        <v>0.5553199342493644</v>
      </c>
      <c r="F47" s="475">
        <f t="shared" si="1"/>
        <v>0.6049643806397976</v>
      </c>
      <c r="G47" s="469">
        <f>D47-'[13]Maijs'!D47</f>
        <v>239227</v>
      </c>
      <c r="H47" s="479" t="s">
        <v>749</v>
      </c>
      <c r="I47" s="480">
        <f>I48+I49</f>
        <v>2766</v>
      </c>
      <c r="J47" s="480">
        <f>J48+J49</f>
        <v>2539</v>
      </c>
      <c r="K47" s="480">
        <f>K48+K49</f>
        <v>1536</v>
      </c>
      <c r="L47" s="481">
        <f t="shared" si="2"/>
        <v>55.53145336225597</v>
      </c>
      <c r="M47" s="481">
        <f>IF(ISERROR(ROUND(K47,0)/ROUND(J47,0))," ",(ROUND(K47,)/ROUND(J47,)))*100</f>
        <v>60.49625836943678</v>
      </c>
      <c r="N47" s="480">
        <f>K47-'[13]Maijs'!K47</f>
        <v>240</v>
      </c>
      <c r="O47" s="476"/>
      <c r="P47" s="476"/>
      <c r="Q47" s="476"/>
      <c r="R47" s="476"/>
      <c r="S47" s="476"/>
      <c r="T47" s="476"/>
      <c r="U47" s="476"/>
      <c r="V47" s="476"/>
      <c r="W47" s="476"/>
      <c r="X47" s="476"/>
      <c r="Y47" s="476"/>
      <c r="Z47" s="476"/>
      <c r="AA47" s="476"/>
      <c r="AB47" s="476"/>
      <c r="AC47" s="476"/>
      <c r="AD47" s="476"/>
      <c r="AE47" s="476"/>
      <c r="AF47" s="476"/>
      <c r="AG47" s="476"/>
      <c r="AH47" s="476"/>
      <c r="AI47" s="476"/>
      <c r="AJ47" s="476"/>
      <c r="AK47" s="476"/>
      <c r="AL47" s="476"/>
      <c r="AM47" s="476"/>
      <c r="AN47" s="476"/>
      <c r="AO47" s="476"/>
      <c r="AP47" s="476"/>
      <c r="AQ47" s="476"/>
      <c r="AR47" s="476"/>
      <c r="AS47" s="476"/>
      <c r="AT47" s="476"/>
      <c r="AU47" s="476"/>
      <c r="AV47" s="476"/>
      <c r="AW47" s="476"/>
      <c r="AX47" s="476"/>
      <c r="AY47" s="476"/>
      <c r="AZ47" s="476"/>
      <c r="BA47" s="476"/>
      <c r="BB47" s="476"/>
      <c r="BC47" s="476"/>
      <c r="BD47" s="476"/>
      <c r="BE47" s="476"/>
      <c r="BF47" s="476"/>
      <c r="BG47" s="476"/>
      <c r="BH47" s="476"/>
      <c r="BI47" s="476"/>
      <c r="BJ47" s="476"/>
      <c r="BK47" s="476"/>
      <c r="BL47" s="476"/>
      <c r="BM47" s="476"/>
      <c r="BN47" s="476"/>
      <c r="BO47" s="476"/>
      <c r="BP47" s="476"/>
      <c r="BQ47" s="476"/>
      <c r="BR47" s="476"/>
      <c r="BS47" s="476"/>
      <c r="BT47" s="476"/>
      <c r="BU47" s="476"/>
      <c r="BV47" s="476"/>
      <c r="BW47" s="476"/>
      <c r="BX47" s="476"/>
      <c r="BY47" s="476"/>
      <c r="BZ47" s="476"/>
      <c r="CA47" s="476"/>
      <c r="CB47" s="476"/>
      <c r="CC47" s="476"/>
      <c r="CD47" s="476"/>
      <c r="CE47" s="476"/>
      <c r="CF47" s="476"/>
      <c r="CG47" s="476"/>
      <c r="CH47" s="476"/>
      <c r="CI47" s="476"/>
      <c r="CJ47" s="476"/>
      <c r="CK47" s="476"/>
      <c r="CL47" s="476"/>
      <c r="CM47" s="476"/>
      <c r="CN47" s="476"/>
      <c r="CO47" s="476"/>
      <c r="CP47" s="476"/>
      <c r="CQ47" s="476"/>
      <c r="CR47" s="476"/>
      <c r="CS47" s="476"/>
      <c r="CT47" s="476"/>
      <c r="CU47" s="476"/>
      <c r="CV47" s="476"/>
      <c r="CW47" s="476"/>
      <c r="CX47" s="476"/>
      <c r="CY47" s="476"/>
      <c r="CZ47" s="476"/>
    </row>
    <row r="48" spans="1:104" s="60" customFormat="1" ht="12.75">
      <c r="A48" s="482" t="s">
        <v>746</v>
      </c>
      <c r="B48" s="483">
        <v>2682429</v>
      </c>
      <c r="C48" s="483">
        <v>2455429</v>
      </c>
      <c r="D48" s="483">
        <v>1460737</v>
      </c>
      <c r="E48" s="475">
        <f t="shared" si="0"/>
        <v>0.5445575633129526</v>
      </c>
      <c r="F48" s="475">
        <f t="shared" si="1"/>
        <v>0.594900931772004</v>
      </c>
      <c r="G48" s="469">
        <f>D48-'[13]Maijs'!D48</f>
        <v>239227</v>
      </c>
      <c r="H48" s="482" t="s">
        <v>746</v>
      </c>
      <c r="I48" s="483">
        <f aca="true" t="shared" si="13" ref="I48:K49">ROUND(B48/1000,0)</f>
        <v>2682</v>
      </c>
      <c r="J48" s="483">
        <f>ROUND(C48/1000,0)</f>
        <v>2455</v>
      </c>
      <c r="K48" s="483">
        <f>ROUND(D48/1000,0)</f>
        <v>1461</v>
      </c>
      <c r="L48" s="82">
        <f t="shared" si="2"/>
        <v>54.47427293064877</v>
      </c>
      <c r="M48" s="82">
        <f aca="true" t="shared" si="14" ref="M48:M82">IF(ISERROR(ROUND(K48,0)/ROUND(J48,0))," ",(ROUND(K48,)/ROUND(J48,)))*100</f>
        <v>59.5112016293279</v>
      </c>
      <c r="N48" s="483">
        <f>K48-'[13]Maijs'!K48</f>
        <v>240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</row>
    <row r="49" spans="1:104" s="60" customFormat="1" ht="12.75">
      <c r="A49" s="482" t="s">
        <v>747</v>
      </c>
      <c r="B49" s="483">
        <v>83780</v>
      </c>
      <c r="C49" s="483">
        <v>83780</v>
      </c>
      <c r="D49" s="483">
        <v>75394</v>
      </c>
      <c r="E49" s="475">
        <f t="shared" si="0"/>
        <v>0.8999045118166626</v>
      </c>
      <c r="F49" s="475">
        <f t="shared" si="1"/>
        <v>0.8999045118166626</v>
      </c>
      <c r="G49" s="469">
        <f>D49-'[13]Maijs'!D49</f>
        <v>0</v>
      </c>
      <c r="H49" s="482" t="s">
        <v>747</v>
      </c>
      <c r="I49" s="483">
        <f t="shared" si="13"/>
        <v>84</v>
      </c>
      <c r="J49" s="483">
        <f t="shared" si="13"/>
        <v>84</v>
      </c>
      <c r="K49" s="483">
        <f t="shared" si="13"/>
        <v>75</v>
      </c>
      <c r="L49" s="82">
        <f t="shared" si="2"/>
        <v>89.28571428571429</v>
      </c>
      <c r="M49" s="82">
        <f t="shared" si="14"/>
        <v>89.28571428571429</v>
      </c>
      <c r="N49" s="483">
        <f>K49-'[13]Maijs'!K49</f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</row>
    <row r="50" spans="1:104" s="137" customFormat="1" ht="12.75">
      <c r="A50" s="479" t="s">
        <v>750</v>
      </c>
      <c r="B50" s="480">
        <f>B51</f>
        <v>1615359</v>
      </c>
      <c r="C50" s="480">
        <f>C51</f>
        <v>1372291</v>
      </c>
      <c r="D50" s="480">
        <f>D51</f>
        <v>771294</v>
      </c>
      <c r="E50" s="475">
        <f t="shared" si="0"/>
        <v>0.47747528567953007</v>
      </c>
      <c r="F50" s="475">
        <f t="shared" si="1"/>
        <v>0.5620484285038669</v>
      </c>
      <c r="G50" s="469">
        <f>D50-'[13]Maijs'!D50</f>
        <v>107366</v>
      </c>
      <c r="H50" s="479" t="s">
        <v>750</v>
      </c>
      <c r="I50" s="480">
        <f>I51</f>
        <v>1615</v>
      </c>
      <c r="J50" s="480">
        <f>J51</f>
        <v>1372</v>
      </c>
      <c r="K50" s="480">
        <f>K51</f>
        <v>771</v>
      </c>
      <c r="L50" s="481">
        <f t="shared" si="2"/>
        <v>47.73993808049536</v>
      </c>
      <c r="M50" s="481">
        <f t="shared" si="14"/>
        <v>56.19533527696793</v>
      </c>
      <c r="N50" s="480">
        <f>K50-'[13]Maijs'!K50</f>
        <v>107</v>
      </c>
      <c r="O50" s="476"/>
      <c r="P50" s="476"/>
      <c r="Q50" s="476"/>
      <c r="R50" s="476"/>
      <c r="S50" s="476"/>
      <c r="T50" s="476"/>
      <c r="U50" s="476"/>
      <c r="V50" s="476"/>
      <c r="W50" s="476"/>
      <c r="X50" s="476"/>
      <c r="Y50" s="476"/>
      <c r="Z50" s="476"/>
      <c r="AA50" s="476"/>
      <c r="AB50" s="476"/>
      <c r="AC50" s="476"/>
      <c r="AD50" s="476"/>
      <c r="AE50" s="476"/>
      <c r="AF50" s="476"/>
      <c r="AG50" s="476"/>
      <c r="AH50" s="476"/>
      <c r="AI50" s="476"/>
      <c r="AJ50" s="476"/>
      <c r="AK50" s="476"/>
      <c r="AL50" s="476"/>
      <c r="AM50" s="476"/>
      <c r="AN50" s="476"/>
      <c r="AO50" s="476"/>
      <c r="AP50" s="476"/>
      <c r="AQ50" s="476"/>
      <c r="AR50" s="476"/>
      <c r="AS50" s="476"/>
      <c r="AT50" s="476"/>
      <c r="AU50" s="476"/>
      <c r="AV50" s="476"/>
      <c r="AW50" s="476"/>
      <c r="AX50" s="476"/>
      <c r="AY50" s="476"/>
      <c r="AZ50" s="476"/>
      <c r="BA50" s="476"/>
      <c r="BB50" s="476"/>
      <c r="BC50" s="476"/>
      <c r="BD50" s="476"/>
      <c r="BE50" s="476"/>
      <c r="BF50" s="476"/>
      <c r="BG50" s="476"/>
      <c r="BH50" s="476"/>
      <c r="BI50" s="476"/>
      <c r="BJ50" s="476"/>
      <c r="BK50" s="476"/>
      <c r="BL50" s="476"/>
      <c r="BM50" s="476"/>
      <c r="BN50" s="476"/>
      <c r="BO50" s="476"/>
      <c r="BP50" s="476"/>
      <c r="BQ50" s="476"/>
      <c r="BR50" s="476"/>
      <c r="BS50" s="476"/>
      <c r="BT50" s="476"/>
      <c r="BU50" s="476"/>
      <c r="BV50" s="476"/>
      <c r="BW50" s="476"/>
      <c r="BX50" s="476"/>
      <c r="BY50" s="476"/>
      <c r="BZ50" s="476"/>
      <c r="CA50" s="476"/>
      <c r="CB50" s="476"/>
      <c r="CC50" s="476"/>
      <c r="CD50" s="476"/>
      <c r="CE50" s="476"/>
      <c r="CF50" s="476"/>
      <c r="CG50" s="476"/>
      <c r="CH50" s="476"/>
      <c r="CI50" s="476"/>
      <c r="CJ50" s="476"/>
      <c r="CK50" s="476"/>
      <c r="CL50" s="476"/>
      <c r="CM50" s="476"/>
      <c r="CN50" s="476"/>
      <c r="CO50" s="476"/>
      <c r="CP50" s="476"/>
      <c r="CQ50" s="476"/>
      <c r="CR50" s="476"/>
      <c r="CS50" s="476"/>
      <c r="CT50" s="476"/>
      <c r="CU50" s="476"/>
      <c r="CV50" s="476"/>
      <c r="CW50" s="476"/>
      <c r="CX50" s="476"/>
      <c r="CY50" s="476"/>
      <c r="CZ50" s="476"/>
    </row>
    <row r="51" spans="1:104" s="85" customFormat="1" ht="12.75">
      <c r="A51" s="482" t="s">
        <v>746</v>
      </c>
      <c r="B51" s="483">
        <v>1615359</v>
      </c>
      <c r="C51" s="483">
        <v>1372291</v>
      </c>
      <c r="D51" s="483">
        <v>771294</v>
      </c>
      <c r="E51" s="475">
        <f t="shared" si="0"/>
        <v>0.47747528567953007</v>
      </c>
      <c r="F51" s="475">
        <f t="shared" si="1"/>
        <v>0.5620484285038669</v>
      </c>
      <c r="G51" s="469">
        <f>D51-'[13]Maijs'!D51</f>
        <v>107366</v>
      </c>
      <c r="H51" s="482" t="s">
        <v>746</v>
      </c>
      <c r="I51" s="483">
        <f>ROUND(B51/1000,0)</f>
        <v>1615</v>
      </c>
      <c r="J51" s="483">
        <f>ROUND(C51/1000,0)</f>
        <v>1372</v>
      </c>
      <c r="K51" s="483">
        <f>ROUND(D51/1000,0)</f>
        <v>771</v>
      </c>
      <c r="L51" s="82">
        <f t="shared" si="2"/>
        <v>47.73993808049536</v>
      </c>
      <c r="M51" s="82">
        <f t="shared" si="14"/>
        <v>56.19533527696793</v>
      </c>
      <c r="N51" s="483">
        <f>K51-'[13]Maijs'!K51</f>
        <v>107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</row>
    <row r="52" spans="1:14" s="1" customFormat="1" ht="12">
      <c r="A52" s="74" t="s">
        <v>416</v>
      </c>
      <c r="B52" s="485">
        <f>B53+B56</f>
        <v>21033713</v>
      </c>
      <c r="C52" s="485">
        <f>C53+C56</f>
        <v>1388600</v>
      </c>
      <c r="D52" s="485">
        <f>D53+D56</f>
        <v>669958</v>
      </c>
      <c r="E52" s="484">
        <f t="shared" si="0"/>
        <v>0.03185162790801605</v>
      </c>
      <c r="F52" s="484">
        <f t="shared" si="1"/>
        <v>0.482470113783667</v>
      </c>
      <c r="G52" s="469">
        <f>D52-'[13]Maijs'!D52</f>
        <v>73128</v>
      </c>
      <c r="H52" s="74" t="s">
        <v>416</v>
      </c>
      <c r="I52" s="401">
        <f>I53+I56</f>
        <v>21033</v>
      </c>
      <c r="J52" s="401">
        <f>J53+J56</f>
        <v>1388</v>
      </c>
      <c r="K52" s="401">
        <f>K53+K56</f>
        <v>670</v>
      </c>
      <c r="L52" s="58">
        <f t="shared" si="2"/>
        <v>3.18547045119574</v>
      </c>
      <c r="M52" s="58">
        <f t="shared" si="14"/>
        <v>48.27089337175792</v>
      </c>
      <c r="N52" s="401">
        <f>K52-'[13]Maijs'!K52</f>
        <v>73</v>
      </c>
    </row>
    <row r="53" spans="1:14" s="476" customFormat="1" ht="12.75">
      <c r="A53" s="479" t="s">
        <v>749</v>
      </c>
      <c r="B53" s="480">
        <f>SUM(B54:B55)</f>
        <v>16233430</v>
      </c>
      <c r="C53" s="480">
        <f>SUM(C54:C55)</f>
        <v>1227470</v>
      </c>
      <c r="D53" s="480">
        <f>SUM(D54:D55)</f>
        <v>535594</v>
      </c>
      <c r="E53" s="475">
        <f t="shared" si="0"/>
        <v>0.03299327375668605</v>
      </c>
      <c r="F53" s="475">
        <f t="shared" si="1"/>
        <v>0.43633978834513265</v>
      </c>
      <c r="G53" s="469">
        <f>D53-'[13]Maijs'!D53</f>
        <v>70817</v>
      </c>
      <c r="H53" s="479" t="s">
        <v>749</v>
      </c>
      <c r="I53" s="480">
        <f>SUM(I54:I55)</f>
        <v>16233</v>
      </c>
      <c r="J53" s="480">
        <f>SUM(J54:J55)</f>
        <v>1227</v>
      </c>
      <c r="K53" s="480">
        <f>SUM(K54:K55)</f>
        <v>535</v>
      </c>
      <c r="L53" s="481">
        <f t="shared" si="2"/>
        <v>3.2957555596624157</v>
      </c>
      <c r="M53" s="481">
        <f t="shared" si="14"/>
        <v>43.60228198859006</v>
      </c>
      <c r="N53" s="480">
        <f>K53-'[13]Maijs'!K53</f>
        <v>70</v>
      </c>
    </row>
    <row r="54" spans="1:14" ht="12.75">
      <c r="A54" s="482" t="s">
        <v>746</v>
      </c>
      <c r="B54" s="483">
        <v>14472230</v>
      </c>
      <c r="C54" s="483">
        <v>527470</v>
      </c>
      <c r="D54" s="483">
        <v>114884</v>
      </c>
      <c r="E54" s="475">
        <f t="shared" si="0"/>
        <v>0.007938237576379037</v>
      </c>
      <c r="F54" s="475">
        <f t="shared" si="1"/>
        <v>0.21780196030105978</v>
      </c>
      <c r="G54" s="469">
        <f>D54-'[13]Maijs'!D54</f>
        <v>70817</v>
      </c>
      <c r="H54" s="482" t="s">
        <v>746</v>
      </c>
      <c r="I54" s="483">
        <f aca="true" t="shared" si="15" ref="I54:K55">ROUND(B54/1000,0)</f>
        <v>14472</v>
      </c>
      <c r="J54" s="483">
        <f>ROUND(C54/1000,0)</f>
        <v>527</v>
      </c>
      <c r="K54" s="483">
        <f>ROUND(D54/1000,0)-1</f>
        <v>114</v>
      </c>
      <c r="L54" s="82">
        <f t="shared" si="2"/>
        <v>0.7877280265339968</v>
      </c>
      <c r="M54" s="82">
        <f t="shared" si="14"/>
        <v>21.631878557874764</v>
      </c>
      <c r="N54" s="483">
        <f>K54-'[13]Maijs'!K54</f>
        <v>70</v>
      </c>
    </row>
    <row r="55" spans="1:14" ht="12.75">
      <c r="A55" s="482" t="s">
        <v>747</v>
      </c>
      <c r="B55" s="483">
        <v>1761200</v>
      </c>
      <c r="C55" s="483">
        <v>700000</v>
      </c>
      <c r="D55" s="483">
        <v>420710</v>
      </c>
      <c r="E55" s="475">
        <f t="shared" si="0"/>
        <v>0.23887690211219623</v>
      </c>
      <c r="F55" s="475">
        <f t="shared" si="1"/>
        <v>0.6010142857142857</v>
      </c>
      <c r="G55" s="469">
        <f>D55-'[13]Maijs'!D55</f>
        <v>0</v>
      </c>
      <c r="H55" s="482" t="s">
        <v>747</v>
      </c>
      <c r="I55" s="483">
        <f t="shared" si="15"/>
        <v>1761</v>
      </c>
      <c r="J55" s="483">
        <f t="shared" si="15"/>
        <v>700</v>
      </c>
      <c r="K55" s="483">
        <f t="shared" si="15"/>
        <v>421</v>
      </c>
      <c r="L55" s="82">
        <f t="shared" si="2"/>
        <v>23.9068710959682</v>
      </c>
      <c r="M55" s="82">
        <f t="shared" si="14"/>
        <v>60.14285714285714</v>
      </c>
      <c r="N55" s="483">
        <f>K55-'[13]Maijs'!K55</f>
        <v>0</v>
      </c>
    </row>
    <row r="56" spans="1:14" s="476" customFormat="1" ht="12.75">
      <c r="A56" s="479" t="s">
        <v>750</v>
      </c>
      <c r="B56" s="480">
        <f>SUM(B57:B58)</f>
        <v>4800283</v>
      </c>
      <c r="C56" s="480">
        <f>SUM(C57:C58)</f>
        <v>161130</v>
      </c>
      <c r="D56" s="480">
        <f>SUM(D57:D58)</f>
        <v>134364</v>
      </c>
      <c r="E56" s="475">
        <f t="shared" si="0"/>
        <v>0.027990849706152742</v>
      </c>
      <c r="F56" s="475">
        <f t="shared" si="1"/>
        <v>0.8338856823682741</v>
      </c>
      <c r="G56" s="469">
        <f>D56-'[13]Maijs'!D56</f>
        <v>2311</v>
      </c>
      <c r="H56" s="479" t="s">
        <v>750</v>
      </c>
      <c r="I56" s="480">
        <f>SUM(I57:I58)</f>
        <v>4800</v>
      </c>
      <c r="J56" s="480">
        <f>SUM(J57:J58)</f>
        <v>161</v>
      </c>
      <c r="K56" s="480">
        <f>SUM(K57:K58)</f>
        <v>135</v>
      </c>
      <c r="L56" s="481">
        <f t="shared" si="2"/>
        <v>2.8125</v>
      </c>
      <c r="M56" s="481">
        <f t="shared" si="14"/>
        <v>83.85093167701864</v>
      </c>
      <c r="N56" s="480">
        <f>K56-'[13]Maijs'!K56</f>
        <v>3</v>
      </c>
    </row>
    <row r="57" spans="1:14" ht="12.75">
      <c r="A57" s="482" t="s">
        <v>746</v>
      </c>
      <c r="B57" s="483">
        <v>4578283</v>
      </c>
      <c r="C57" s="483">
        <v>7130</v>
      </c>
      <c r="D57" s="483">
        <v>771</v>
      </c>
      <c r="E57" s="475">
        <f t="shared" si="0"/>
        <v>0.00016840374437316347</v>
      </c>
      <c r="F57" s="475">
        <f t="shared" si="1"/>
        <v>0.10813464235624123</v>
      </c>
      <c r="G57" s="469">
        <f>D57-'[13]Maijs'!D57</f>
        <v>771</v>
      </c>
      <c r="H57" s="482" t="s">
        <v>746</v>
      </c>
      <c r="I57" s="483">
        <f aca="true" t="shared" si="16" ref="I57:K58">ROUND(B57/1000,0)</f>
        <v>4578</v>
      </c>
      <c r="J57" s="483">
        <f t="shared" si="16"/>
        <v>7</v>
      </c>
      <c r="K57" s="483">
        <f t="shared" si="16"/>
        <v>1</v>
      </c>
      <c r="L57" s="82">
        <f t="shared" si="2"/>
        <v>0.021843599825251202</v>
      </c>
      <c r="M57" s="82">
        <f t="shared" si="14"/>
        <v>14.285714285714285</v>
      </c>
      <c r="N57" s="483">
        <f>K57-'[13]Maijs'!K57</f>
        <v>1</v>
      </c>
    </row>
    <row r="58" spans="1:14" ht="12.75">
      <c r="A58" s="482" t="s">
        <v>747</v>
      </c>
      <c r="B58" s="483">
        <v>222000</v>
      </c>
      <c r="C58" s="483">
        <v>154000</v>
      </c>
      <c r="D58" s="483">
        <v>133593</v>
      </c>
      <c r="E58" s="475">
        <f t="shared" si="0"/>
        <v>0.6017702702702703</v>
      </c>
      <c r="F58" s="475">
        <f t="shared" si="1"/>
        <v>0.867487012987013</v>
      </c>
      <c r="G58" s="469">
        <f>D58-'[13]Maijs'!D58</f>
        <v>1540</v>
      </c>
      <c r="H58" s="482" t="s">
        <v>747</v>
      </c>
      <c r="I58" s="483">
        <f t="shared" si="16"/>
        <v>222</v>
      </c>
      <c r="J58" s="483">
        <f>ROUND(C58/1000,0)</f>
        <v>154</v>
      </c>
      <c r="K58" s="483">
        <f t="shared" si="16"/>
        <v>134</v>
      </c>
      <c r="L58" s="82">
        <f t="shared" si="2"/>
        <v>60.36036036036037</v>
      </c>
      <c r="M58" s="82">
        <f t="shared" si="14"/>
        <v>87.01298701298701</v>
      </c>
      <c r="N58" s="483">
        <f>K58-'[13]Maijs'!K58</f>
        <v>2</v>
      </c>
    </row>
    <row r="59" spans="1:14" s="1" customFormat="1" ht="12.75" customHeight="1">
      <c r="A59" s="74" t="s">
        <v>418</v>
      </c>
      <c r="B59" s="485">
        <f>B60+B63</f>
        <v>10588731</v>
      </c>
      <c r="C59" s="485">
        <f>C60+C63</f>
        <v>2846283</v>
      </c>
      <c r="D59" s="485">
        <f>D60+D63</f>
        <v>1389750</v>
      </c>
      <c r="E59" s="484">
        <f t="shared" si="0"/>
        <v>0.13124802207176667</v>
      </c>
      <c r="F59" s="484">
        <f t="shared" si="1"/>
        <v>0.4882683837130742</v>
      </c>
      <c r="G59" s="469">
        <f>D59-'[13]Maijs'!D59</f>
        <v>133870</v>
      </c>
      <c r="H59" s="74" t="s">
        <v>418</v>
      </c>
      <c r="I59" s="401">
        <f>I60+I63</f>
        <v>10589</v>
      </c>
      <c r="J59" s="401">
        <f>J60+J63</f>
        <v>2846</v>
      </c>
      <c r="K59" s="401">
        <f>K60+K63</f>
        <v>1390</v>
      </c>
      <c r="L59" s="58">
        <f t="shared" si="2"/>
        <v>13.126829728964019</v>
      </c>
      <c r="M59" s="58">
        <f t="shared" si="14"/>
        <v>48.840477863668305</v>
      </c>
      <c r="N59" s="401">
        <f>K59-'[13]Maijs'!K59</f>
        <v>135</v>
      </c>
    </row>
    <row r="60" spans="1:14" s="476" customFormat="1" ht="12.75" customHeight="1">
      <c r="A60" s="479" t="s">
        <v>749</v>
      </c>
      <c r="B60" s="480">
        <f>SUM(B61:B62)</f>
        <v>7873731</v>
      </c>
      <c r="C60" s="480">
        <f>SUM(C61:C62)</f>
        <v>2157283</v>
      </c>
      <c r="D60" s="480">
        <f>SUM(D61:D62)</f>
        <v>1114750</v>
      </c>
      <c r="E60" s="475">
        <f t="shared" si="0"/>
        <v>0.14157836989859066</v>
      </c>
      <c r="F60" s="475">
        <f t="shared" si="1"/>
        <v>0.5167379523224352</v>
      </c>
      <c r="G60" s="469">
        <f>D60-'[13]Maijs'!D60</f>
        <v>32826</v>
      </c>
      <c r="H60" s="479" t="s">
        <v>749</v>
      </c>
      <c r="I60" s="480">
        <f>I61+I62</f>
        <v>7874</v>
      </c>
      <c r="J60" s="480">
        <f>J61+J62</f>
        <v>2157</v>
      </c>
      <c r="K60" s="480">
        <f>K61+K62</f>
        <v>1115</v>
      </c>
      <c r="L60" s="481">
        <f t="shared" si="2"/>
        <v>14.160528321056642</v>
      </c>
      <c r="M60" s="481">
        <f t="shared" si="14"/>
        <v>51.692165044042646</v>
      </c>
      <c r="N60" s="480">
        <f>K60-'[13]Maijs'!K60</f>
        <v>34</v>
      </c>
    </row>
    <row r="61" spans="1:14" ht="12.75">
      <c r="A61" s="482" t="s">
        <v>746</v>
      </c>
      <c r="B61" s="483">
        <v>477528</v>
      </c>
      <c r="C61" s="483">
        <v>325278</v>
      </c>
      <c r="D61" s="483">
        <v>225676</v>
      </c>
      <c r="E61" s="475">
        <f t="shared" si="0"/>
        <v>0.4725921830761756</v>
      </c>
      <c r="F61" s="475">
        <f t="shared" si="1"/>
        <v>0.6937942313959137</v>
      </c>
      <c r="G61" s="469">
        <f>D61-'[13]Maijs'!D61</f>
        <v>0</v>
      </c>
      <c r="H61" s="482" t="s">
        <v>746</v>
      </c>
      <c r="I61" s="483">
        <f aca="true" t="shared" si="17" ref="I61:K62">ROUND(B61/1000,0)</f>
        <v>478</v>
      </c>
      <c r="J61" s="483">
        <f>ROUND(C61/1000,0)</f>
        <v>325</v>
      </c>
      <c r="K61" s="483">
        <f>ROUND(D61/1000,0)</f>
        <v>226</v>
      </c>
      <c r="L61" s="82">
        <f t="shared" si="2"/>
        <v>47.28033472803347</v>
      </c>
      <c r="M61" s="82">
        <f t="shared" si="14"/>
        <v>69.53846153846153</v>
      </c>
      <c r="N61" s="483">
        <f>K61-'[13]Maijs'!K61</f>
        <v>1</v>
      </c>
    </row>
    <row r="62" spans="1:14" ht="12.75">
      <c r="A62" s="482" t="s">
        <v>747</v>
      </c>
      <c r="B62" s="483">
        <v>7396203</v>
      </c>
      <c r="C62" s="483">
        <v>1832005</v>
      </c>
      <c r="D62" s="483">
        <v>889074</v>
      </c>
      <c r="E62" s="475">
        <f t="shared" si="0"/>
        <v>0.12020681422616443</v>
      </c>
      <c r="F62" s="475">
        <f t="shared" si="1"/>
        <v>0.4853010772350512</v>
      </c>
      <c r="G62" s="469">
        <f>D62-'[13]Maijs'!D62</f>
        <v>32826</v>
      </c>
      <c r="H62" s="482" t="s">
        <v>747</v>
      </c>
      <c r="I62" s="483">
        <f t="shared" si="17"/>
        <v>7396</v>
      </c>
      <c r="J62" s="483">
        <f>ROUND(C62/1000,0)</f>
        <v>1832</v>
      </c>
      <c r="K62" s="483">
        <f t="shared" si="17"/>
        <v>889</v>
      </c>
      <c r="L62" s="82">
        <f t="shared" si="2"/>
        <v>12.020010816657653</v>
      </c>
      <c r="M62" s="82">
        <f t="shared" si="14"/>
        <v>48.52620087336245</v>
      </c>
      <c r="N62" s="483">
        <f>K62-'[13]Maijs'!K62</f>
        <v>33</v>
      </c>
    </row>
    <row r="63" spans="1:14" s="476" customFormat="1" ht="12.75">
      <c r="A63" s="479" t="s">
        <v>750</v>
      </c>
      <c r="B63" s="480">
        <f>B64</f>
        <v>2715000</v>
      </c>
      <c r="C63" s="480">
        <f>C64</f>
        <v>689000</v>
      </c>
      <c r="D63" s="480">
        <f>D64</f>
        <v>275000</v>
      </c>
      <c r="E63" s="475">
        <f t="shared" si="0"/>
        <v>0.10128913443830571</v>
      </c>
      <c r="F63" s="475">
        <f t="shared" si="1"/>
        <v>0.3991291727140784</v>
      </c>
      <c r="G63" s="469">
        <f>D63-'[13]Maijs'!D63</f>
        <v>101044</v>
      </c>
      <c r="H63" s="479" t="s">
        <v>750</v>
      </c>
      <c r="I63" s="480">
        <f>I64</f>
        <v>2715</v>
      </c>
      <c r="J63" s="480">
        <f>J64</f>
        <v>689</v>
      </c>
      <c r="K63" s="480">
        <f>K64</f>
        <v>275</v>
      </c>
      <c r="L63" s="481">
        <f t="shared" si="2"/>
        <v>10.128913443830571</v>
      </c>
      <c r="M63" s="481">
        <f t="shared" si="14"/>
        <v>39.912917271407835</v>
      </c>
      <c r="N63" s="480">
        <f>K63-'[13]Maijs'!K63</f>
        <v>101</v>
      </c>
    </row>
    <row r="64" spans="1:14" ht="12.75">
      <c r="A64" s="482" t="s">
        <v>747</v>
      </c>
      <c r="B64" s="483">
        <v>2715000</v>
      </c>
      <c r="C64" s="483">
        <v>689000</v>
      </c>
      <c r="D64" s="483">
        <v>275000</v>
      </c>
      <c r="E64" s="475">
        <f t="shared" si="0"/>
        <v>0.10128913443830571</v>
      </c>
      <c r="F64" s="475">
        <f t="shared" si="1"/>
        <v>0.3991291727140784</v>
      </c>
      <c r="G64" s="469">
        <f>D64-'[13]Maijs'!D64</f>
        <v>101044</v>
      </c>
      <c r="H64" s="482" t="s">
        <v>747</v>
      </c>
      <c r="I64" s="483">
        <f>ROUND(B64/1000,0)</f>
        <v>2715</v>
      </c>
      <c r="J64" s="483">
        <f>ROUND(C64/1000,0)</f>
        <v>689</v>
      </c>
      <c r="K64" s="483">
        <f>ROUND(D64/1000,0)</f>
        <v>275</v>
      </c>
      <c r="L64" s="82">
        <f t="shared" si="2"/>
        <v>10.128913443830571</v>
      </c>
      <c r="M64" s="82">
        <f t="shared" si="14"/>
        <v>39.912917271407835</v>
      </c>
      <c r="N64" s="483">
        <f>K64-'[13]Maijs'!K64</f>
        <v>101</v>
      </c>
    </row>
    <row r="65" spans="1:14" s="1" customFormat="1" ht="12">
      <c r="A65" s="74" t="s">
        <v>420</v>
      </c>
      <c r="B65" s="485">
        <f>B66+B69</f>
        <v>3393392</v>
      </c>
      <c r="C65" s="485">
        <f>C66+C69</f>
        <v>1420564</v>
      </c>
      <c r="D65" s="485">
        <f>D66+D69</f>
        <v>174101</v>
      </c>
      <c r="E65" s="484">
        <f t="shared" si="0"/>
        <v>0.05130589097870213</v>
      </c>
      <c r="F65" s="484">
        <f t="shared" si="1"/>
        <v>0.12255766019693587</v>
      </c>
      <c r="G65" s="469">
        <f>D65-'[13]Maijs'!D65</f>
        <v>68787</v>
      </c>
      <c r="H65" s="74" t="s">
        <v>420</v>
      </c>
      <c r="I65" s="401">
        <f>I66+I69</f>
        <v>3393</v>
      </c>
      <c r="J65" s="401">
        <f>J66+J69</f>
        <v>1421</v>
      </c>
      <c r="K65" s="401">
        <f>K66+K69</f>
        <v>174</v>
      </c>
      <c r="L65" s="58">
        <f t="shared" si="2"/>
        <v>5.128205128205128</v>
      </c>
      <c r="M65" s="58">
        <f t="shared" si="14"/>
        <v>12.244897959183673</v>
      </c>
      <c r="N65" s="401">
        <f>K65-'[13]Maijs'!K65</f>
        <v>68</v>
      </c>
    </row>
    <row r="66" spans="1:14" s="476" customFormat="1" ht="12.75">
      <c r="A66" s="479" t="s">
        <v>749</v>
      </c>
      <c r="B66" s="480">
        <f>SUM(B67:B68)</f>
        <v>3041252</v>
      </c>
      <c r="C66" s="480">
        <f>SUM(C67:C68)</f>
        <v>1268969</v>
      </c>
      <c r="D66" s="480">
        <f>SUM(D67:D68)</f>
        <v>59718</v>
      </c>
      <c r="E66" s="475">
        <f t="shared" si="0"/>
        <v>0.019635992019076353</v>
      </c>
      <c r="F66" s="475">
        <f t="shared" si="1"/>
        <v>0.04706025127485384</v>
      </c>
      <c r="G66" s="469">
        <f>D66-'[13]Maijs'!D66</f>
        <v>51179</v>
      </c>
      <c r="H66" s="479" t="s">
        <v>749</v>
      </c>
      <c r="I66" s="480">
        <f>SUM(I67:I68)</f>
        <v>3041</v>
      </c>
      <c r="J66" s="480">
        <f>SUM(J67:J68)</f>
        <v>1269</v>
      </c>
      <c r="K66" s="480">
        <f>SUM(K67:K68)</f>
        <v>60</v>
      </c>
      <c r="L66" s="481">
        <f t="shared" si="2"/>
        <v>1.9730351857941468</v>
      </c>
      <c r="M66" s="481">
        <f t="shared" si="14"/>
        <v>4.7281323877068555</v>
      </c>
      <c r="N66" s="480">
        <f>K66-'[13]Maijs'!K66</f>
        <v>51</v>
      </c>
    </row>
    <row r="67" spans="1:14" ht="12.75">
      <c r="A67" s="482" t="s">
        <v>746</v>
      </c>
      <c r="B67" s="483">
        <v>2296193</v>
      </c>
      <c r="C67" s="483">
        <v>1013925</v>
      </c>
      <c r="D67" s="483">
        <v>59718</v>
      </c>
      <c r="E67" s="475">
        <f t="shared" si="0"/>
        <v>0.02600739571978488</v>
      </c>
      <c r="F67" s="475">
        <f t="shared" si="1"/>
        <v>0.05889784747392559</v>
      </c>
      <c r="G67" s="469">
        <f>D67-'[13]Maijs'!D67</f>
        <v>51179</v>
      </c>
      <c r="H67" s="482" t="s">
        <v>746</v>
      </c>
      <c r="I67" s="483">
        <f aca="true" t="shared" si="18" ref="I67:K68">ROUND(B67/1000,0)</f>
        <v>2296</v>
      </c>
      <c r="J67" s="483">
        <f>ROUND(C67/1000,0)</f>
        <v>1014</v>
      </c>
      <c r="K67" s="483">
        <f>ROUND(D67/1000,0)</f>
        <v>60</v>
      </c>
      <c r="L67" s="82">
        <f t="shared" si="2"/>
        <v>2.6132404181184667</v>
      </c>
      <c r="M67" s="82">
        <f t="shared" si="14"/>
        <v>5.9171597633136095</v>
      </c>
      <c r="N67" s="483">
        <f>K67-'[13]Maijs'!K67</f>
        <v>51</v>
      </c>
    </row>
    <row r="68" spans="1:14" ht="12.75">
      <c r="A68" s="482" t="s">
        <v>747</v>
      </c>
      <c r="B68" s="483">
        <v>745059</v>
      </c>
      <c r="C68" s="483">
        <v>255044</v>
      </c>
      <c r="D68" s="483"/>
      <c r="E68" s="475">
        <f t="shared" si="0"/>
        <v>0</v>
      </c>
      <c r="F68" s="475">
        <f t="shared" si="1"/>
        <v>0</v>
      </c>
      <c r="G68" s="469">
        <f>D68-'[13]Maijs'!D68</f>
        <v>0</v>
      </c>
      <c r="H68" s="482" t="s">
        <v>747</v>
      </c>
      <c r="I68" s="483">
        <f t="shared" si="18"/>
        <v>745</v>
      </c>
      <c r="J68" s="483">
        <f t="shared" si="18"/>
        <v>255</v>
      </c>
      <c r="K68" s="483">
        <f t="shared" si="18"/>
        <v>0</v>
      </c>
      <c r="L68" s="82">
        <f t="shared" si="2"/>
        <v>0</v>
      </c>
      <c r="M68" s="82">
        <f t="shared" si="14"/>
        <v>0</v>
      </c>
      <c r="N68" s="483">
        <f>K68-'[13]Maijs'!K68</f>
        <v>0</v>
      </c>
    </row>
    <row r="69" spans="1:14" s="476" customFormat="1" ht="12.75">
      <c r="A69" s="479" t="s">
        <v>750</v>
      </c>
      <c r="B69" s="480">
        <f>SUM(B70:B71)</f>
        <v>352140</v>
      </c>
      <c r="C69" s="480">
        <f>SUM(C70:C71)</f>
        <v>151595</v>
      </c>
      <c r="D69" s="480">
        <f>SUM(D70:D71)</f>
        <v>114383</v>
      </c>
      <c r="E69" s="475">
        <f t="shared" si="0"/>
        <v>0.3248225137729312</v>
      </c>
      <c r="F69" s="475">
        <f t="shared" si="1"/>
        <v>0.7545301626043075</v>
      </c>
      <c r="G69" s="469">
        <f>D69-'[13]Maijs'!D69</f>
        <v>17608</v>
      </c>
      <c r="H69" s="479" t="s">
        <v>750</v>
      </c>
      <c r="I69" s="480">
        <f>SUM(I70:I71)</f>
        <v>352</v>
      </c>
      <c r="J69" s="480">
        <f>SUM(J70:J71)</f>
        <v>152</v>
      </c>
      <c r="K69" s="480">
        <f>SUM(K70:K71)</f>
        <v>114</v>
      </c>
      <c r="L69" s="481">
        <f t="shared" si="2"/>
        <v>32.38636363636363</v>
      </c>
      <c r="M69" s="481">
        <f t="shared" si="14"/>
        <v>75</v>
      </c>
      <c r="N69" s="480">
        <f>K69-'[13]Maijs'!K69</f>
        <v>17</v>
      </c>
    </row>
    <row r="70" spans="1:14" ht="12.75">
      <c r="A70" s="482" t="s">
        <v>746</v>
      </c>
      <c r="B70" s="483">
        <v>256914</v>
      </c>
      <c r="C70" s="483">
        <v>110600</v>
      </c>
      <c r="D70" s="483">
        <v>93201</v>
      </c>
      <c r="E70" s="475">
        <f t="shared" si="0"/>
        <v>0.3627711997010673</v>
      </c>
      <c r="F70" s="475">
        <f t="shared" si="1"/>
        <v>0.8426853526220615</v>
      </c>
      <c r="G70" s="469">
        <f>D70-'[13]Maijs'!D70</f>
        <v>13057</v>
      </c>
      <c r="H70" s="482" t="s">
        <v>746</v>
      </c>
      <c r="I70" s="483">
        <f aca="true" t="shared" si="19" ref="I70:K71">ROUND(B70/1000,0)</f>
        <v>257</v>
      </c>
      <c r="J70" s="483">
        <f>ROUND(C70/1000,0)</f>
        <v>111</v>
      </c>
      <c r="K70" s="483">
        <f t="shared" si="19"/>
        <v>93</v>
      </c>
      <c r="L70" s="82">
        <f t="shared" si="2"/>
        <v>36.18677042801556</v>
      </c>
      <c r="M70" s="82">
        <f t="shared" si="14"/>
        <v>83.78378378378379</v>
      </c>
      <c r="N70" s="483">
        <f>K70-'[13]Maijs'!K70</f>
        <v>13</v>
      </c>
    </row>
    <row r="71" spans="1:14" ht="12.75">
      <c r="A71" s="482" t="s">
        <v>747</v>
      </c>
      <c r="B71" s="483">
        <v>95226</v>
      </c>
      <c r="C71" s="483">
        <v>40995</v>
      </c>
      <c r="D71" s="483">
        <v>21182</v>
      </c>
      <c r="E71" s="475">
        <f t="shared" si="0"/>
        <v>0.22243924978472265</v>
      </c>
      <c r="F71" s="475">
        <f t="shared" si="1"/>
        <v>0.5166971581900232</v>
      </c>
      <c r="G71" s="469">
        <f>D71-'[13]Maijs'!D71</f>
        <v>4551</v>
      </c>
      <c r="H71" s="482" t="s">
        <v>747</v>
      </c>
      <c r="I71" s="483">
        <f t="shared" si="19"/>
        <v>95</v>
      </c>
      <c r="J71" s="483">
        <f t="shared" si="19"/>
        <v>41</v>
      </c>
      <c r="K71" s="483">
        <f t="shared" si="19"/>
        <v>21</v>
      </c>
      <c r="L71" s="82">
        <f t="shared" si="2"/>
        <v>22.105263157894736</v>
      </c>
      <c r="M71" s="82">
        <f t="shared" si="14"/>
        <v>51.21951219512195</v>
      </c>
      <c r="N71" s="483">
        <f>K71-'[13]Maijs'!K71</f>
        <v>4</v>
      </c>
    </row>
    <row r="72" spans="1:14" s="1" customFormat="1" ht="12">
      <c r="A72" s="74" t="s">
        <v>751</v>
      </c>
      <c r="B72" s="485">
        <f>B73+B76</f>
        <v>2747804</v>
      </c>
      <c r="C72" s="485">
        <f>C73+C76</f>
        <v>927798</v>
      </c>
      <c r="D72" s="485">
        <f>D73+D76</f>
        <v>529083</v>
      </c>
      <c r="E72" s="484">
        <f aca="true" t="shared" si="20" ref="E72:E100">IF(ISERROR(D72/B72)," ",(D72/B72))</f>
        <v>0.1925475761735553</v>
      </c>
      <c r="F72" s="484">
        <f aca="true" t="shared" si="21" ref="F72:F96">IF(ISERROR(D72/C72)," ",(D72/C72))</f>
        <v>0.5702566722497785</v>
      </c>
      <c r="G72" s="469">
        <f>D72-'[13]Maijs'!D72</f>
        <v>46554</v>
      </c>
      <c r="H72" s="74" t="s">
        <v>751</v>
      </c>
      <c r="I72" s="401">
        <f>I73+I76</f>
        <v>2748</v>
      </c>
      <c r="J72" s="401">
        <f>J73+J76</f>
        <v>928</v>
      </c>
      <c r="K72" s="401">
        <f>K73+K76</f>
        <v>529</v>
      </c>
      <c r="L72" s="58">
        <f aca="true" t="shared" si="22" ref="L72:L126">IF(ISERROR(ROUND(K72,0)/ROUND(I72,0))," ",(ROUND(K72,)/ROUND(I72,)))*100</f>
        <v>19.250363901018922</v>
      </c>
      <c r="M72" s="58">
        <f t="shared" si="14"/>
        <v>57.004310344827594</v>
      </c>
      <c r="N72" s="401">
        <f>K72-'[13]Maijs'!K72</f>
        <v>47</v>
      </c>
    </row>
    <row r="73" spans="1:14" s="476" customFormat="1" ht="12.75">
      <c r="A73" s="479" t="s">
        <v>749</v>
      </c>
      <c r="B73" s="480">
        <f>SUM(B74:B75)</f>
        <v>2423104</v>
      </c>
      <c r="C73" s="480">
        <f>SUM(C74:C75)</f>
        <v>854095</v>
      </c>
      <c r="D73" s="480">
        <f>SUM(D74:D75)</f>
        <v>486079</v>
      </c>
      <c r="E73" s="475">
        <f t="shared" si="20"/>
        <v>0.20060179010063126</v>
      </c>
      <c r="F73" s="475">
        <f t="shared" si="21"/>
        <v>0.5691158477686908</v>
      </c>
      <c r="G73" s="469">
        <f>D73-'[13]Maijs'!D73</f>
        <v>43654</v>
      </c>
      <c r="H73" s="479" t="s">
        <v>749</v>
      </c>
      <c r="I73" s="480">
        <f>SUM(I74:I75)</f>
        <v>2423</v>
      </c>
      <c r="J73" s="480">
        <f>SUM(J74:J75)</f>
        <v>854</v>
      </c>
      <c r="K73" s="480">
        <f>SUM(K74:K75)</f>
        <v>486</v>
      </c>
      <c r="L73" s="481">
        <f t="shared" si="22"/>
        <v>20.057779612051178</v>
      </c>
      <c r="M73" s="481">
        <f t="shared" si="14"/>
        <v>56.90866510538641</v>
      </c>
      <c r="N73" s="480">
        <f>K73-'[13]Maijs'!K73</f>
        <v>44</v>
      </c>
    </row>
    <row r="74" spans="1:14" ht="12.75">
      <c r="A74" s="482" t="s">
        <v>746</v>
      </c>
      <c r="B74" s="483">
        <v>1855604</v>
      </c>
      <c r="C74" s="483">
        <v>414095</v>
      </c>
      <c r="D74" s="483">
        <v>129379</v>
      </c>
      <c r="E74" s="475">
        <f t="shared" si="20"/>
        <v>0.06972338925762178</v>
      </c>
      <c r="F74" s="475">
        <f t="shared" si="21"/>
        <v>0.31243796713314576</v>
      </c>
      <c r="G74" s="469">
        <f>D74-'[13]Maijs'!D74</f>
        <v>43654</v>
      </c>
      <c r="H74" s="482" t="s">
        <v>746</v>
      </c>
      <c r="I74" s="483">
        <f>ROUND(B74/1000,0)</f>
        <v>1856</v>
      </c>
      <c r="J74" s="483">
        <f>ROUND(C74/1000,0)</f>
        <v>414</v>
      </c>
      <c r="K74" s="483">
        <f>ROUND(D74/1000,0)</f>
        <v>129</v>
      </c>
      <c r="L74" s="82">
        <f t="shared" si="22"/>
        <v>6.950431034482758</v>
      </c>
      <c r="M74" s="82">
        <f t="shared" si="14"/>
        <v>31.15942028985507</v>
      </c>
      <c r="N74" s="483">
        <f>K74-'[13]Maijs'!K74</f>
        <v>44</v>
      </c>
    </row>
    <row r="75" spans="1:14" ht="12.75">
      <c r="A75" s="482" t="s">
        <v>747</v>
      </c>
      <c r="B75" s="483">
        <v>567500</v>
      </c>
      <c r="C75" s="483">
        <v>440000</v>
      </c>
      <c r="D75" s="483">
        <v>356700</v>
      </c>
      <c r="E75" s="475">
        <f t="shared" si="20"/>
        <v>0.6285462555066079</v>
      </c>
      <c r="F75" s="475">
        <f t="shared" si="21"/>
        <v>0.8106818181818182</v>
      </c>
      <c r="G75" s="469">
        <f>D75-'[13]Maijs'!D75</f>
        <v>0</v>
      </c>
      <c r="H75" s="482" t="s">
        <v>747</v>
      </c>
      <c r="I75" s="483">
        <f>ROUND(B75/1000,0)-1</f>
        <v>567</v>
      </c>
      <c r="J75" s="483">
        <f>ROUND(C75/1000,0)</f>
        <v>440</v>
      </c>
      <c r="K75" s="483">
        <f>ROUND(D75/1000,0)</f>
        <v>357</v>
      </c>
      <c r="L75" s="82">
        <f t="shared" si="22"/>
        <v>62.96296296296296</v>
      </c>
      <c r="M75" s="82">
        <f t="shared" si="14"/>
        <v>81.13636363636364</v>
      </c>
      <c r="N75" s="483">
        <f>K75-'[13]Maijs'!K75</f>
        <v>0</v>
      </c>
    </row>
    <row r="76" spans="1:14" s="476" customFormat="1" ht="12.75">
      <c r="A76" s="479" t="s">
        <v>750</v>
      </c>
      <c r="B76" s="480">
        <f>SUM(B77:B78)</f>
        <v>324700</v>
      </c>
      <c r="C76" s="480">
        <f>SUM(C77:C78)</f>
        <v>73703</v>
      </c>
      <c r="D76" s="480">
        <f>SUM(D77:D78)</f>
        <v>43004</v>
      </c>
      <c r="E76" s="475">
        <f t="shared" si="20"/>
        <v>0.13244225438866647</v>
      </c>
      <c r="F76" s="475">
        <f t="shared" si="21"/>
        <v>0.5834769276691586</v>
      </c>
      <c r="G76" s="469">
        <f>D76-'[13]Maijs'!D76</f>
        <v>2900</v>
      </c>
      <c r="H76" s="479" t="s">
        <v>750</v>
      </c>
      <c r="I76" s="480">
        <f>SUM(I77:I78)</f>
        <v>325</v>
      </c>
      <c r="J76" s="480">
        <f>SUM(J77:J78)</f>
        <v>74</v>
      </c>
      <c r="K76" s="480">
        <f>SUM(K77:K78)</f>
        <v>43</v>
      </c>
      <c r="L76" s="481">
        <f t="shared" si="22"/>
        <v>13.230769230769232</v>
      </c>
      <c r="M76" s="481">
        <f t="shared" si="14"/>
        <v>58.108108108108105</v>
      </c>
      <c r="N76" s="480">
        <f>K76-'[13]Maijs'!K76</f>
        <v>3</v>
      </c>
    </row>
    <row r="77" spans="1:14" ht="12.75">
      <c r="A77" s="482" t="s">
        <v>746</v>
      </c>
      <c r="B77" s="483">
        <v>36700</v>
      </c>
      <c r="C77" s="483">
        <v>15603</v>
      </c>
      <c r="D77" s="483">
        <v>15603</v>
      </c>
      <c r="E77" s="475">
        <f t="shared" si="20"/>
        <v>0.42514986376021796</v>
      </c>
      <c r="F77" s="475">
        <f t="shared" si="21"/>
        <v>1</v>
      </c>
      <c r="G77" s="469">
        <f>D77-'[13]Maijs'!D77</f>
        <v>2900</v>
      </c>
      <c r="H77" s="482" t="s">
        <v>746</v>
      </c>
      <c r="I77" s="483">
        <f aca="true" t="shared" si="23" ref="I77:K78">ROUND(B77/1000,0)</f>
        <v>37</v>
      </c>
      <c r="J77" s="483">
        <f t="shared" si="23"/>
        <v>16</v>
      </c>
      <c r="K77" s="483">
        <f t="shared" si="23"/>
        <v>16</v>
      </c>
      <c r="L77" s="82">
        <f t="shared" si="22"/>
        <v>43.24324324324324</v>
      </c>
      <c r="M77" s="82">
        <f t="shared" si="14"/>
        <v>100</v>
      </c>
      <c r="N77" s="483">
        <f>K77-'[13]Maijs'!K77</f>
        <v>3</v>
      </c>
    </row>
    <row r="78" spans="1:14" ht="12.75">
      <c r="A78" s="482" t="s">
        <v>747</v>
      </c>
      <c r="B78" s="483">
        <v>288000</v>
      </c>
      <c r="C78" s="483">
        <v>58100</v>
      </c>
      <c r="D78" s="483">
        <v>27401</v>
      </c>
      <c r="E78" s="475">
        <f t="shared" si="20"/>
        <v>0.09514236111111112</v>
      </c>
      <c r="F78" s="475">
        <f t="shared" si="21"/>
        <v>0.471617900172117</v>
      </c>
      <c r="G78" s="469">
        <f>D78-'[13]Maijs'!D78</f>
        <v>0</v>
      </c>
      <c r="H78" s="482" t="s">
        <v>747</v>
      </c>
      <c r="I78" s="483">
        <f t="shared" si="23"/>
        <v>288</v>
      </c>
      <c r="J78" s="483">
        <f t="shared" si="23"/>
        <v>58</v>
      </c>
      <c r="K78" s="483">
        <f>ROUND(D78/1000,0)</f>
        <v>27</v>
      </c>
      <c r="L78" s="82">
        <f t="shared" si="22"/>
        <v>9.375</v>
      </c>
      <c r="M78" s="82">
        <f t="shared" si="14"/>
        <v>46.55172413793103</v>
      </c>
      <c r="N78" s="483">
        <f>K78-'[13]Maijs'!K78</f>
        <v>0</v>
      </c>
    </row>
    <row r="79" spans="1:14" s="1" customFormat="1" ht="24">
      <c r="A79" s="59" t="s">
        <v>752</v>
      </c>
      <c r="B79" s="485">
        <f>B80+B83</f>
        <v>6572218</v>
      </c>
      <c r="C79" s="485">
        <f>C80+C83</f>
        <v>2819030</v>
      </c>
      <c r="D79" s="485">
        <f>D80+D83</f>
        <v>1545225</v>
      </c>
      <c r="E79" s="484">
        <f t="shared" si="20"/>
        <v>0.23511469035263285</v>
      </c>
      <c r="F79" s="484">
        <f t="shared" si="21"/>
        <v>0.5481406725008248</v>
      </c>
      <c r="G79" s="469">
        <f>D79-'[13]Maijs'!D79</f>
        <v>85034</v>
      </c>
      <c r="H79" s="59" t="s">
        <v>752</v>
      </c>
      <c r="I79" s="401">
        <f>I80+I83</f>
        <v>6573</v>
      </c>
      <c r="J79" s="401">
        <f>J80+J83</f>
        <v>2819</v>
      </c>
      <c r="K79" s="401">
        <f>K80+K83</f>
        <v>1545</v>
      </c>
      <c r="L79" s="58">
        <f t="shared" si="22"/>
        <v>23.50524874486536</v>
      </c>
      <c r="M79" s="58">
        <f t="shared" si="14"/>
        <v>54.806669031571474</v>
      </c>
      <c r="N79" s="401">
        <f>K79-'[13]Maijs'!K79</f>
        <v>84</v>
      </c>
    </row>
    <row r="80" spans="1:14" s="476" customFormat="1" ht="12.75">
      <c r="A80" s="479" t="s">
        <v>749</v>
      </c>
      <c r="B80" s="480">
        <f>SUM(B81:B82)</f>
        <v>6322218</v>
      </c>
      <c r="C80" s="480">
        <f>SUM(C81:C82)</f>
        <v>2779030</v>
      </c>
      <c r="D80" s="480">
        <f>SUM(D81:D82)</f>
        <v>1545225</v>
      </c>
      <c r="E80" s="475">
        <f t="shared" si="20"/>
        <v>0.2444118503980723</v>
      </c>
      <c r="F80" s="475">
        <f t="shared" si="21"/>
        <v>0.5560303415220419</v>
      </c>
      <c r="G80" s="469">
        <f>D80-'[13]Maijs'!D80</f>
        <v>85034</v>
      </c>
      <c r="H80" s="479" t="s">
        <v>749</v>
      </c>
      <c r="I80" s="480">
        <f>SUM(I81:I82)</f>
        <v>6323</v>
      </c>
      <c r="J80" s="480">
        <f>SUM(J81:J82)</f>
        <v>2779</v>
      </c>
      <c r="K80" s="480">
        <f>SUM(K81:K82)</f>
        <v>1545</v>
      </c>
      <c r="L80" s="481">
        <f t="shared" si="22"/>
        <v>24.43460382729717</v>
      </c>
      <c r="M80" s="481">
        <f t="shared" si="14"/>
        <v>55.59553796329615</v>
      </c>
      <c r="N80" s="480">
        <f>K80-'[13]Maijs'!K80</f>
        <v>84</v>
      </c>
    </row>
    <row r="81" spans="1:14" ht="12.75">
      <c r="A81" s="482" t="s">
        <v>746</v>
      </c>
      <c r="B81" s="483">
        <v>20600</v>
      </c>
      <c r="C81" s="483">
        <v>20600</v>
      </c>
      <c r="D81" s="483">
        <v>4637</v>
      </c>
      <c r="E81" s="475">
        <f t="shared" si="20"/>
        <v>0.2250970873786408</v>
      </c>
      <c r="F81" s="475">
        <f t="shared" si="21"/>
        <v>0.2250970873786408</v>
      </c>
      <c r="G81" s="469">
        <f>D81-'[13]Maijs'!D81</f>
        <v>0</v>
      </c>
      <c r="H81" s="482" t="s">
        <v>746</v>
      </c>
      <c r="I81" s="483">
        <f>ROUND(B81/1000,0)</f>
        <v>21</v>
      </c>
      <c r="J81" s="483">
        <f>ROUND(C81/1000,0)</f>
        <v>21</v>
      </c>
      <c r="K81" s="483">
        <f>ROUND(D81/1000,0)</f>
        <v>5</v>
      </c>
      <c r="L81" s="82">
        <f t="shared" si="22"/>
        <v>23.809523809523807</v>
      </c>
      <c r="M81" s="82">
        <f t="shared" si="14"/>
        <v>23.809523809523807</v>
      </c>
      <c r="N81" s="483">
        <f>K81-'[13]Maijs'!K81</f>
        <v>0</v>
      </c>
    </row>
    <row r="82" spans="1:14" ht="12.75">
      <c r="A82" s="486" t="s">
        <v>747</v>
      </c>
      <c r="B82" s="483">
        <v>6301618</v>
      </c>
      <c r="C82" s="483">
        <v>2758430</v>
      </c>
      <c r="D82" s="483">
        <v>1540588</v>
      </c>
      <c r="E82" s="475">
        <f t="shared" si="20"/>
        <v>0.24447499039135664</v>
      </c>
      <c r="F82" s="475">
        <f t="shared" si="21"/>
        <v>0.5585017564339135</v>
      </c>
      <c r="G82" s="469">
        <f>D82-'[13]Maijs'!D82</f>
        <v>85034</v>
      </c>
      <c r="H82" s="486" t="s">
        <v>747</v>
      </c>
      <c r="I82" s="483">
        <f>ROUND(B82/1000,0)</f>
        <v>6302</v>
      </c>
      <c r="J82" s="483">
        <f>ROUND(C82/1000,0)</f>
        <v>2758</v>
      </c>
      <c r="K82" s="483">
        <f>ROUND(D82/1000,0)-1</f>
        <v>1540</v>
      </c>
      <c r="L82" s="82">
        <f t="shared" si="22"/>
        <v>24.436686766105996</v>
      </c>
      <c r="M82" s="82">
        <f t="shared" si="14"/>
        <v>55.83756345177665</v>
      </c>
      <c r="N82" s="483">
        <f>K82-'[13]Maijs'!K82</f>
        <v>84</v>
      </c>
    </row>
    <row r="83" spans="1:14" s="476" customFormat="1" ht="12.75">
      <c r="A83" s="479" t="s">
        <v>750</v>
      </c>
      <c r="B83" s="480">
        <f>SUM(B84:B85)</f>
        <v>250000</v>
      </c>
      <c r="C83" s="480">
        <f>SUM(C84:C85)</f>
        <v>40000</v>
      </c>
      <c r="D83" s="480">
        <f>SUM(D84:D85)</f>
        <v>0</v>
      </c>
      <c r="E83" s="475">
        <f t="shared" si="20"/>
        <v>0</v>
      </c>
      <c r="F83" s="475">
        <f t="shared" si="21"/>
        <v>0</v>
      </c>
      <c r="G83" s="469">
        <f>D83-'[13]Maijs'!D83</f>
        <v>0</v>
      </c>
      <c r="H83" s="479" t="s">
        <v>750</v>
      </c>
      <c r="I83" s="480">
        <f>SUM(I84:I85)</f>
        <v>250</v>
      </c>
      <c r="J83" s="480">
        <f>SUM(J84:J85)</f>
        <v>40</v>
      </c>
      <c r="K83" s="480">
        <f>SUM(K84:K85)</f>
        <v>0</v>
      </c>
      <c r="L83" s="481">
        <f t="shared" si="22"/>
        <v>0</v>
      </c>
      <c r="M83" s="481"/>
      <c r="N83" s="480">
        <f>K83-'[13]Maijs'!K83</f>
        <v>0</v>
      </c>
    </row>
    <row r="84" spans="1:14" ht="12.75" hidden="1">
      <c r="A84" s="482" t="s">
        <v>746</v>
      </c>
      <c r="B84" s="483"/>
      <c r="C84" s="480"/>
      <c r="D84" s="480"/>
      <c r="E84" s="475" t="str">
        <f t="shared" si="20"/>
        <v> </v>
      </c>
      <c r="F84" s="475" t="str">
        <f t="shared" si="21"/>
        <v> </v>
      </c>
      <c r="G84" s="469">
        <f>D84-'[13]Maijs'!D84</f>
        <v>0</v>
      </c>
      <c r="H84" s="482" t="s">
        <v>746</v>
      </c>
      <c r="I84" s="483">
        <f>ROUND(B84/1000,0)</f>
        <v>0</v>
      </c>
      <c r="J84" s="483">
        <f>ROUND(C84/1000,0)</f>
        <v>0</v>
      </c>
      <c r="K84" s="483"/>
      <c r="L84" s="82" t="e">
        <f t="shared" si="22"/>
        <v>#VALUE!</v>
      </c>
      <c r="M84" s="82"/>
      <c r="N84" s="480">
        <f>K84-'[13]Maijs'!K84</f>
        <v>0</v>
      </c>
    </row>
    <row r="85" spans="1:14" ht="12.75">
      <c r="A85" s="482" t="s">
        <v>747</v>
      </c>
      <c r="B85" s="483">
        <v>250000</v>
      </c>
      <c r="C85" s="483">
        <v>40000</v>
      </c>
      <c r="D85" s="480"/>
      <c r="E85" s="475">
        <f t="shared" si="20"/>
        <v>0</v>
      </c>
      <c r="F85" s="475">
        <f t="shared" si="21"/>
        <v>0</v>
      </c>
      <c r="G85" s="469">
        <f>D85-'[13]Maijs'!D85</f>
        <v>0</v>
      </c>
      <c r="H85" s="482" t="s">
        <v>747</v>
      </c>
      <c r="I85" s="483">
        <f>ROUND(B85/1000,0)</f>
        <v>250</v>
      </c>
      <c r="J85" s="483">
        <f>ROUND(C85/1000,0)</f>
        <v>40</v>
      </c>
      <c r="K85" s="483">
        <f>ROUND(D85/1000,0)</f>
        <v>0</v>
      </c>
      <c r="L85" s="82">
        <f t="shared" si="22"/>
        <v>0</v>
      </c>
      <c r="M85" s="82"/>
      <c r="N85" s="483">
        <f>K85-'[13]Maijs'!K85</f>
        <v>0</v>
      </c>
    </row>
    <row r="86" spans="1:14" s="1" customFormat="1" ht="12">
      <c r="A86" s="487" t="s">
        <v>426</v>
      </c>
      <c r="B86" s="485">
        <f>B87+B89</f>
        <v>288293</v>
      </c>
      <c r="C86" s="485">
        <f>C87+C89</f>
        <v>206523</v>
      </c>
      <c r="D86" s="485">
        <f>D87+D89</f>
        <v>69653</v>
      </c>
      <c r="E86" s="484">
        <f t="shared" si="20"/>
        <v>0.24160489501999702</v>
      </c>
      <c r="F86" s="484">
        <f t="shared" si="21"/>
        <v>0.3372650988025547</v>
      </c>
      <c r="G86" s="469">
        <f>D86-'[13]Maijs'!D86</f>
        <v>69653</v>
      </c>
      <c r="H86" s="487" t="s">
        <v>426</v>
      </c>
      <c r="I86" s="401">
        <f>I87+I89</f>
        <v>288</v>
      </c>
      <c r="J86" s="401">
        <f>J87+J89</f>
        <v>207</v>
      </c>
      <c r="K86" s="401">
        <f>K87+K89</f>
        <v>70</v>
      </c>
      <c r="L86" s="58">
        <f t="shared" si="22"/>
        <v>24.305555555555554</v>
      </c>
      <c r="M86" s="58">
        <f>IF(ISERROR(ROUND(K86,0)/ROUND(J86,0))," ",(ROUND(K86,)/ROUND(J86,)))*100</f>
        <v>33.81642512077295</v>
      </c>
      <c r="N86" s="401">
        <f>K86-'[13]Maijs'!K86</f>
        <v>70</v>
      </c>
    </row>
    <row r="87" spans="1:14" s="476" customFormat="1" ht="12.75">
      <c r="A87" s="479" t="s">
        <v>749</v>
      </c>
      <c r="B87" s="480">
        <f>B88</f>
        <v>261393</v>
      </c>
      <c r="C87" s="480">
        <f>C88</f>
        <v>206523</v>
      </c>
      <c r="D87" s="480">
        <f>D88</f>
        <v>69653</v>
      </c>
      <c r="E87" s="475">
        <f t="shared" si="20"/>
        <v>0.26646849762617975</v>
      </c>
      <c r="F87" s="475">
        <f t="shared" si="21"/>
        <v>0.3372650988025547</v>
      </c>
      <c r="G87" s="469">
        <f>D87-'[13]Maijs'!D87</f>
        <v>69653</v>
      </c>
      <c r="H87" s="479" t="s">
        <v>749</v>
      </c>
      <c r="I87" s="480">
        <f>I88</f>
        <v>261</v>
      </c>
      <c r="J87" s="480">
        <f>J88</f>
        <v>207</v>
      </c>
      <c r="K87" s="480">
        <f>K88</f>
        <v>70</v>
      </c>
      <c r="L87" s="481">
        <f t="shared" si="22"/>
        <v>26.81992337164751</v>
      </c>
      <c r="M87" s="481">
        <f>IF(ISERROR(ROUND(K87,0)/ROUND(J87,0))," ",(ROUND(K87,)/ROUND(J87,)))*100</f>
        <v>33.81642512077295</v>
      </c>
      <c r="N87" s="480">
        <f>K87-'[13]Maijs'!K87</f>
        <v>70</v>
      </c>
    </row>
    <row r="88" spans="1:14" ht="12.75">
      <c r="A88" s="482" t="s">
        <v>746</v>
      </c>
      <c r="B88" s="483">
        <v>261393</v>
      </c>
      <c r="C88" s="483">
        <v>206523</v>
      </c>
      <c r="D88" s="483">
        <v>69653</v>
      </c>
      <c r="E88" s="475">
        <f t="shared" si="20"/>
        <v>0.26646849762617975</v>
      </c>
      <c r="F88" s="475">
        <f t="shared" si="21"/>
        <v>0.3372650988025547</v>
      </c>
      <c r="G88" s="469">
        <f>D88-'[13]Maijs'!D88</f>
        <v>69653</v>
      </c>
      <c r="H88" s="482" t="s">
        <v>746</v>
      </c>
      <c r="I88" s="483">
        <f>ROUND(B88/1000,0)</f>
        <v>261</v>
      </c>
      <c r="J88" s="483">
        <f>ROUND(C88/1000,0)</f>
        <v>207</v>
      </c>
      <c r="K88" s="483">
        <f>ROUND(D88/1000,0)</f>
        <v>70</v>
      </c>
      <c r="L88" s="82">
        <f t="shared" si="22"/>
        <v>26.81992337164751</v>
      </c>
      <c r="M88" s="82">
        <f>IF(ISERROR(ROUND(K88,0)/ROUND(J88,0))," ",(ROUND(K88,)/ROUND(J88,)))*100</f>
        <v>33.81642512077295</v>
      </c>
      <c r="N88" s="483">
        <f>K88-'[13]Maijs'!K88</f>
        <v>70</v>
      </c>
    </row>
    <row r="89" spans="1:14" s="476" customFormat="1" ht="12.75">
      <c r="A89" s="479" t="s">
        <v>750</v>
      </c>
      <c r="B89" s="480">
        <f>B90</f>
        <v>26900</v>
      </c>
      <c r="C89" s="480">
        <f>C90</f>
        <v>0</v>
      </c>
      <c r="D89" s="480">
        <f>D90</f>
        <v>0</v>
      </c>
      <c r="E89" s="475">
        <f t="shared" si="20"/>
        <v>0</v>
      </c>
      <c r="F89" s="475" t="str">
        <f t="shared" si="21"/>
        <v> </v>
      </c>
      <c r="G89" s="469">
        <f>D89-'[13]Maijs'!D89</f>
        <v>0</v>
      </c>
      <c r="H89" s="479" t="s">
        <v>750</v>
      </c>
      <c r="I89" s="480">
        <f>I90</f>
        <v>27</v>
      </c>
      <c r="J89" s="480">
        <f>J90</f>
        <v>0</v>
      </c>
      <c r="K89" s="480">
        <f>K90</f>
        <v>0</v>
      </c>
      <c r="L89" s="481">
        <f t="shared" si="22"/>
        <v>0</v>
      </c>
      <c r="M89" s="82"/>
      <c r="N89" s="480">
        <f>K89-'[13]Maijs'!K89</f>
        <v>0</v>
      </c>
    </row>
    <row r="90" spans="1:14" ht="12.75">
      <c r="A90" s="482" t="s">
        <v>746</v>
      </c>
      <c r="B90" s="483">
        <v>26900</v>
      </c>
      <c r="C90" s="483"/>
      <c r="D90" s="483"/>
      <c r="E90" s="475">
        <f t="shared" si="20"/>
        <v>0</v>
      </c>
      <c r="F90" s="475" t="str">
        <f t="shared" si="21"/>
        <v> </v>
      </c>
      <c r="G90" s="469">
        <f>D90-'[13]Maijs'!D90</f>
        <v>0</v>
      </c>
      <c r="H90" s="482" t="s">
        <v>746</v>
      </c>
      <c r="I90" s="483">
        <f>ROUND(B90/1000,0)</f>
        <v>27</v>
      </c>
      <c r="J90" s="483">
        <f>ROUND(C90/1000,0)</f>
        <v>0</v>
      </c>
      <c r="K90" s="483">
        <f>ROUND(D90/1000,0)</f>
        <v>0</v>
      </c>
      <c r="L90" s="82">
        <f t="shared" si="22"/>
        <v>0</v>
      </c>
      <c r="M90" s="82"/>
      <c r="N90" s="483">
        <f>K90-'[13]Maijs'!K90</f>
        <v>0</v>
      </c>
    </row>
    <row r="91" spans="1:14" s="1" customFormat="1" ht="12">
      <c r="A91" s="487" t="s">
        <v>430</v>
      </c>
      <c r="B91" s="485">
        <f>B92+B95</f>
        <v>330250</v>
      </c>
      <c r="C91" s="485">
        <f>C92+C95</f>
        <v>20000</v>
      </c>
      <c r="D91" s="485">
        <f>D92+D95</f>
        <v>16683</v>
      </c>
      <c r="E91" s="475">
        <f t="shared" si="20"/>
        <v>0.05051627554882664</v>
      </c>
      <c r="F91" s="475">
        <f t="shared" si="21"/>
        <v>0.83415</v>
      </c>
      <c r="G91" s="469">
        <f>D91-'[13]Maijs'!D91</f>
        <v>0</v>
      </c>
      <c r="H91" s="487" t="s">
        <v>430</v>
      </c>
      <c r="I91" s="401">
        <f>I92+I95</f>
        <v>331</v>
      </c>
      <c r="J91" s="401">
        <f>J92+J95</f>
        <v>20</v>
      </c>
      <c r="K91" s="401">
        <f>K92+K95</f>
        <v>17</v>
      </c>
      <c r="L91" s="58">
        <f t="shared" si="22"/>
        <v>5.13595166163142</v>
      </c>
      <c r="M91" s="58">
        <f>IF(ISERROR(ROUND(K91,0)/ROUND(J91,0))," ",(ROUND(K91,)/ROUND(J91,)))*100</f>
        <v>85</v>
      </c>
      <c r="N91" s="401">
        <f>K91-'[13]Maijs'!K91</f>
        <v>0</v>
      </c>
    </row>
    <row r="92" spans="1:14" s="476" customFormat="1" ht="12.75">
      <c r="A92" s="479" t="s">
        <v>749</v>
      </c>
      <c r="B92" s="480">
        <f>SUM(B93:B94)</f>
        <v>280250</v>
      </c>
      <c r="C92" s="480">
        <f>SUM(C93:C94)</f>
        <v>0</v>
      </c>
      <c r="D92" s="480">
        <f>SUM(D93:D94)</f>
        <v>0</v>
      </c>
      <c r="E92" s="475">
        <f t="shared" si="20"/>
        <v>0</v>
      </c>
      <c r="F92" s="475" t="str">
        <f t="shared" si="21"/>
        <v> </v>
      </c>
      <c r="G92" s="469">
        <f>D92-'[13]Maijs'!D92</f>
        <v>0</v>
      </c>
      <c r="H92" s="479" t="s">
        <v>749</v>
      </c>
      <c r="I92" s="480">
        <f>I93+I94</f>
        <v>281</v>
      </c>
      <c r="J92" s="480">
        <f>J93+J94</f>
        <v>0</v>
      </c>
      <c r="K92" s="480">
        <f>K93+K94</f>
        <v>0</v>
      </c>
      <c r="L92" s="481">
        <f t="shared" si="22"/>
        <v>0</v>
      </c>
      <c r="M92" s="82"/>
      <c r="N92" s="480">
        <f>K92-'[13]Maijs'!K92</f>
        <v>0</v>
      </c>
    </row>
    <row r="93" spans="1:14" ht="12.75">
      <c r="A93" s="482" t="s">
        <v>746</v>
      </c>
      <c r="B93" s="483">
        <v>191750</v>
      </c>
      <c r="C93" s="483"/>
      <c r="D93" s="483"/>
      <c r="E93" s="475">
        <f t="shared" si="20"/>
        <v>0</v>
      </c>
      <c r="F93" s="475" t="str">
        <f t="shared" si="21"/>
        <v> </v>
      </c>
      <c r="G93" s="469">
        <f>D93-'[13]Maijs'!D93</f>
        <v>0</v>
      </c>
      <c r="H93" s="482" t="s">
        <v>746</v>
      </c>
      <c r="I93" s="483">
        <f aca="true" t="shared" si="24" ref="I93:K94">ROUND(B93/1000,0)</f>
        <v>192</v>
      </c>
      <c r="J93" s="483">
        <f t="shared" si="24"/>
        <v>0</v>
      </c>
      <c r="K93" s="483">
        <f t="shared" si="24"/>
        <v>0</v>
      </c>
      <c r="L93" s="82">
        <f t="shared" si="22"/>
        <v>0</v>
      </c>
      <c r="M93" s="82"/>
      <c r="N93" s="483">
        <f>K93-'[13]Maijs'!K93</f>
        <v>0</v>
      </c>
    </row>
    <row r="94" spans="1:14" ht="12.75">
      <c r="A94" s="482" t="s">
        <v>747</v>
      </c>
      <c r="B94" s="483">
        <v>88500</v>
      </c>
      <c r="C94" s="483"/>
      <c r="D94" s="483"/>
      <c r="E94" s="475">
        <f t="shared" si="20"/>
        <v>0</v>
      </c>
      <c r="F94" s="475" t="str">
        <f t="shared" si="21"/>
        <v> </v>
      </c>
      <c r="G94" s="469">
        <f>D94-'[13]Maijs'!D94</f>
        <v>0</v>
      </c>
      <c r="H94" s="482" t="s">
        <v>747</v>
      </c>
      <c r="I94" s="483">
        <f t="shared" si="24"/>
        <v>89</v>
      </c>
      <c r="J94" s="483">
        <f t="shared" si="24"/>
        <v>0</v>
      </c>
      <c r="K94" s="483">
        <f t="shared" si="24"/>
        <v>0</v>
      </c>
      <c r="L94" s="82">
        <f t="shared" si="22"/>
        <v>0</v>
      </c>
      <c r="M94" s="82"/>
      <c r="N94" s="483">
        <f>K94-'[13]Maijs'!K94</f>
        <v>0</v>
      </c>
    </row>
    <row r="95" spans="1:14" s="476" customFormat="1" ht="12.75">
      <c r="A95" s="479" t="s">
        <v>750</v>
      </c>
      <c r="B95" s="480">
        <f>SUM(B96:B97)</f>
        <v>50000</v>
      </c>
      <c r="C95" s="480">
        <f>SUM(C96:C97)</f>
        <v>20000</v>
      </c>
      <c r="D95" s="480">
        <f>SUM(D96:D97)</f>
        <v>16683</v>
      </c>
      <c r="E95" s="475">
        <f t="shared" si="20"/>
        <v>0.33366</v>
      </c>
      <c r="F95" s="475">
        <f t="shared" si="21"/>
        <v>0.83415</v>
      </c>
      <c r="G95" s="469">
        <f>D95-'[13]Maijs'!D95</f>
        <v>0</v>
      </c>
      <c r="H95" s="479" t="s">
        <v>750</v>
      </c>
      <c r="I95" s="480">
        <f>I96+I97</f>
        <v>50</v>
      </c>
      <c r="J95" s="480">
        <f>J96+J97</f>
        <v>20</v>
      </c>
      <c r="K95" s="480">
        <f>K96+K97</f>
        <v>17</v>
      </c>
      <c r="L95" s="481">
        <f t="shared" si="22"/>
        <v>34</v>
      </c>
      <c r="M95" s="481">
        <f aca="true" t="shared" si="25" ref="M95:M100">IF(ISERROR(ROUND(K95,0)/ROUND(J95,0))," ",(ROUND(K95,)/ROUND(J95,)))*100</f>
        <v>85</v>
      </c>
      <c r="N95" s="480">
        <f>K95-'[13]Maijs'!K95</f>
        <v>0</v>
      </c>
    </row>
    <row r="96" spans="1:14" ht="12.75">
      <c r="A96" s="482" t="s">
        <v>746</v>
      </c>
      <c r="B96" s="483">
        <v>10000</v>
      </c>
      <c r="C96" s="483">
        <v>10000</v>
      </c>
      <c r="D96" s="483">
        <v>10000</v>
      </c>
      <c r="E96" s="475">
        <f t="shared" si="20"/>
        <v>1</v>
      </c>
      <c r="F96" s="475">
        <f t="shared" si="21"/>
        <v>1</v>
      </c>
      <c r="G96" s="469">
        <f>D96-'[13]Maijs'!D96</f>
        <v>0</v>
      </c>
      <c r="H96" s="482" t="s">
        <v>746</v>
      </c>
      <c r="I96" s="483">
        <f aca="true" t="shared" si="26" ref="I96:K97">ROUND(B96/1000,0)</f>
        <v>10</v>
      </c>
      <c r="J96" s="483">
        <f t="shared" si="26"/>
        <v>10</v>
      </c>
      <c r="K96" s="483">
        <f t="shared" si="26"/>
        <v>10</v>
      </c>
      <c r="L96" s="82">
        <f t="shared" si="22"/>
        <v>100</v>
      </c>
      <c r="M96" s="82">
        <f t="shared" si="25"/>
        <v>100</v>
      </c>
      <c r="N96" s="483">
        <f>K96-'[13]Maijs'!K96</f>
        <v>0</v>
      </c>
    </row>
    <row r="97" spans="1:14" ht="12.75">
      <c r="A97" s="482" t="s">
        <v>747</v>
      </c>
      <c r="B97" s="488">
        <v>40000</v>
      </c>
      <c r="C97" s="488">
        <v>10000</v>
      </c>
      <c r="D97" s="488">
        <v>6683</v>
      </c>
      <c r="E97" s="475">
        <f t="shared" si="20"/>
        <v>0.167075</v>
      </c>
      <c r="F97" s="475"/>
      <c r="G97" s="469">
        <f>D97-'[13]Maijs'!D97</f>
        <v>0</v>
      </c>
      <c r="H97" s="482" t="s">
        <v>747</v>
      </c>
      <c r="I97" s="483">
        <f t="shared" si="26"/>
        <v>40</v>
      </c>
      <c r="J97" s="483">
        <f t="shared" si="26"/>
        <v>10</v>
      </c>
      <c r="K97" s="483">
        <f t="shared" si="26"/>
        <v>7</v>
      </c>
      <c r="L97" s="82">
        <f t="shared" si="22"/>
        <v>17.5</v>
      </c>
      <c r="M97" s="82">
        <f t="shared" si="25"/>
        <v>70</v>
      </c>
      <c r="N97" s="483">
        <f>K97-'[13]Maijs'!K97</f>
        <v>0</v>
      </c>
    </row>
    <row r="98" spans="1:14" s="1" customFormat="1" ht="36">
      <c r="A98" s="487" t="s">
        <v>448</v>
      </c>
      <c r="B98" s="485">
        <f>B99+B102</f>
        <v>3858047</v>
      </c>
      <c r="C98" s="485">
        <f>C99+C102</f>
        <v>1312875</v>
      </c>
      <c r="D98" s="485">
        <f>D99+D102</f>
        <v>543699</v>
      </c>
      <c r="E98" s="484">
        <f t="shared" si="20"/>
        <v>0.14092596590969472</v>
      </c>
      <c r="F98" s="484">
        <f>IF(ISERROR(D98/C98)," ",(D98/C98))</f>
        <v>0.41412853470437017</v>
      </c>
      <c r="G98" s="469">
        <f>D98-'[13]Maijs'!D98</f>
        <v>35706</v>
      </c>
      <c r="H98" s="487" t="s">
        <v>448</v>
      </c>
      <c r="I98" s="401">
        <f>I99+I102</f>
        <v>3858</v>
      </c>
      <c r="J98" s="401">
        <f>J99+J102</f>
        <v>1313</v>
      </c>
      <c r="K98" s="401">
        <f>K99+K102</f>
        <v>544</v>
      </c>
      <c r="L98" s="58">
        <f t="shared" si="22"/>
        <v>14.10057024364956</v>
      </c>
      <c r="M98" s="58">
        <f t="shared" si="25"/>
        <v>41.43183549124143</v>
      </c>
      <c r="N98" s="401">
        <f>K98-'[13]Maijs'!K98</f>
        <v>36</v>
      </c>
    </row>
    <row r="99" spans="1:14" s="476" customFormat="1" ht="12.75">
      <c r="A99" s="479" t="s">
        <v>749</v>
      </c>
      <c r="B99" s="480">
        <f>SUM(B100:B101)</f>
        <v>3388557</v>
      </c>
      <c r="C99" s="480">
        <f>SUM(C100:C101)</f>
        <v>1146907</v>
      </c>
      <c r="D99" s="480">
        <f>SUM(D100:D101)</f>
        <v>480883</v>
      </c>
      <c r="E99" s="484">
        <f t="shared" si="20"/>
        <v>0.14191379988591013</v>
      </c>
      <c r="F99" s="484">
        <f>IF(ISERROR(D99/C99)," ",(D99/C99))</f>
        <v>0.41928682970807574</v>
      </c>
      <c r="G99" s="469">
        <f>D99-'[13]Maijs'!D99</f>
        <v>25237</v>
      </c>
      <c r="H99" s="479" t="s">
        <v>749</v>
      </c>
      <c r="I99" s="480">
        <f>SUM(I100:I101)</f>
        <v>3388</v>
      </c>
      <c r="J99" s="480">
        <f>SUM(J100:J101)</f>
        <v>1147</v>
      </c>
      <c r="K99" s="480">
        <f>SUM(K100:K101)</f>
        <v>481</v>
      </c>
      <c r="L99" s="481">
        <f t="shared" si="22"/>
        <v>14.197166469893743</v>
      </c>
      <c r="M99" s="481">
        <f t="shared" si="25"/>
        <v>41.935483870967744</v>
      </c>
      <c r="N99" s="480">
        <f>K99-'[13]Maijs'!K99</f>
        <v>25</v>
      </c>
    </row>
    <row r="100" spans="1:14" ht="12.75">
      <c r="A100" s="482" t="s">
        <v>746</v>
      </c>
      <c r="B100" s="483">
        <v>2164307</v>
      </c>
      <c r="C100" s="483">
        <v>1146907</v>
      </c>
      <c r="D100" s="483">
        <v>480883</v>
      </c>
      <c r="E100" s="484">
        <f t="shared" si="20"/>
        <v>0.22218797980138677</v>
      </c>
      <c r="F100" s="484">
        <f>IF(ISERROR(D100/C100)," ",(D100/C100))</f>
        <v>0.41928682970807574</v>
      </c>
      <c r="G100" s="469">
        <f>D100-'[13]Maijs'!D100</f>
        <v>25237</v>
      </c>
      <c r="H100" s="482" t="s">
        <v>746</v>
      </c>
      <c r="I100" s="483">
        <f aca="true" t="shared" si="27" ref="I100:K101">ROUND(B100/1000,0)</f>
        <v>2164</v>
      </c>
      <c r="J100" s="483">
        <f t="shared" si="27"/>
        <v>1147</v>
      </c>
      <c r="K100" s="483">
        <f t="shared" si="27"/>
        <v>481</v>
      </c>
      <c r="L100" s="82">
        <f t="shared" si="22"/>
        <v>22.22735674676525</v>
      </c>
      <c r="M100" s="82">
        <f t="shared" si="25"/>
        <v>41.935483870967744</v>
      </c>
      <c r="N100" s="483">
        <f>K100-'[13]Maijs'!K100</f>
        <v>25</v>
      </c>
    </row>
    <row r="101" spans="1:14" ht="12.75">
      <c r="A101" s="482" t="s">
        <v>747</v>
      </c>
      <c r="B101" s="488">
        <v>1224250</v>
      </c>
      <c r="C101" s="488"/>
      <c r="D101" s="488"/>
      <c r="E101" s="475"/>
      <c r="F101" s="475"/>
      <c r="G101" s="469">
        <f>D101-'[13]Maijs'!D101</f>
        <v>0</v>
      </c>
      <c r="H101" s="482" t="s">
        <v>747</v>
      </c>
      <c r="I101" s="483">
        <f t="shared" si="27"/>
        <v>1224</v>
      </c>
      <c r="J101" s="483">
        <f t="shared" si="27"/>
        <v>0</v>
      </c>
      <c r="K101" s="483">
        <f t="shared" si="27"/>
        <v>0</v>
      </c>
      <c r="L101" s="82">
        <f t="shared" si="22"/>
        <v>0</v>
      </c>
      <c r="M101" s="82"/>
      <c r="N101" s="483">
        <f>K101-'[13]Maijs'!K101</f>
        <v>0</v>
      </c>
    </row>
    <row r="102" spans="1:14" s="476" customFormat="1" ht="12.75">
      <c r="A102" s="479" t="s">
        <v>750</v>
      </c>
      <c r="B102" s="480">
        <f>B103</f>
        <v>469490</v>
      </c>
      <c r="C102" s="480">
        <f>C103</f>
        <v>165968</v>
      </c>
      <c r="D102" s="480">
        <f>D103</f>
        <v>62816</v>
      </c>
      <c r="E102" s="475">
        <f aca="true" t="shared" si="28" ref="E102:E125">IF(ISERROR(D102/B102)," ",(D102/B102))</f>
        <v>0.1337962469914162</v>
      </c>
      <c r="F102" s="475">
        <f aca="true" t="shared" si="29" ref="F102:F107">IF(ISERROR(D102/C102)," ",(D102/C102))</f>
        <v>0.37848259905523957</v>
      </c>
      <c r="G102" s="469">
        <f>D102-'[13]Maijs'!D102</f>
        <v>10469</v>
      </c>
      <c r="H102" s="479" t="s">
        <v>750</v>
      </c>
      <c r="I102" s="480">
        <f>I103</f>
        <v>470</v>
      </c>
      <c r="J102" s="480">
        <f>J103</f>
        <v>166</v>
      </c>
      <c r="K102" s="480">
        <f>K103</f>
        <v>63</v>
      </c>
      <c r="L102" s="481">
        <f t="shared" si="22"/>
        <v>13.404255319148936</v>
      </c>
      <c r="M102" s="481">
        <f>IF(ISERROR(ROUND(K102,0)/ROUND(J102,0))," ",(ROUND(K102,)/ROUND(J102,)))*100</f>
        <v>37.95180722891566</v>
      </c>
      <c r="N102" s="480">
        <f>K102-'[13]Maijs'!K102</f>
        <v>11</v>
      </c>
    </row>
    <row r="103" spans="1:14" ht="12.75">
      <c r="A103" s="482" t="s">
        <v>746</v>
      </c>
      <c r="B103" s="483">
        <v>469490</v>
      </c>
      <c r="C103" s="483">
        <v>165968</v>
      </c>
      <c r="D103" s="483">
        <v>62816</v>
      </c>
      <c r="E103" s="475">
        <f t="shared" si="28"/>
        <v>0.1337962469914162</v>
      </c>
      <c r="F103" s="475">
        <f t="shared" si="29"/>
        <v>0.37848259905523957</v>
      </c>
      <c r="G103" s="469">
        <f>D103-'[13]Maijs'!D103</f>
        <v>10469</v>
      </c>
      <c r="H103" s="482" t="s">
        <v>746</v>
      </c>
      <c r="I103" s="483">
        <f>ROUND(B103/1000,0)+1</f>
        <v>470</v>
      </c>
      <c r="J103" s="483">
        <f>ROUND(C103/1000,0)</f>
        <v>166</v>
      </c>
      <c r="K103" s="483">
        <f>ROUND(D103/1000,0)</f>
        <v>63</v>
      </c>
      <c r="L103" s="82">
        <f t="shared" si="22"/>
        <v>13.404255319148936</v>
      </c>
      <c r="M103" s="82">
        <f>IF(ISERROR(ROUND(K103,0)/ROUND(J103,0))," ",(ROUND(K103,)/ROUND(J103,)))*100</f>
        <v>37.95180722891566</v>
      </c>
      <c r="N103" s="483">
        <f>K103-'[13]Maijs'!K103</f>
        <v>11</v>
      </c>
    </row>
    <row r="104" spans="1:14" s="1" customFormat="1" ht="24">
      <c r="A104" s="487" t="s">
        <v>753</v>
      </c>
      <c r="B104" s="401">
        <f>B105+B107</f>
        <v>1091245</v>
      </c>
      <c r="C104" s="401">
        <f>C105+C107</f>
        <v>951120</v>
      </c>
      <c r="D104" s="401">
        <f>D105+D107</f>
        <v>230436</v>
      </c>
      <c r="E104" s="475">
        <f t="shared" si="28"/>
        <v>0.21116797786015057</v>
      </c>
      <c r="F104" s="475">
        <f t="shared" si="29"/>
        <v>0.2422785768357305</v>
      </c>
      <c r="G104" s="469">
        <f>D104-'[13]Maijs'!D104</f>
        <v>118529</v>
      </c>
      <c r="H104" s="487" t="s">
        <v>753</v>
      </c>
      <c r="I104" s="401">
        <f>I105+I107</f>
        <v>1091</v>
      </c>
      <c r="J104" s="401">
        <f>J105</f>
        <v>951</v>
      </c>
      <c r="K104" s="401">
        <f>K105</f>
        <v>230</v>
      </c>
      <c r="L104" s="58">
        <f t="shared" si="22"/>
        <v>21.081576535288725</v>
      </c>
      <c r="M104" s="58">
        <f>IF(ISERROR(ROUND(K104,0)/ROUND(J104,0))," ",(ROUND(K104,)/ROUND(J104,)))*100</f>
        <v>24.185068349106203</v>
      </c>
      <c r="N104" s="401">
        <f>K104-'[13]Maijs'!K104</f>
        <v>118</v>
      </c>
    </row>
    <row r="105" spans="1:14" s="476" customFormat="1" ht="12.75">
      <c r="A105" s="479" t="s">
        <v>749</v>
      </c>
      <c r="B105" s="480">
        <f>B106</f>
        <v>1077970</v>
      </c>
      <c r="C105" s="480">
        <f>C106</f>
        <v>951120</v>
      </c>
      <c r="D105" s="480">
        <f>D106</f>
        <v>230436</v>
      </c>
      <c r="E105" s="475">
        <f t="shared" si="28"/>
        <v>0.2137684722209338</v>
      </c>
      <c r="F105" s="475">
        <f t="shared" si="29"/>
        <v>0.2422785768357305</v>
      </c>
      <c r="G105" s="469">
        <f>D105-'[13]Maijs'!D105</f>
        <v>118529</v>
      </c>
      <c r="H105" s="479" t="s">
        <v>749</v>
      </c>
      <c r="I105" s="480">
        <f>I106</f>
        <v>1078</v>
      </c>
      <c r="J105" s="480">
        <f>J106</f>
        <v>951</v>
      </c>
      <c r="K105" s="480">
        <f>K106</f>
        <v>230</v>
      </c>
      <c r="L105" s="481">
        <f t="shared" si="22"/>
        <v>21.335807050092765</v>
      </c>
      <c r="M105" s="481">
        <f>IF(ISERROR(ROUND(K105,0)/ROUND(J105,0))," ",(ROUND(K105,)/ROUND(J105,)))*100</f>
        <v>24.185068349106203</v>
      </c>
      <c r="N105" s="480">
        <f>K105-'[13]Maijs'!K105</f>
        <v>118</v>
      </c>
    </row>
    <row r="106" spans="1:14" ht="12.75">
      <c r="A106" s="482" t="s">
        <v>746</v>
      </c>
      <c r="B106" s="483">
        <v>1077970</v>
      </c>
      <c r="C106" s="483">
        <v>951120</v>
      </c>
      <c r="D106" s="483">
        <v>230436</v>
      </c>
      <c r="E106" s="475">
        <f t="shared" si="28"/>
        <v>0.2137684722209338</v>
      </c>
      <c r="F106" s="475">
        <f t="shared" si="29"/>
        <v>0.2422785768357305</v>
      </c>
      <c r="G106" s="469">
        <f>D106-'[13]Maijs'!D106</f>
        <v>118529</v>
      </c>
      <c r="H106" s="482" t="s">
        <v>746</v>
      </c>
      <c r="I106" s="483">
        <f>ROUND(B106/1000,0)</f>
        <v>1078</v>
      </c>
      <c r="J106" s="483">
        <f>ROUND(C106/1000,0)</f>
        <v>951</v>
      </c>
      <c r="K106" s="483">
        <f>ROUND(D106/1000,0)</f>
        <v>230</v>
      </c>
      <c r="L106" s="82">
        <f t="shared" si="22"/>
        <v>21.335807050092765</v>
      </c>
      <c r="M106" s="82">
        <f>IF(ISERROR(ROUND(K106,0)/ROUND(J106,0))," ",(ROUND(K106,)/ROUND(J106,)))*100</f>
        <v>24.185068349106203</v>
      </c>
      <c r="N106" s="483">
        <f>K106-'[13]Maijs'!K106</f>
        <v>118</v>
      </c>
    </row>
    <row r="107" spans="1:14" s="476" customFormat="1" ht="12.75">
      <c r="A107" s="479" t="s">
        <v>750</v>
      </c>
      <c r="B107" s="480">
        <f>B108</f>
        <v>13275</v>
      </c>
      <c r="C107" s="480">
        <f>C108</f>
        <v>0</v>
      </c>
      <c r="D107" s="480">
        <f>D108</f>
        <v>0</v>
      </c>
      <c r="E107" s="475">
        <f t="shared" si="28"/>
        <v>0</v>
      </c>
      <c r="F107" s="475" t="str">
        <f t="shared" si="29"/>
        <v> </v>
      </c>
      <c r="G107" s="469">
        <f>D107-'[13]Maijs'!D107</f>
        <v>0</v>
      </c>
      <c r="H107" s="479" t="s">
        <v>750</v>
      </c>
      <c r="I107" s="480">
        <f>I108</f>
        <v>13</v>
      </c>
      <c r="J107" s="480">
        <f>J108</f>
        <v>0</v>
      </c>
      <c r="K107" s="480">
        <f>K108</f>
        <v>0</v>
      </c>
      <c r="L107" s="481">
        <f t="shared" si="22"/>
        <v>0</v>
      </c>
      <c r="M107" s="82"/>
      <c r="N107" s="480">
        <f>K107-'[13]Maijs'!K107</f>
        <v>0</v>
      </c>
    </row>
    <row r="108" spans="1:14" ht="12.75">
      <c r="A108" s="482" t="s">
        <v>746</v>
      </c>
      <c r="B108" s="483">
        <v>13275</v>
      </c>
      <c r="C108" s="483"/>
      <c r="D108" s="483"/>
      <c r="E108" s="475">
        <f t="shared" si="28"/>
        <v>0</v>
      </c>
      <c r="F108" s="475"/>
      <c r="G108" s="469">
        <f>D108-'[13]Maijs'!D108</f>
        <v>0</v>
      </c>
      <c r="H108" s="482" t="s">
        <v>746</v>
      </c>
      <c r="I108" s="483">
        <f>ROUND(B108/1000,0)</f>
        <v>13</v>
      </c>
      <c r="J108" s="483">
        <f>ROUND(C108/1000,0)</f>
        <v>0</v>
      </c>
      <c r="K108" s="483">
        <f>ROUND(D108/1000,0)</f>
        <v>0</v>
      </c>
      <c r="L108" s="82">
        <f t="shared" si="22"/>
        <v>0</v>
      </c>
      <c r="M108" s="82"/>
      <c r="N108" s="483">
        <f>K108-'[13]Maijs'!K108</f>
        <v>0</v>
      </c>
    </row>
    <row r="109" spans="1:104" ht="38.25">
      <c r="A109" s="466" t="s">
        <v>754</v>
      </c>
      <c r="B109" s="489">
        <f>B110+B113</f>
        <v>5731672</v>
      </c>
      <c r="C109" s="489">
        <f>C110+C113</f>
        <v>2736043</v>
      </c>
      <c r="D109" s="489">
        <f>D110+D113</f>
        <v>1033629</v>
      </c>
      <c r="E109" s="475">
        <f t="shared" si="28"/>
        <v>0.18033638351950357</v>
      </c>
      <c r="F109" s="475"/>
      <c r="G109" s="469">
        <f>D109-'[13]Maijs'!D109</f>
        <v>142693</v>
      </c>
      <c r="H109" s="466" t="s">
        <v>754</v>
      </c>
      <c r="I109" s="470">
        <f>I110+I113</f>
        <v>5732</v>
      </c>
      <c r="J109" s="470">
        <f>J110+J113</f>
        <v>2736</v>
      </c>
      <c r="K109" s="470">
        <f>K110+K113</f>
        <v>1034</v>
      </c>
      <c r="L109" s="471">
        <f t="shared" si="22"/>
        <v>18.039078855547803</v>
      </c>
      <c r="M109" s="471">
        <f>IF(ISERROR(ROUND(K109,0)/ROUND(J109,0))," ",(ROUND(K109,)/ROUND(J109,)))*100</f>
        <v>37.792397660818715</v>
      </c>
      <c r="N109" s="470">
        <f>K109-'[13]Maijs'!K109</f>
        <v>143</v>
      </c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</row>
    <row r="110" spans="1:104" s="389" customFormat="1" ht="15" customHeight="1">
      <c r="A110" s="472" t="s">
        <v>390</v>
      </c>
      <c r="B110" s="467">
        <f>B111+B112</f>
        <v>2605105</v>
      </c>
      <c r="C110" s="467">
        <f>C111+C112</f>
        <v>2015105</v>
      </c>
      <c r="D110" s="467">
        <f>D111+D112</f>
        <v>1033629</v>
      </c>
      <c r="E110" s="475">
        <f t="shared" si="28"/>
        <v>0.39677057162763113</v>
      </c>
      <c r="F110" s="475"/>
      <c r="G110" s="469">
        <f>D110-'[13]Maijs'!D110</f>
        <v>142693</v>
      </c>
      <c r="H110" s="472" t="s">
        <v>390</v>
      </c>
      <c r="I110" s="490">
        <f>I111+I112</f>
        <v>2605</v>
      </c>
      <c r="J110" s="490">
        <f>J111+J112</f>
        <v>2015</v>
      </c>
      <c r="K110" s="490">
        <f>K111+K112</f>
        <v>1034</v>
      </c>
      <c r="L110" s="471">
        <f t="shared" si="22"/>
        <v>39.69289827255278</v>
      </c>
      <c r="M110" s="471">
        <f>IF(ISERROR(ROUND(K110,0)/ROUND(J110,0))," ",(ROUND(K110,)/ROUND(J110,)))*100</f>
        <v>51.3151364764268</v>
      </c>
      <c r="N110" s="490">
        <f>K110-'[13]Maijs'!K110</f>
        <v>143</v>
      </c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</row>
    <row r="111" spans="1:14" ht="12.75">
      <c r="A111" s="474" t="s">
        <v>746</v>
      </c>
      <c r="B111" s="485">
        <f>B118+B124</f>
        <v>325105</v>
      </c>
      <c r="C111" s="485">
        <f>C118+C124</f>
        <v>325105</v>
      </c>
      <c r="D111" s="485">
        <f>D118+D124</f>
        <v>167698</v>
      </c>
      <c r="E111" s="475">
        <f t="shared" si="28"/>
        <v>0.5158271942910752</v>
      </c>
      <c r="F111" s="475"/>
      <c r="G111" s="469">
        <f>D111-'[13]Maijs'!D111</f>
        <v>0</v>
      </c>
      <c r="H111" s="474" t="s">
        <v>746</v>
      </c>
      <c r="I111" s="401">
        <f>I118+I124</f>
        <v>325</v>
      </c>
      <c r="J111" s="401">
        <f>J118+J124</f>
        <v>325</v>
      </c>
      <c r="K111" s="401">
        <f>K118+K124</f>
        <v>168</v>
      </c>
      <c r="L111" s="471">
        <f t="shared" si="22"/>
        <v>51.69230769230769</v>
      </c>
      <c r="M111" s="58">
        <f>IF(ISERROR(ROUND(K111,0)/ROUND(J111,0))," ",(ROUND(K111,)/ROUND(J111,)))*100</f>
        <v>51.69230769230769</v>
      </c>
      <c r="N111" s="401">
        <f>K111-'[13]Maijs'!K111</f>
        <v>0</v>
      </c>
    </row>
    <row r="112" spans="1:14" ht="12.75">
      <c r="A112" s="474" t="s">
        <v>747</v>
      </c>
      <c r="B112" s="485">
        <f>B119</f>
        <v>2280000</v>
      </c>
      <c r="C112" s="485">
        <f>C119</f>
        <v>1690000</v>
      </c>
      <c r="D112" s="485">
        <f>D119</f>
        <v>865931</v>
      </c>
      <c r="E112" s="475">
        <f t="shared" si="28"/>
        <v>0.37979429824561406</v>
      </c>
      <c r="F112" s="475"/>
      <c r="G112" s="469">
        <f>D112-'[13]Maijs'!D112</f>
        <v>142693</v>
      </c>
      <c r="H112" s="474" t="s">
        <v>747</v>
      </c>
      <c r="I112" s="401">
        <f>I119</f>
        <v>2280</v>
      </c>
      <c r="J112" s="74">
        <f>J119</f>
        <v>1690</v>
      </c>
      <c r="K112" s="401">
        <f>K119</f>
        <v>866</v>
      </c>
      <c r="L112" s="58">
        <f t="shared" si="22"/>
        <v>37.98245614035088</v>
      </c>
      <c r="M112" s="58">
        <f>IF(ISERROR(ROUND(K112,0)/ROUND(J112,0))," ",(ROUND(K112,)/ROUND(J112,)))*100</f>
        <v>51.24260355029586</v>
      </c>
      <c r="N112" s="401">
        <f>K112-'[13]Maijs'!K112</f>
        <v>143</v>
      </c>
    </row>
    <row r="113" spans="1:104" s="389" customFormat="1" ht="15" customHeight="1">
      <c r="A113" s="472" t="s">
        <v>755</v>
      </c>
      <c r="B113" s="467">
        <f>SUM(B114:B115)</f>
        <v>3126567</v>
      </c>
      <c r="C113" s="467">
        <f>SUM(C114:C115)</f>
        <v>720938</v>
      </c>
      <c r="D113" s="467">
        <f>SUM(D114:D115)</f>
        <v>0</v>
      </c>
      <c r="E113" s="475">
        <f t="shared" si="28"/>
        <v>0</v>
      </c>
      <c r="F113" s="475"/>
      <c r="G113" s="469">
        <f>D113-'[13]Maijs'!D113</f>
        <v>0</v>
      </c>
      <c r="H113" s="472" t="s">
        <v>755</v>
      </c>
      <c r="I113" s="470">
        <f>I115+I114</f>
        <v>3127</v>
      </c>
      <c r="J113" s="470">
        <f>J115+J114</f>
        <v>721</v>
      </c>
      <c r="K113" s="470">
        <f>K115+K114</f>
        <v>0</v>
      </c>
      <c r="L113" s="471">
        <f t="shared" si="22"/>
        <v>0</v>
      </c>
      <c r="M113" s="471"/>
      <c r="N113" s="470">
        <f>K113-'[13]Maijs'!K113</f>
        <v>0</v>
      </c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</row>
    <row r="114" spans="1:14" ht="12.75">
      <c r="A114" s="474" t="s">
        <v>746</v>
      </c>
      <c r="B114" s="485">
        <f>B126</f>
        <v>6567</v>
      </c>
      <c r="C114" s="485">
        <f>C126</f>
        <v>938</v>
      </c>
      <c r="D114" s="485">
        <f>D126</f>
        <v>0</v>
      </c>
      <c r="E114" s="475">
        <f t="shared" si="28"/>
        <v>0</v>
      </c>
      <c r="F114" s="475"/>
      <c r="G114" s="469">
        <f>D114-'[13]Maijs'!D114</f>
        <v>0</v>
      </c>
      <c r="H114" s="474" t="s">
        <v>746</v>
      </c>
      <c r="I114" s="401">
        <f>I126</f>
        <v>7</v>
      </c>
      <c r="J114" s="401">
        <f>J126</f>
        <v>1</v>
      </c>
      <c r="K114" s="401">
        <f>K126</f>
        <v>0</v>
      </c>
      <c r="L114" s="58">
        <f t="shared" si="22"/>
        <v>0</v>
      </c>
      <c r="M114" s="58"/>
      <c r="N114" s="401">
        <f>K114-'[13]Maijs'!K114</f>
        <v>0</v>
      </c>
    </row>
    <row r="115" spans="1:14" ht="12.75">
      <c r="A115" s="474" t="s">
        <v>747</v>
      </c>
      <c r="B115" s="485">
        <f>B121</f>
        <v>3120000</v>
      </c>
      <c r="C115" s="485">
        <f>C121</f>
        <v>720000</v>
      </c>
      <c r="D115" s="485">
        <f>D121</f>
        <v>0</v>
      </c>
      <c r="E115" s="475">
        <f t="shared" si="28"/>
        <v>0</v>
      </c>
      <c r="F115" s="475"/>
      <c r="G115" s="469">
        <f>D115-'[13]Maijs'!D115</f>
        <v>0</v>
      </c>
      <c r="H115" s="474" t="s">
        <v>747</v>
      </c>
      <c r="I115" s="401">
        <f>I121</f>
        <v>3120</v>
      </c>
      <c r="J115" s="401">
        <f>J121</f>
        <v>720</v>
      </c>
      <c r="K115" s="401">
        <f>K121</f>
        <v>0</v>
      </c>
      <c r="L115" s="58">
        <f t="shared" si="22"/>
        <v>0</v>
      </c>
      <c r="M115" s="58"/>
      <c r="N115" s="401">
        <f>K115-'[13]Maijs'!K115</f>
        <v>0</v>
      </c>
    </row>
    <row r="116" spans="1:14" s="1" customFormat="1" ht="12">
      <c r="A116" s="487" t="s">
        <v>418</v>
      </c>
      <c r="B116" s="401">
        <f>B117+B120</f>
        <v>5659437</v>
      </c>
      <c r="C116" s="401">
        <f>C117+C120</f>
        <v>2669437</v>
      </c>
      <c r="D116" s="401">
        <f>D117+D120</f>
        <v>1033629</v>
      </c>
      <c r="E116" s="475">
        <f t="shared" si="28"/>
        <v>0.1826381316728148</v>
      </c>
      <c r="F116" s="475"/>
      <c r="G116" s="469">
        <f>D116-'[13]Maijs'!D116</f>
        <v>142693</v>
      </c>
      <c r="H116" s="487" t="s">
        <v>418</v>
      </c>
      <c r="I116" s="401">
        <f>I117+I120</f>
        <v>5659</v>
      </c>
      <c r="J116" s="401">
        <f>J117+J120</f>
        <v>2669</v>
      </c>
      <c r="K116" s="401">
        <f>K117+K120</f>
        <v>1034</v>
      </c>
      <c r="L116" s="58">
        <f t="shared" si="22"/>
        <v>18.27177946633681</v>
      </c>
      <c r="M116" s="58">
        <f aca="true" t="shared" si="30" ref="M116:M121">IF(ISERROR(ROUND(K116,0)/ROUND(J116,0))," ",(ROUND(K116,)/ROUND(J116,)))*100</f>
        <v>38.74110153615587</v>
      </c>
      <c r="N116" s="401">
        <f>K116-'[13]Maijs'!K116</f>
        <v>143</v>
      </c>
    </row>
    <row r="117" spans="1:14" s="476" customFormat="1" ht="12.75">
      <c r="A117" s="479" t="s">
        <v>749</v>
      </c>
      <c r="B117" s="480">
        <f>B118+B119</f>
        <v>2539437</v>
      </c>
      <c r="C117" s="480">
        <f>C118+C119</f>
        <v>1949437</v>
      </c>
      <c r="D117" s="480">
        <f>D118+D119</f>
        <v>1033629</v>
      </c>
      <c r="E117" s="475">
        <f t="shared" si="28"/>
        <v>0.40703077099372814</v>
      </c>
      <c r="F117" s="475"/>
      <c r="G117" s="469">
        <f>D117-'[13]Maijs'!D117</f>
        <v>142693</v>
      </c>
      <c r="H117" s="479" t="s">
        <v>749</v>
      </c>
      <c r="I117" s="480">
        <f>I119+I118</f>
        <v>2539</v>
      </c>
      <c r="J117" s="480">
        <f>J119+J118</f>
        <v>1949</v>
      </c>
      <c r="K117" s="480">
        <f>K119+K118</f>
        <v>1034</v>
      </c>
      <c r="L117" s="481">
        <f t="shared" si="22"/>
        <v>40.72469476171721</v>
      </c>
      <c r="M117" s="481">
        <f t="shared" si="30"/>
        <v>53.0528476141611</v>
      </c>
      <c r="N117" s="480">
        <f>K117-'[13]Maijs'!K117</f>
        <v>143</v>
      </c>
    </row>
    <row r="118" spans="1:14" ht="12.75">
      <c r="A118" s="482" t="s">
        <v>746</v>
      </c>
      <c r="B118" s="483">
        <v>259437</v>
      </c>
      <c r="C118" s="483">
        <v>259437</v>
      </c>
      <c r="D118" s="483">
        <v>167698</v>
      </c>
      <c r="E118" s="475">
        <f t="shared" si="28"/>
        <v>0.6463919949737316</v>
      </c>
      <c r="F118" s="475"/>
      <c r="G118" s="469">
        <f>D118-'[13]Maijs'!D118</f>
        <v>0</v>
      </c>
      <c r="H118" s="482" t="s">
        <v>746</v>
      </c>
      <c r="I118" s="483">
        <f aca="true" t="shared" si="31" ref="I118:K119">ROUND(B118/1000,0)</f>
        <v>259</v>
      </c>
      <c r="J118" s="483">
        <f t="shared" si="31"/>
        <v>259</v>
      </c>
      <c r="K118" s="483">
        <f t="shared" si="31"/>
        <v>168</v>
      </c>
      <c r="L118" s="82">
        <f t="shared" si="22"/>
        <v>64.86486486486487</v>
      </c>
      <c r="M118" s="82">
        <f t="shared" si="30"/>
        <v>64.86486486486487</v>
      </c>
      <c r="N118" s="483">
        <f>K118-'[13]Maijs'!K118</f>
        <v>0</v>
      </c>
    </row>
    <row r="119" spans="1:104" s="60" customFormat="1" ht="12.75">
      <c r="A119" s="482" t="s">
        <v>747</v>
      </c>
      <c r="B119" s="483">
        <v>2280000</v>
      </c>
      <c r="C119" s="483">
        <v>1690000</v>
      </c>
      <c r="D119" s="483">
        <v>865931</v>
      </c>
      <c r="E119" s="475">
        <f t="shared" si="28"/>
        <v>0.37979429824561406</v>
      </c>
      <c r="F119" s="475"/>
      <c r="G119" s="469">
        <f>D119-'[13]Maijs'!D119</f>
        <v>142693</v>
      </c>
      <c r="H119" s="482" t="s">
        <v>747</v>
      </c>
      <c r="I119" s="483">
        <f t="shared" si="31"/>
        <v>2280</v>
      </c>
      <c r="J119" s="483">
        <f t="shared" si="31"/>
        <v>1690</v>
      </c>
      <c r="K119" s="483">
        <f t="shared" si="31"/>
        <v>866</v>
      </c>
      <c r="L119" s="82">
        <f t="shared" si="22"/>
        <v>37.98245614035088</v>
      </c>
      <c r="M119" s="82">
        <f t="shared" si="30"/>
        <v>51.24260355029586</v>
      </c>
      <c r="N119" s="483">
        <f>K119-'[13]Maijs'!K119</f>
        <v>143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</row>
    <row r="120" spans="1:14" s="476" customFormat="1" ht="12.75">
      <c r="A120" s="479" t="s">
        <v>756</v>
      </c>
      <c r="B120" s="480">
        <f>B121</f>
        <v>3120000</v>
      </c>
      <c r="C120" s="480">
        <f>C121</f>
        <v>720000</v>
      </c>
      <c r="D120" s="480">
        <f>D121</f>
        <v>0</v>
      </c>
      <c r="E120" s="475">
        <f t="shared" si="28"/>
        <v>0</v>
      </c>
      <c r="F120" s="475"/>
      <c r="G120" s="469">
        <f>D120-'[13]Maijs'!D120</f>
        <v>0</v>
      </c>
      <c r="H120" s="479" t="s">
        <v>756</v>
      </c>
      <c r="I120" s="480">
        <f>I121</f>
        <v>3120</v>
      </c>
      <c r="J120" s="480">
        <f>J121</f>
        <v>720</v>
      </c>
      <c r="K120" s="480">
        <f>K121</f>
        <v>0</v>
      </c>
      <c r="L120" s="481">
        <f t="shared" si="22"/>
        <v>0</v>
      </c>
      <c r="M120" s="481">
        <f t="shared" si="30"/>
        <v>0</v>
      </c>
      <c r="N120" s="480">
        <f>K120-'[13]Maijs'!K120</f>
        <v>0</v>
      </c>
    </row>
    <row r="121" spans="1:104" s="60" customFormat="1" ht="12.75">
      <c r="A121" s="482" t="s">
        <v>747</v>
      </c>
      <c r="B121" s="483">
        <v>3120000</v>
      </c>
      <c r="C121" s="483">
        <v>720000</v>
      </c>
      <c r="D121" s="483"/>
      <c r="E121" s="475">
        <f t="shared" si="28"/>
        <v>0</v>
      </c>
      <c r="F121" s="475"/>
      <c r="G121" s="469">
        <f>D121-'[13]Maijs'!D121</f>
        <v>0</v>
      </c>
      <c r="H121" s="482" t="s">
        <v>747</v>
      </c>
      <c r="I121" s="483">
        <f>ROUND(B121/1000,0)</f>
        <v>3120</v>
      </c>
      <c r="J121" s="483">
        <f>ROUND(C121/1000,0)</f>
        <v>720</v>
      </c>
      <c r="K121" s="483">
        <f>ROUND(D121/1000,0)</f>
        <v>0</v>
      </c>
      <c r="L121" s="82">
        <f t="shared" si="22"/>
        <v>0</v>
      </c>
      <c r="M121" s="82">
        <f t="shared" si="30"/>
        <v>0</v>
      </c>
      <c r="N121" s="483">
        <f>K121-'[13]Maijs'!K121</f>
        <v>0</v>
      </c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</row>
    <row r="122" spans="1:14" s="1" customFormat="1" ht="12">
      <c r="A122" s="487" t="s">
        <v>420</v>
      </c>
      <c r="B122" s="401">
        <f>B123+B125</f>
        <v>72235</v>
      </c>
      <c r="C122" s="401">
        <f>C123+C125</f>
        <v>66606</v>
      </c>
      <c r="D122" s="401">
        <f>D123+D125</f>
        <v>0</v>
      </c>
      <c r="E122" s="475">
        <f t="shared" si="28"/>
        <v>0</v>
      </c>
      <c r="F122" s="475"/>
      <c r="G122" s="469">
        <f>D122-'[13]Maijs'!D122</f>
        <v>0</v>
      </c>
      <c r="H122" s="487" t="s">
        <v>420</v>
      </c>
      <c r="I122" s="401">
        <f>I123+I125</f>
        <v>73</v>
      </c>
      <c r="J122" s="401">
        <f>J123+J125</f>
        <v>67</v>
      </c>
      <c r="K122" s="401">
        <f>K123+K125</f>
        <v>0</v>
      </c>
      <c r="L122" s="58">
        <f t="shared" si="22"/>
        <v>0</v>
      </c>
      <c r="M122" s="58"/>
      <c r="N122" s="401">
        <f>K122-'[13]Maijs'!K122</f>
        <v>0</v>
      </c>
    </row>
    <row r="123" spans="1:14" s="476" customFormat="1" ht="12.75">
      <c r="A123" s="479" t="s">
        <v>749</v>
      </c>
      <c r="B123" s="480">
        <f>B124</f>
        <v>65668</v>
      </c>
      <c r="C123" s="480">
        <f>C124</f>
        <v>65668</v>
      </c>
      <c r="D123" s="480">
        <f>D124</f>
        <v>0</v>
      </c>
      <c r="E123" s="475">
        <f t="shared" si="28"/>
        <v>0</v>
      </c>
      <c r="F123" s="475"/>
      <c r="G123" s="469">
        <f>D123-'[13]Maijs'!D123</f>
        <v>0</v>
      </c>
      <c r="H123" s="479" t="s">
        <v>749</v>
      </c>
      <c r="I123" s="480">
        <f>I124</f>
        <v>66</v>
      </c>
      <c r="J123" s="480">
        <f>J124</f>
        <v>66</v>
      </c>
      <c r="K123" s="480">
        <f>K124</f>
        <v>0</v>
      </c>
      <c r="L123" s="481">
        <f t="shared" si="22"/>
        <v>0</v>
      </c>
      <c r="M123" s="480"/>
      <c r="N123" s="480">
        <f>K123-'[13]Maijs'!K123</f>
        <v>0</v>
      </c>
    </row>
    <row r="124" spans="1:14" ht="12.75">
      <c r="A124" s="482" t="s">
        <v>746</v>
      </c>
      <c r="B124" s="483">
        <v>65668</v>
      </c>
      <c r="C124" s="483">
        <v>65668</v>
      </c>
      <c r="D124" s="483"/>
      <c r="E124" s="475">
        <f t="shared" si="28"/>
        <v>0</v>
      </c>
      <c r="F124" s="475"/>
      <c r="G124" s="469">
        <f>D124-'[13]Maijs'!D124</f>
        <v>0</v>
      </c>
      <c r="H124" s="482" t="s">
        <v>746</v>
      </c>
      <c r="I124" s="483">
        <f>ROUND(B124/1000,0)</f>
        <v>66</v>
      </c>
      <c r="J124" s="483">
        <f>ROUND(C124/1000,0)</f>
        <v>66</v>
      </c>
      <c r="K124" s="483">
        <f>ROUND(D124/1000,0)</f>
        <v>0</v>
      </c>
      <c r="L124" s="82">
        <f t="shared" si="22"/>
        <v>0</v>
      </c>
      <c r="M124" s="82"/>
      <c r="N124" s="483">
        <f>K124-'[13]Maijs'!K124</f>
        <v>0</v>
      </c>
    </row>
    <row r="125" spans="1:14" s="476" customFormat="1" ht="12.75">
      <c r="A125" s="479" t="s">
        <v>756</v>
      </c>
      <c r="B125" s="480">
        <f>B126</f>
        <v>6567</v>
      </c>
      <c r="C125" s="480">
        <f>C126</f>
        <v>938</v>
      </c>
      <c r="D125" s="480">
        <f>D126</f>
        <v>0</v>
      </c>
      <c r="E125" s="475">
        <f t="shared" si="28"/>
        <v>0</v>
      </c>
      <c r="F125" s="475"/>
      <c r="G125" s="469">
        <f>D125-'[13]Maijs'!D125</f>
        <v>0</v>
      </c>
      <c r="H125" s="479" t="s">
        <v>756</v>
      </c>
      <c r="I125" s="480">
        <f>I126</f>
        <v>7</v>
      </c>
      <c r="J125" s="480">
        <f>J126</f>
        <v>1</v>
      </c>
      <c r="K125" s="480">
        <f>K126</f>
        <v>0</v>
      </c>
      <c r="L125" s="481">
        <f t="shared" si="22"/>
        <v>0</v>
      </c>
      <c r="M125" s="480"/>
      <c r="N125" s="480">
        <f>K125-'[13]Maijs'!K125</f>
        <v>0</v>
      </c>
    </row>
    <row r="126" spans="1:104" s="60" customFormat="1" ht="12.75">
      <c r="A126" s="482" t="s">
        <v>746</v>
      </c>
      <c r="B126" s="483">
        <v>6567</v>
      </c>
      <c r="C126" s="483">
        <v>938</v>
      </c>
      <c r="D126" s="483"/>
      <c r="E126" s="475"/>
      <c r="F126" s="475"/>
      <c r="G126" s="469">
        <f>D126-'[13]Maijs'!D126</f>
        <v>0</v>
      </c>
      <c r="H126" s="482" t="s">
        <v>746</v>
      </c>
      <c r="I126" s="483">
        <f>ROUND(B126/1000,0)</f>
        <v>7</v>
      </c>
      <c r="J126" s="483">
        <f>ROUND(C126/1000,0)</f>
        <v>1</v>
      </c>
      <c r="K126" s="483">
        <f>ROUND(D126/1000,0)</f>
        <v>0</v>
      </c>
      <c r="L126" s="82">
        <f t="shared" si="22"/>
        <v>0</v>
      </c>
      <c r="M126" s="82"/>
      <c r="N126" s="483">
        <f>K126-'[13]Maijs'!K126</f>
        <v>0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</row>
    <row r="127" spans="1:14" ht="12.75">
      <c r="A127" s="472" t="s">
        <v>757</v>
      </c>
      <c r="B127" s="491" t="s">
        <v>758</v>
      </c>
      <c r="C127" s="491" t="s">
        <v>758</v>
      </c>
      <c r="D127" s="470">
        <f>D128+D129</f>
        <v>155910</v>
      </c>
      <c r="E127" s="491" t="s">
        <v>758</v>
      </c>
      <c r="F127" s="491" t="s">
        <v>758</v>
      </c>
      <c r="G127" s="469">
        <f>D127-'[13]Maijs'!D127</f>
        <v>155910</v>
      </c>
      <c r="H127" s="472" t="s">
        <v>757</v>
      </c>
      <c r="I127" s="491" t="s">
        <v>758</v>
      </c>
      <c r="J127" s="491" t="s">
        <v>758</v>
      </c>
      <c r="K127" s="470">
        <f>K128+K129</f>
        <v>156</v>
      </c>
      <c r="L127" s="491" t="s">
        <v>758</v>
      </c>
      <c r="M127" s="491" t="s">
        <v>758</v>
      </c>
      <c r="N127" s="470">
        <f>K127-'[13]Maijs'!K127</f>
        <v>156</v>
      </c>
    </row>
    <row r="128" spans="1:14" ht="12.75">
      <c r="A128" s="482" t="s">
        <v>746</v>
      </c>
      <c r="B128" s="492" t="s">
        <v>758</v>
      </c>
      <c r="C128" s="492" t="s">
        <v>758</v>
      </c>
      <c r="D128" s="483">
        <v>155910</v>
      </c>
      <c r="E128" s="492" t="s">
        <v>758</v>
      </c>
      <c r="F128" s="492" t="s">
        <v>758</v>
      </c>
      <c r="G128" s="469">
        <f>D128-'[13]Maijs'!D128</f>
        <v>155910</v>
      </c>
      <c r="H128" s="482" t="s">
        <v>746</v>
      </c>
      <c r="I128" s="492" t="s">
        <v>758</v>
      </c>
      <c r="J128" s="492" t="s">
        <v>758</v>
      </c>
      <c r="K128" s="483">
        <f>ROUND(D128/1000,0)</f>
        <v>156</v>
      </c>
      <c r="L128" s="492" t="s">
        <v>758</v>
      </c>
      <c r="M128" s="492" t="s">
        <v>758</v>
      </c>
      <c r="N128" s="483">
        <f>K128-'[13]Maijs'!K128</f>
        <v>156</v>
      </c>
    </row>
    <row r="129" spans="1:14" ht="12.75">
      <c r="A129" s="482" t="s">
        <v>747</v>
      </c>
      <c r="B129" s="492" t="s">
        <v>758</v>
      </c>
      <c r="C129" s="492" t="s">
        <v>758</v>
      </c>
      <c r="D129" s="483"/>
      <c r="E129" s="492" t="s">
        <v>758</v>
      </c>
      <c r="F129" s="492" t="s">
        <v>758</v>
      </c>
      <c r="G129" s="469">
        <f>D129-'[13]Maijs'!D129</f>
        <v>0</v>
      </c>
      <c r="H129" s="482" t="s">
        <v>747</v>
      </c>
      <c r="I129" s="492" t="s">
        <v>758</v>
      </c>
      <c r="J129" s="492" t="s">
        <v>758</v>
      </c>
      <c r="K129" s="483">
        <f>ROUND(D129/1000,0)</f>
        <v>0</v>
      </c>
      <c r="L129" s="492" t="s">
        <v>758</v>
      </c>
      <c r="M129" s="492" t="s">
        <v>758</v>
      </c>
      <c r="N129" s="483">
        <f>K129-'[13]Maijs'!K129</f>
        <v>0</v>
      </c>
    </row>
    <row r="130" ht="12.75">
      <c r="H130" s="38"/>
    </row>
    <row r="133" spans="8:14" ht="14.25">
      <c r="H133" s="847" t="s">
        <v>150</v>
      </c>
      <c r="I133" s="847"/>
      <c r="J133" s="847"/>
      <c r="K133" s="847"/>
      <c r="L133" s="847"/>
      <c r="M133" s="847"/>
      <c r="N133" s="847"/>
    </row>
    <row r="137" spans="8:14" ht="12.75">
      <c r="H137" s="1"/>
      <c r="I137" s="1"/>
      <c r="J137" s="1"/>
      <c r="K137" s="1"/>
      <c r="L137" s="1"/>
      <c r="M137" s="1"/>
      <c r="N137" s="1"/>
    </row>
    <row r="138" spans="8:14" ht="12.75">
      <c r="H138" s="1" t="s">
        <v>334</v>
      </c>
      <c r="I138" s="1"/>
      <c r="J138" s="1"/>
      <c r="K138" s="1"/>
      <c r="L138" s="1"/>
      <c r="M138" s="1"/>
      <c r="N138" s="1"/>
    </row>
    <row r="139" spans="8:14" ht="12.75">
      <c r="H139" s="1" t="s">
        <v>148</v>
      </c>
      <c r="I139" s="1"/>
      <c r="J139" s="1"/>
      <c r="K139" s="1"/>
      <c r="L139" s="1"/>
      <c r="M139" s="1"/>
      <c r="N139" s="1"/>
    </row>
    <row r="140" spans="8:14" ht="12.75">
      <c r="H140" s="1"/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8:14" ht="12.75">
      <c r="H143" s="1"/>
      <c r="I143" s="1"/>
      <c r="J143" s="1"/>
      <c r="K143" s="1"/>
      <c r="L143" s="1"/>
      <c r="M143" s="1"/>
      <c r="N143" s="1"/>
    </row>
    <row r="144" spans="8:14" ht="12.75">
      <c r="H144" s="1"/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8:14" ht="12.75">
      <c r="H147" s="1"/>
      <c r="I147" s="1"/>
      <c r="J147" s="1"/>
      <c r="K147" s="1"/>
      <c r="L147" s="1"/>
      <c r="M147" s="1"/>
      <c r="N147" s="1"/>
    </row>
    <row r="148" spans="8:14" ht="12.75">
      <c r="H148" s="1"/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8:14" ht="12.75">
      <c r="H151" s="1"/>
      <c r="I151" s="1"/>
      <c r="J151" s="1"/>
      <c r="K151" s="1"/>
      <c r="L151" s="1"/>
      <c r="M151" s="1"/>
      <c r="N151" s="1"/>
    </row>
    <row r="152" spans="8:14" ht="12.75">
      <c r="H152" s="1"/>
      <c r="I152" s="1"/>
      <c r="J152" s="1"/>
      <c r="K152" s="1"/>
      <c r="L152" s="1"/>
      <c r="M152" s="1"/>
      <c r="N152" s="1"/>
    </row>
    <row r="153" spans="8:14" ht="12.75">
      <c r="H153" s="1"/>
      <c r="I153" s="1"/>
      <c r="J153" s="1"/>
      <c r="K153" s="1"/>
      <c r="L153" s="1"/>
      <c r="M153" s="1"/>
      <c r="N153" s="1"/>
    </row>
    <row r="154" spans="8:14" ht="12.75">
      <c r="H154" s="1"/>
      <c r="I154" s="1"/>
      <c r="J154" s="1"/>
      <c r="K154" s="1"/>
      <c r="L154" s="1"/>
      <c r="M154" s="1"/>
      <c r="N154" s="1"/>
    </row>
    <row r="155" spans="8:14" ht="12.75">
      <c r="H155" s="1"/>
      <c r="I155" s="1"/>
      <c r="J155" s="1"/>
      <c r="K155" s="1"/>
      <c r="L155" s="1"/>
      <c r="M155" s="1"/>
      <c r="N155" s="1"/>
    </row>
    <row r="156" spans="8:14" ht="12.75">
      <c r="H156" s="1"/>
      <c r="I156" s="1"/>
      <c r="J156" s="1"/>
      <c r="K156" s="1"/>
      <c r="L156" s="1"/>
      <c r="M156" s="1"/>
      <c r="N156" s="1"/>
    </row>
    <row r="157" spans="8:14" ht="12.75">
      <c r="H157" s="1"/>
      <c r="I157" s="1"/>
      <c r="J157" s="1"/>
      <c r="K157" s="1"/>
      <c r="L157" s="1"/>
      <c r="M157" s="1"/>
      <c r="N157" s="1"/>
    </row>
    <row r="158" spans="8:14" ht="12.75">
      <c r="H158" s="1"/>
      <c r="I158" s="1"/>
      <c r="J158" s="1"/>
      <c r="K158" s="1"/>
      <c r="L158" s="1"/>
      <c r="M158" s="1"/>
      <c r="N158" s="1"/>
    </row>
    <row r="159" spans="8:14" ht="12.75">
      <c r="H159" s="1"/>
      <c r="I159" s="1"/>
      <c r="J159" s="1"/>
      <c r="K159" s="1"/>
      <c r="L159" s="1"/>
      <c r="M159" s="1"/>
      <c r="N159" s="1"/>
    </row>
    <row r="160" spans="8:14" ht="12.75">
      <c r="H160" s="1"/>
      <c r="I160" s="1"/>
      <c r="J160" s="1"/>
      <c r="K160" s="1"/>
      <c r="L160" s="1"/>
      <c r="M160" s="1"/>
      <c r="N160" s="1"/>
    </row>
    <row r="161" spans="8:14" ht="12.75">
      <c r="H161" s="1"/>
      <c r="I161" s="1"/>
      <c r="J161" s="1"/>
      <c r="K161" s="1"/>
      <c r="L161" s="1"/>
      <c r="M161" s="1"/>
      <c r="N161" s="1"/>
    </row>
    <row r="162" spans="8:14" ht="12.75">
      <c r="H162" s="1"/>
      <c r="I162" s="1"/>
      <c r="J162" s="1"/>
      <c r="K162" s="1"/>
      <c r="L162" s="1"/>
      <c r="M162" s="1"/>
      <c r="N162" s="1"/>
    </row>
    <row r="163" spans="8:14" ht="12.75">
      <c r="H163" s="1"/>
      <c r="I163" s="1"/>
      <c r="J163" s="1"/>
      <c r="K163" s="1"/>
      <c r="L163" s="1"/>
      <c r="M163" s="1"/>
      <c r="N163" s="1"/>
    </row>
    <row r="164" spans="8:14" ht="12.75">
      <c r="H164" s="1"/>
      <c r="I164" s="1"/>
      <c r="J164" s="1"/>
      <c r="K164" s="1"/>
      <c r="L164" s="1"/>
      <c r="M164" s="1"/>
      <c r="N164" s="1"/>
    </row>
    <row r="165" spans="8:14" ht="12.75">
      <c r="H165" s="1"/>
      <c r="I165" s="1"/>
      <c r="J165" s="1"/>
      <c r="K165" s="1"/>
      <c r="L165" s="1"/>
      <c r="M165" s="1"/>
      <c r="N165" s="1"/>
    </row>
    <row r="166" spans="8:14" ht="12.75">
      <c r="H166" s="1"/>
      <c r="I166" s="1"/>
      <c r="J166" s="1"/>
      <c r="K166" s="1"/>
      <c r="L166" s="1"/>
      <c r="M166" s="1"/>
      <c r="N166" s="1"/>
    </row>
    <row r="167" spans="8:14" ht="12.75">
      <c r="H167" s="1"/>
      <c r="I167" s="1"/>
      <c r="J167" s="1"/>
      <c r="K167" s="1"/>
      <c r="L167" s="1"/>
      <c r="M167" s="1"/>
      <c r="N167" s="1"/>
    </row>
    <row r="168" spans="8:14" ht="12.75">
      <c r="H168" s="1"/>
      <c r="I168" s="1"/>
      <c r="J168" s="1"/>
      <c r="K168" s="1"/>
      <c r="L168" s="1"/>
      <c r="M168" s="1"/>
      <c r="N168" s="1"/>
    </row>
    <row r="169" spans="8:14" ht="12.75">
      <c r="H169" s="1"/>
      <c r="I169" s="1"/>
      <c r="J169" s="1"/>
      <c r="K169" s="1"/>
      <c r="L169" s="1"/>
      <c r="M169" s="1"/>
      <c r="N169" s="1"/>
    </row>
    <row r="170" spans="8:14" ht="12.75">
      <c r="H170" s="1"/>
      <c r="I170" s="1"/>
      <c r="J170" s="1"/>
      <c r="K170" s="1"/>
      <c r="L170" s="1"/>
      <c r="M170" s="1"/>
      <c r="N170" s="1"/>
    </row>
    <row r="171" spans="8:14" ht="12.75">
      <c r="H171" s="1"/>
      <c r="I171" s="1"/>
      <c r="J171" s="1"/>
      <c r="K171" s="1"/>
      <c r="L171" s="1"/>
      <c r="M171" s="1"/>
      <c r="N171" s="1"/>
    </row>
    <row r="172" spans="8:14" ht="12.75">
      <c r="H172" s="1"/>
      <c r="I172" s="1"/>
      <c r="J172" s="1"/>
      <c r="K172" s="1"/>
      <c r="L172" s="1"/>
      <c r="M172" s="1"/>
      <c r="N172" s="1"/>
    </row>
    <row r="173" spans="8:14" ht="12.75">
      <c r="H173" s="1"/>
      <c r="I173" s="1"/>
      <c r="J173" s="1"/>
      <c r="K173" s="1"/>
      <c r="L173" s="1"/>
      <c r="M173" s="1"/>
      <c r="N173" s="1"/>
    </row>
    <row r="174" spans="8:14" ht="12.75">
      <c r="H174" s="1"/>
      <c r="I174" s="1"/>
      <c r="J174" s="1"/>
      <c r="K174" s="1"/>
      <c r="L174" s="1"/>
      <c r="M174" s="1"/>
      <c r="N174" s="1"/>
    </row>
    <row r="175" spans="8:14" ht="12.75">
      <c r="H175" s="1"/>
      <c r="I175" s="1"/>
      <c r="J175" s="1"/>
      <c r="K175" s="1"/>
      <c r="L175" s="1"/>
      <c r="M175" s="1"/>
      <c r="N175" s="1"/>
    </row>
    <row r="176" spans="8:14" ht="12.75">
      <c r="H176" s="1"/>
      <c r="I176" s="1"/>
      <c r="J176" s="1"/>
      <c r="K176" s="1"/>
      <c r="L176" s="1"/>
      <c r="M176" s="1"/>
      <c r="N176" s="1"/>
    </row>
    <row r="177" spans="8:14" ht="12.75">
      <c r="H177" s="1"/>
      <c r="I177" s="1"/>
      <c r="J177" s="1"/>
      <c r="K177" s="1"/>
      <c r="L177" s="1"/>
      <c r="M177" s="1"/>
      <c r="N177" s="1"/>
    </row>
    <row r="178" spans="8:14" ht="12.75">
      <c r="H178" s="1"/>
      <c r="I178" s="1"/>
      <c r="J178" s="1"/>
      <c r="K178" s="1"/>
      <c r="L178" s="1"/>
      <c r="M178" s="1"/>
      <c r="N178" s="1"/>
    </row>
    <row r="179" spans="8:14" ht="12.75">
      <c r="H179" s="1"/>
      <c r="I179" s="1"/>
      <c r="J179" s="1"/>
      <c r="K179" s="1"/>
      <c r="L179" s="1"/>
      <c r="M179" s="1"/>
      <c r="N179" s="1"/>
    </row>
    <row r="180" spans="8:14" ht="12.75">
      <c r="H180" s="1"/>
      <c r="I180" s="1"/>
      <c r="J180" s="1"/>
      <c r="K180" s="1"/>
      <c r="L180" s="1"/>
      <c r="M180" s="1"/>
      <c r="N180" s="1"/>
    </row>
    <row r="181" spans="8:14" ht="12.75">
      <c r="H181" s="1"/>
      <c r="I181" s="1"/>
      <c r="J181" s="1"/>
      <c r="K181" s="1"/>
      <c r="L181" s="1"/>
      <c r="M181" s="1"/>
      <c r="N181" s="1"/>
    </row>
    <row r="182" spans="8:14" ht="12.75">
      <c r="H182" s="1"/>
      <c r="I182" s="1"/>
      <c r="J182" s="1"/>
      <c r="K182" s="1"/>
      <c r="L182" s="1"/>
      <c r="M182" s="1"/>
      <c r="N182" s="1"/>
    </row>
    <row r="183" spans="8:14" ht="12.75">
      <c r="H183" s="1"/>
      <c r="I183" s="1"/>
      <c r="J183" s="1"/>
      <c r="K183" s="1"/>
      <c r="L183" s="1"/>
      <c r="M183" s="1"/>
      <c r="N183" s="1"/>
    </row>
    <row r="184" spans="8:14" ht="12.75">
      <c r="H184" s="1"/>
      <c r="I184" s="1"/>
      <c r="J184" s="1"/>
      <c r="K184" s="1"/>
      <c r="L184" s="1"/>
      <c r="M184" s="1"/>
      <c r="N184" s="1"/>
    </row>
    <row r="185" spans="8:14" ht="12.75">
      <c r="H185" s="1"/>
      <c r="I185" s="1"/>
      <c r="J185" s="1"/>
      <c r="K185" s="1"/>
      <c r="L185" s="1"/>
      <c r="M185" s="1"/>
      <c r="N185" s="1"/>
    </row>
    <row r="186" spans="8:14" ht="12.75">
      <c r="H186" s="1"/>
      <c r="I186" s="1"/>
      <c r="J186" s="1"/>
      <c r="K186" s="1"/>
      <c r="L186" s="1"/>
      <c r="M186" s="1"/>
      <c r="N186" s="1"/>
    </row>
    <row r="187" spans="8:14" ht="12.75">
      <c r="H187" s="1"/>
      <c r="I187" s="1"/>
      <c r="J187" s="1"/>
      <c r="K187" s="1"/>
      <c r="L187" s="1"/>
      <c r="M187" s="1"/>
      <c r="N187" s="1"/>
    </row>
    <row r="188" spans="8:14" ht="12.75">
      <c r="H188" s="1"/>
      <c r="I188" s="1"/>
      <c r="J188" s="1"/>
      <c r="K188" s="1"/>
      <c r="L188" s="1"/>
      <c r="M188" s="1"/>
      <c r="N188" s="1"/>
    </row>
    <row r="189" spans="8:14" ht="12.75">
      <c r="H189" s="1"/>
      <c r="I189" s="1"/>
      <c r="J189" s="1"/>
      <c r="K189" s="1"/>
      <c r="L189" s="1"/>
      <c r="M189" s="1"/>
      <c r="N189" s="1"/>
    </row>
    <row r="190" spans="8:14" ht="12.75">
      <c r="H190" s="1"/>
      <c r="I190" s="1"/>
      <c r="J190" s="1"/>
      <c r="K190" s="1"/>
      <c r="L190" s="1"/>
      <c r="M190" s="1"/>
      <c r="N190" s="1"/>
    </row>
    <row r="191" spans="8:14" ht="12.75">
      <c r="H191" s="1"/>
      <c r="I191" s="1"/>
      <c r="J191" s="1"/>
      <c r="K191" s="1"/>
      <c r="L191" s="1"/>
      <c r="M191" s="1"/>
      <c r="N191" s="1"/>
    </row>
    <row r="192" spans="8:14" ht="12.75">
      <c r="H192" s="1"/>
      <c r="I192" s="1"/>
      <c r="J192" s="1"/>
      <c r="K192" s="1"/>
      <c r="L192" s="1"/>
      <c r="M192" s="1"/>
      <c r="N192" s="1"/>
    </row>
    <row r="193" spans="8:14" ht="12.75">
      <c r="H193" s="1"/>
      <c r="I193" s="1"/>
      <c r="J193" s="1"/>
      <c r="K193" s="1"/>
      <c r="L193" s="1"/>
      <c r="M193" s="1"/>
      <c r="N193" s="1"/>
    </row>
    <row r="194" spans="8:14" ht="12.75">
      <c r="H194" s="1"/>
      <c r="I194" s="1"/>
      <c r="J194" s="1"/>
      <c r="K194" s="1"/>
      <c r="L194" s="1"/>
      <c r="M194" s="1"/>
      <c r="N194" s="1"/>
    </row>
    <row r="195" spans="8:14" ht="12.75">
      <c r="H195" s="1"/>
      <c r="I195" s="1"/>
      <c r="J195" s="1"/>
      <c r="K195" s="1"/>
      <c r="L195" s="1"/>
      <c r="M195" s="1"/>
      <c r="N195" s="1"/>
    </row>
    <row r="196" spans="8:14" ht="12.75">
      <c r="H196" s="1"/>
      <c r="I196" s="1"/>
      <c r="J196" s="1"/>
      <c r="K196" s="1"/>
      <c r="L196" s="1"/>
      <c r="M196" s="1"/>
      <c r="N196" s="1"/>
    </row>
    <row r="197" spans="8:14" ht="12.75">
      <c r="H197" s="1"/>
      <c r="I197" s="1"/>
      <c r="J197" s="1"/>
      <c r="K197" s="1"/>
      <c r="L197" s="1"/>
      <c r="M197" s="1"/>
      <c r="N197" s="1"/>
    </row>
    <row r="198" spans="8:14" ht="12.75">
      <c r="H198" s="1"/>
      <c r="I198" s="1"/>
      <c r="J198" s="1"/>
      <c r="K198" s="1"/>
      <c r="L198" s="1"/>
      <c r="M198" s="1"/>
      <c r="N198" s="1"/>
    </row>
    <row r="199" spans="8:14" ht="12.75">
      <c r="H199" s="1"/>
      <c r="I199" s="1"/>
      <c r="J199" s="1"/>
      <c r="K199" s="1"/>
      <c r="L199" s="1"/>
      <c r="M199" s="1"/>
      <c r="N199" s="1"/>
    </row>
    <row r="200" spans="8:14" ht="12.75">
      <c r="H200" s="1"/>
      <c r="I200" s="1"/>
      <c r="J200" s="1"/>
      <c r="K200" s="1"/>
      <c r="L200" s="1"/>
      <c r="M200" s="1"/>
      <c r="N200" s="1"/>
    </row>
    <row r="201" spans="8:14" ht="12.75">
      <c r="H201" s="1"/>
      <c r="I201" s="1"/>
      <c r="J201" s="1"/>
      <c r="K201" s="1"/>
      <c r="L201" s="1"/>
      <c r="M201" s="1"/>
      <c r="N201" s="1"/>
    </row>
    <row r="202" spans="8:14" ht="12.75">
      <c r="H202" s="1"/>
      <c r="I202" s="1"/>
      <c r="J202" s="1"/>
      <c r="K202" s="1"/>
      <c r="L202" s="1"/>
      <c r="M202" s="1"/>
      <c r="N202" s="1"/>
    </row>
    <row r="203" spans="8:14" ht="12.75">
      <c r="H203" s="1"/>
      <c r="I203" s="1"/>
      <c r="J203" s="1"/>
      <c r="K203" s="1"/>
      <c r="L203" s="1"/>
      <c r="M203" s="1"/>
      <c r="N203" s="1"/>
    </row>
    <row r="204" spans="8:14" ht="12.75">
      <c r="H204" s="1"/>
      <c r="I204" s="1"/>
      <c r="J204" s="1"/>
      <c r="K204" s="1"/>
      <c r="L204" s="1"/>
      <c r="M204" s="1"/>
      <c r="N204" s="1"/>
    </row>
    <row r="205" spans="8:14" ht="12.75">
      <c r="H205" s="1"/>
      <c r="I205" s="1"/>
      <c r="J205" s="1"/>
      <c r="K205" s="1"/>
      <c r="L205" s="1"/>
      <c r="M205" s="1"/>
      <c r="N205" s="1"/>
    </row>
    <row r="206" spans="8:14" ht="12.75">
      <c r="H206" s="1"/>
      <c r="I206" s="1"/>
      <c r="J206" s="1"/>
      <c r="K206" s="1"/>
      <c r="L206" s="1"/>
      <c r="M206" s="1"/>
      <c r="N206" s="1"/>
    </row>
    <row r="207" spans="8:14" ht="12.75">
      <c r="H207" s="1"/>
      <c r="I207" s="1"/>
      <c r="J207" s="1"/>
      <c r="K207" s="1"/>
      <c r="L207" s="1"/>
      <c r="M207" s="1"/>
      <c r="N207" s="1"/>
    </row>
    <row r="208" spans="8:14" ht="12.75">
      <c r="H208" s="1"/>
      <c r="I208" s="1"/>
      <c r="J208" s="1"/>
      <c r="K208" s="1"/>
      <c r="L208" s="1"/>
      <c r="M208" s="1"/>
      <c r="N208" s="1"/>
    </row>
    <row r="209" spans="8:14" ht="12.75">
      <c r="H209" s="1"/>
      <c r="I209" s="1"/>
      <c r="J209" s="1"/>
      <c r="K209" s="1"/>
      <c r="L209" s="1"/>
      <c r="M209" s="1"/>
      <c r="N209" s="1"/>
    </row>
    <row r="210" spans="8:14" ht="12.75">
      <c r="H210" s="1"/>
      <c r="I210" s="1"/>
      <c r="J210" s="1"/>
      <c r="K210" s="1"/>
      <c r="L210" s="1"/>
      <c r="M210" s="1"/>
      <c r="N210" s="1"/>
    </row>
    <row r="211" spans="8:14" ht="12.75">
      <c r="H211" s="1"/>
      <c r="I211" s="1"/>
      <c r="J211" s="1"/>
      <c r="K211" s="1"/>
      <c r="L211" s="1"/>
      <c r="M211" s="1"/>
      <c r="N211" s="1"/>
    </row>
    <row r="212" spans="8:14" ht="12.75"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H267" s="1"/>
      <c r="I267" s="1"/>
      <c r="J267" s="1"/>
      <c r="K267" s="1"/>
      <c r="L267" s="1"/>
      <c r="M267" s="1"/>
      <c r="N267" s="1"/>
    </row>
  </sheetData>
  <mergeCells count="1">
    <mergeCell ref="H133:N133"/>
  </mergeCells>
  <printOptions/>
  <pageMargins left="0.75" right="0.27" top="1" bottom="1" header="0.5" footer="0.5"/>
  <pageSetup firstPageNumber="28" useFirstPageNumber="1" horizontalDpi="600" verticalDpi="600" orientation="portrait" paperSize="9" r:id="rId1"/>
  <headerFooter alignWithMargins="0">
    <oddFooter>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A1">
      <selection activeCell="A6" sqref="A6"/>
    </sheetView>
  </sheetViews>
  <sheetFormatPr defaultColWidth="9.140625" defaultRowHeight="17.25" customHeight="1"/>
  <cols>
    <col min="1" max="1" width="46.7109375" style="493" customWidth="1"/>
    <col min="2" max="2" width="8.8515625" style="493" customWidth="1"/>
    <col min="3" max="3" width="10.140625" style="493" customWidth="1"/>
    <col min="4" max="4" width="10.7109375" style="493" customWidth="1"/>
    <col min="5" max="5" width="10.421875" style="493" customWidth="1"/>
  </cols>
  <sheetData>
    <row r="1" spans="2:5" ht="17.25" customHeight="1">
      <c r="B1" s="51"/>
      <c r="C1" s="51"/>
      <c r="D1" s="51"/>
      <c r="E1" s="90" t="s">
        <v>759</v>
      </c>
    </row>
    <row r="2" spans="1:5" ht="17.25" customHeight="1">
      <c r="A2" s="830" t="s">
        <v>238</v>
      </c>
      <c r="B2" s="830"/>
      <c r="C2" s="830"/>
      <c r="D2" s="830"/>
      <c r="E2" s="830"/>
    </row>
    <row r="3" spans="1:5" ht="17.25" customHeight="1">
      <c r="A3" s="49"/>
      <c r="B3" s="49"/>
      <c r="C3" s="49"/>
      <c r="D3" s="49"/>
      <c r="E3" s="49"/>
    </row>
    <row r="4" spans="1:5" ht="31.5" customHeight="1">
      <c r="A4" s="494" t="s">
        <v>760</v>
      </c>
      <c r="B4" s="53"/>
      <c r="C4" s="51"/>
      <c r="D4" s="51"/>
      <c r="E4" s="51"/>
    </row>
    <row r="5" spans="1:5" ht="17.25" customHeight="1">
      <c r="A5" s="848" t="s">
        <v>525</v>
      </c>
      <c r="B5" s="848"/>
      <c r="C5" s="848"/>
      <c r="D5" s="848"/>
      <c r="E5" s="848"/>
    </row>
    <row r="6" spans="1:5" ht="17.25" customHeight="1">
      <c r="A6" s="495"/>
      <c r="B6" s="495"/>
      <c r="C6" s="496"/>
      <c r="D6" s="497"/>
      <c r="E6" s="498" t="s">
        <v>517</v>
      </c>
    </row>
    <row r="7" spans="1:5" ht="33.75">
      <c r="A7" s="9" t="s">
        <v>193</v>
      </c>
      <c r="B7" s="9" t="s">
        <v>761</v>
      </c>
      <c r="C7" s="9" t="s">
        <v>242</v>
      </c>
      <c r="D7" s="9" t="s">
        <v>243</v>
      </c>
      <c r="E7" s="9" t="s">
        <v>317</v>
      </c>
    </row>
    <row r="8" spans="1:5" ht="12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7.25" customHeight="1">
      <c r="A9" s="76" t="s">
        <v>762</v>
      </c>
      <c r="B9" s="403">
        <f>B17+B21</f>
        <v>432221</v>
      </c>
      <c r="C9" s="403">
        <f>C17+C21</f>
        <v>230862</v>
      </c>
      <c r="D9" s="106">
        <f aca="true" t="shared" si="0" ref="D9:D29">C9/B9*100</f>
        <v>53.412953095754254</v>
      </c>
      <c r="E9" s="403">
        <f>E17+E21</f>
        <v>46985</v>
      </c>
    </row>
    <row r="10" spans="1:5" ht="17.25" customHeight="1">
      <c r="A10" s="32" t="s">
        <v>763</v>
      </c>
      <c r="B10" s="403">
        <f>SUM(B11:B14)</f>
        <v>439444</v>
      </c>
      <c r="C10" s="403">
        <f>SUM(C11:C14)</f>
        <v>234487</v>
      </c>
      <c r="D10" s="106">
        <f t="shared" si="0"/>
        <v>53.35992754480662</v>
      </c>
      <c r="E10" s="403">
        <f>SUM(E11:E14)</f>
        <v>47191</v>
      </c>
    </row>
    <row r="11" spans="1:5" ht="12.75">
      <c r="A11" s="250" t="s">
        <v>764</v>
      </c>
      <c r="B11" s="403">
        <f>'[19]Maijs'!$G$11</f>
        <v>243912</v>
      </c>
      <c r="C11" s="403">
        <f>'[19]Junijs'!$H$11</f>
        <v>124834</v>
      </c>
      <c r="D11" s="106">
        <f t="shared" si="0"/>
        <v>51.17993374659713</v>
      </c>
      <c r="E11" s="403">
        <f>C11-'[22]Maijs'!C11</f>
        <v>20339</v>
      </c>
    </row>
    <row r="12" spans="1:5" ht="12.75">
      <c r="A12" s="250" t="s">
        <v>765</v>
      </c>
      <c r="B12" s="403">
        <f>'[19]Maijs'!$G$22</f>
        <v>17566</v>
      </c>
      <c r="C12" s="403">
        <f>'[19]Junijs'!$H$22</f>
        <v>9225</v>
      </c>
      <c r="D12" s="106">
        <f t="shared" si="0"/>
        <v>52.51622452464989</v>
      </c>
      <c r="E12" s="403">
        <f>C12-'[22]Maijs'!C12</f>
        <v>1519</v>
      </c>
    </row>
    <row r="13" spans="1:5" ht="12.75">
      <c r="A13" s="250" t="s">
        <v>766</v>
      </c>
      <c r="B13" s="403">
        <f>'[19]Maijs'!$G$29</f>
        <v>25351</v>
      </c>
      <c r="C13" s="403">
        <f>'[19]Junijs'!$H$29</f>
        <v>13356</v>
      </c>
      <c r="D13" s="106">
        <f t="shared" si="0"/>
        <v>52.68431225592679</v>
      </c>
      <c r="E13" s="403">
        <f>C13-'[22]Maijs'!C13</f>
        <v>1996</v>
      </c>
    </row>
    <row r="14" spans="1:5" ht="12.75">
      <c r="A14" s="250" t="s">
        <v>767</v>
      </c>
      <c r="B14" s="403">
        <f>'[19]Maijs'!$G$30</f>
        <v>152615</v>
      </c>
      <c r="C14" s="403">
        <f>'[19]Junijs'!$H$30</f>
        <v>87072</v>
      </c>
      <c r="D14" s="106">
        <f t="shared" si="0"/>
        <v>57.05336959014513</v>
      </c>
      <c r="E14" s="403">
        <f>C14-'[22]Maijs'!C14</f>
        <v>23337</v>
      </c>
    </row>
    <row r="15" spans="1:5" ht="25.5">
      <c r="A15" s="499" t="s">
        <v>768</v>
      </c>
      <c r="B15" s="403">
        <f>'[19]Maijs'!$G$31</f>
        <v>8499</v>
      </c>
      <c r="C15" s="403">
        <f>'[19]Junijs'!$H$31</f>
        <v>4081</v>
      </c>
      <c r="D15" s="106">
        <f t="shared" si="0"/>
        <v>48.01741381338981</v>
      </c>
      <c r="E15" s="403">
        <f>C15-'[22]Maijs'!C15</f>
        <v>863</v>
      </c>
    </row>
    <row r="16" spans="1:5" ht="25.5">
      <c r="A16" s="500" t="s">
        <v>769</v>
      </c>
      <c r="B16" s="403">
        <f>'[21]Maijs'!$G$34</f>
        <v>27208</v>
      </c>
      <c r="C16" s="403">
        <f>'[21]Junijs'!$H$34</f>
        <v>13447</v>
      </c>
      <c r="D16" s="106">
        <f t="shared" si="0"/>
        <v>49.422963834166424</v>
      </c>
      <c r="E16" s="403">
        <f>C16-'[22]Maijs'!C16</f>
        <v>2245</v>
      </c>
    </row>
    <row r="17" spans="1:5" ht="12.75">
      <c r="A17" s="76" t="s">
        <v>770</v>
      </c>
      <c r="B17" s="403">
        <f>B10-B15-B16</f>
        <v>403737</v>
      </c>
      <c r="C17" s="403">
        <f>C10-C15-C16</f>
        <v>216959</v>
      </c>
      <c r="D17" s="106">
        <f t="shared" si="0"/>
        <v>53.73770548649245</v>
      </c>
      <c r="E17" s="403">
        <f>E10-E15-E16</f>
        <v>44083</v>
      </c>
    </row>
    <row r="18" spans="1:5" ht="25.5">
      <c r="A18" s="76" t="s">
        <v>771</v>
      </c>
      <c r="B18" s="403">
        <f>B19</f>
        <v>37601</v>
      </c>
      <c r="C18" s="403">
        <f>C19</f>
        <v>18653</v>
      </c>
      <c r="D18" s="106">
        <f t="shared" si="0"/>
        <v>49.6077231988511</v>
      </c>
      <c r="E18" s="403">
        <f>C18-'[22]Maijs'!C18</f>
        <v>3738</v>
      </c>
    </row>
    <row r="19" spans="1:5" ht="25.5">
      <c r="A19" s="69" t="s">
        <v>772</v>
      </c>
      <c r="B19" s="403">
        <f>'[17]Maijs'!$B$9</f>
        <v>37601</v>
      </c>
      <c r="C19" s="403">
        <f>'[17]Junijs'!$C$9</f>
        <v>18653</v>
      </c>
      <c r="D19" s="106">
        <f t="shared" si="0"/>
        <v>49.6077231988511</v>
      </c>
      <c r="E19" s="403">
        <f>C19-'[22]Maijs'!C19</f>
        <v>3738</v>
      </c>
    </row>
    <row r="20" spans="1:5" ht="25.5">
      <c r="A20" s="500" t="s">
        <v>773</v>
      </c>
      <c r="B20" s="403">
        <f>'[17]Maijs'!$B$10</f>
        <v>9117</v>
      </c>
      <c r="C20" s="403">
        <f>'[17]Junijs'!$C$10</f>
        <v>4750</v>
      </c>
      <c r="D20" s="106">
        <f t="shared" si="0"/>
        <v>52.1004716463749</v>
      </c>
      <c r="E20" s="403">
        <f>C20-'[22]Maijs'!C20</f>
        <v>836</v>
      </c>
    </row>
    <row r="21" spans="1:5" ht="17.25" customHeight="1">
      <c r="A21" s="76" t="s">
        <v>774</v>
      </c>
      <c r="B21" s="403">
        <f>B18-B20</f>
        <v>28484</v>
      </c>
      <c r="C21" s="403">
        <f>C18-C20</f>
        <v>13903</v>
      </c>
      <c r="D21" s="106">
        <f t="shared" si="0"/>
        <v>48.809858165987926</v>
      </c>
      <c r="E21" s="403">
        <f>E18-E20</f>
        <v>2902</v>
      </c>
    </row>
    <row r="22" spans="1:5" ht="25.5">
      <c r="A22" s="501" t="s">
        <v>775</v>
      </c>
      <c r="B22" s="409">
        <f>SUM(B23:B25)</f>
        <v>484219</v>
      </c>
      <c r="C22" s="409">
        <f>SUM(C23:C25)</f>
        <v>237416</v>
      </c>
      <c r="D22" s="106">
        <f t="shared" si="0"/>
        <v>49.03070718001565</v>
      </c>
      <c r="E22" s="409">
        <f>SUM(E23:E25)</f>
        <v>48758</v>
      </c>
    </row>
    <row r="23" spans="1:5" ht="25.5">
      <c r="A23" s="118" t="s">
        <v>776</v>
      </c>
      <c r="B23" s="409">
        <f aca="true" t="shared" si="1" ref="B23:C25">B39+B48</f>
        <v>399179</v>
      </c>
      <c r="C23" s="409">
        <f t="shared" si="1"/>
        <v>197809</v>
      </c>
      <c r="D23" s="106">
        <f t="shared" si="0"/>
        <v>49.55395950187761</v>
      </c>
      <c r="E23" s="409">
        <f>E39+E48</f>
        <v>42039</v>
      </c>
    </row>
    <row r="24" spans="1:5" ht="25.5">
      <c r="A24" s="118" t="s">
        <v>777</v>
      </c>
      <c r="B24" s="409">
        <f t="shared" si="1"/>
        <v>27742</v>
      </c>
      <c r="C24" s="409">
        <f t="shared" si="1"/>
        <v>10511</v>
      </c>
      <c r="D24" s="106">
        <f t="shared" si="0"/>
        <v>37.88840025953428</v>
      </c>
      <c r="E24" s="409">
        <f>E40+E49</f>
        <v>2262</v>
      </c>
    </row>
    <row r="25" spans="1:5" ht="25.5">
      <c r="A25" s="118" t="s">
        <v>778</v>
      </c>
      <c r="B25" s="409">
        <f t="shared" si="1"/>
        <v>57298</v>
      </c>
      <c r="C25" s="409">
        <f t="shared" si="1"/>
        <v>29096</v>
      </c>
      <c r="D25" s="106">
        <f t="shared" si="0"/>
        <v>50.78013194177807</v>
      </c>
      <c r="E25" s="409">
        <f>E41+E50</f>
        <v>4457</v>
      </c>
    </row>
    <row r="26" spans="1:5" ht="25.5">
      <c r="A26" s="501" t="s">
        <v>779</v>
      </c>
      <c r="B26" s="409">
        <f>B9-B22</f>
        <v>-51998</v>
      </c>
      <c r="C26" s="409">
        <f>C9-C22</f>
        <v>-6554</v>
      </c>
      <c r="D26" s="106">
        <f t="shared" si="0"/>
        <v>12.604330935805223</v>
      </c>
      <c r="E26" s="409">
        <f>E9-E22</f>
        <v>-1773</v>
      </c>
    </row>
    <row r="27" spans="1:5" ht="25.5">
      <c r="A27" s="501" t="s">
        <v>780</v>
      </c>
      <c r="B27" s="409">
        <f>B43+B52</f>
        <v>-2560</v>
      </c>
      <c r="C27" s="409">
        <f>C43+C52</f>
        <v>-2403</v>
      </c>
      <c r="D27" s="106">
        <f t="shared" si="0"/>
        <v>93.8671875</v>
      </c>
      <c r="E27" s="409">
        <f>E43+E52</f>
        <v>-841</v>
      </c>
    </row>
    <row r="28" spans="1:5" ht="25.5">
      <c r="A28" s="501" t="s">
        <v>781</v>
      </c>
      <c r="B28" s="409">
        <f>B22+B27</f>
        <v>481659</v>
      </c>
      <c r="C28" s="409">
        <f>C22+C27</f>
        <v>235013</v>
      </c>
      <c r="D28" s="106">
        <f t="shared" si="0"/>
        <v>48.79240292406038</v>
      </c>
      <c r="E28" s="409">
        <f>E22+E27</f>
        <v>47917</v>
      </c>
    </row>
    <row r="29" spans="1:5" ht="25.5">
      <c r="A29" s="501" t="s">
        <v>782</v>
      </c>
      <c r="B29" s="409">
        <f>B9-B28</f>
        <v>-49438</v>
      </c>
      <c r="C29" s="409">
        <f>C9-C28</f>
        <v>-4151</v>
      </c>
      <c r="D29" s="106">
        <f t="shared" si="0"/>
        <v>8.396375257898782</v>
      </c>
      <c r="E29" s="409">
        <f>E9-E28</f>
        <v>-932</v>
      </c>
    </row>
    <row r="30" spans="1:5" ht="12.75">
      <c r="A30" s="502" t="s">
        <v>783</v>
      </c>
      <c r="B30" s="503"/>
      <c r="C30" s="503"/>
      <c r="D30" s="106"/>
      <c r="E30" s="403"/>
    </row>
    <row r="31" spans="1:5" ht="25.5">
      <c r="A31" s="504" t="s">
        <v>784</v>
      </c>
      <c r="B31" s="503">
        <f>B20</f>
        <v>9117</v>
      </c>
      <c r="C31" s="503">
        <f>C20</f>
        <v>4750</v>
      </c>
      <c r="D31" s="106">
        <f>C31/B31*100</f>
        <v>52.1004716463749</v>
      </c>
      <c r="E31" s="403">
        <f>C31-'[22]Maijs'!C31</f>
        <v>836</v>
      </c>
    </row>
    <row r="32" spans="1:5" ht="12.75">
      <c r="A32" s="502" t="s">
        <v>785</v>
      </c>
      <c r="B32" s="505">
        <v>10426</v>
      </c>
      <c r="C32" s="503">
        <f>8753-11830</f>
        <v>-3077</v>
      </c>
      <c r="D32" s="106"/>
      <c r="E32" s="403">
        <f>C32-'[22]Maijs'!C32</f>
        <v>-2118</v>
      </c>
    </row>
    <row r="33" spans="1:5" ht="12.75">
      <c r="A33" s="502" t="s">
        <v>786</v>
      </c>
      <c r="B33" s="505">
        <v>28634</v>
      </c>
      <c r="C33" s="503">
        <v>2477</v>
      </c>
      <c r="D33" s="106"/>
      <c r="E33" s="403">
        <f>C33-'[22]Maijs'!C33</f>
        <v>2213</v>
      </c>
    </row>
    <row r="34" spans="1:5" ht="17.25" customHeight="1">
      <c r="A34" s="501" t="s">
        <v>787</v>
      </c>
      <c r="B34" s="409">
        <f>SUM(B37,B40,B41)</f>
        <v>468860</v>
      </c>
      <c r="C34" s="409">
        <f>SUM(C37,C40,C41)</f>
        <v>238933</v>
      </c>
      <c r="D34" s="106">
        <f aca="true" t="shared" si="2" ref="D34:D55">C34/B34*100</f>
        <v>50.960414622701876</v>
      </c>
      <c r="E34" s="409">
        <f>SUM(E37,E40,E41)</f>
        <v>48547</v>
      </c>
    </row>
    <row r="35" spans="1:5" ht="25.5">
      <c r="A35" s="506" t="s">
        <v>788</v>
      </c>
      <c r="B35" s="409">
        <f>B38</f>
        <v>35707</v>
      </c>
      <c r="C35" s="409">
        <f>C38</f>
        <v>17528</v>
      </c>
      <c r="D35" s="106">
        <f t="shared" si="2"/>
        <v>49.08841403646344</v>
      </c>
      <c r="E35" s="403">
        <f>C35-'[22]Maijs'!C35</f>
        <v>3108</v>
      </c>
    </row>
    <row r="36" spans="1:5" ht="17.25" customHeight="1">
      <c r="A36" s="501" t="s">
        <v>789</v>
      </c>
      <c r="B36" s="409">
        <f>B34-B35</f>
        <v>433153</v>
      </c>
      <c r="C36" s="409">
        <f>C34-C35</f>
        <v>221405</v>
      </c>
      <c r="D36" s="106">
        <f t="shared" si="2"/>
        <v>51.11473313124924</v>
      </c>
      <c r="E36" s="409">
        <f>E34-E35</f>
        <v>45439</v>
      </c>
    </row>
    <row r="37" spans="1:5" ht="25.5">
      <c r="A37" s="501" t="s">
        <v>790</v>
      </c>
      <c r="B37" s="409">
        <f>'[20]Maijs'!$G$11</f>
        <v>395471</v>
      </c>
      <c r="C37" s="409">
        <f>'[20]Junijs'!$H$11</f>
        <v>203100</v>
      </c>
      <c r="D37" s="106">
        <f t="shared" si="2"/>
        <v>51.35648378768608</v>
      </c>
      <c r="E37" s="409">
        <f>C37-'[22]Maijs'!C37</f>
        <v>42629</v>
      </c>
    </row>
    <row r="38" spans="1:5" ht="25.5">
      <c r="A38" s="500" t="s">
        <v>791</v>
      </c>
      <c r="B38" s="409">
        <v>35707</v>
      </c>
      <c r="C38" s="409">
        <f>4082+13447-1</f>
        <v>17528</v>
      </c>
      <c r="D38" s="106">
        <f t="shared" si="2"/>
        <v>49.08841403646344</v>
      </c>
      <c r="E38" s="409">
        <f>C38-'[22]Maijs'!C38</f>
        <v>3108</v>
      </c>
    </row>
    <row r="39" spans="1:5" ht="25.5">
      <c r="A39" s="69" t="s">
        <v>792</v>
      </c>
      <c r="B39" s="409">
        <f>B37-B38</f>
        <v>359764</v>
      </c>
      <c r="C39" s="409">
        <f>C37-C38</f>
        <v>185572</v>
      </c>
      <c r="D39" s="106">
        <f t="shared" si="2"/>
        <v>51.58159237722507</v>
      </c>
      <c r="E39" s="409">
        <f>E37-E38</f>
        <v>39521</v>
      </c>
    </row>
    <row r="40" spans="1:5" ht="17.25" customHeight="1">
      <c r="A40" s="69" t="s">
        <v>793</v>
      </c>
      <c r="B40" s="403">
        <v>19375</v>
      </c>
      <c r="C40" s="403">
        <f>'[20]Junijs'!$H$27</f>
        <v>7475</v>
      </c>
      <c r="D40" s="106">
        <f t="shared" si="2"/>
        <v>38.58064516129032</v>
      </c>
      <c r="E40" s="403">
        <f>C40-'[22]Maijs'!C40</f>
        <v>1409</v>
      </c>
    </row>
    <row r="41" spans="1:5" ht="17.25" customHeight="1">
      <c r="A41" s="258" t="s">
        <v>794</v>
      </c>
      <c r="B41" s="403">
        <v>54014</v>
      </c>
      <c r="C41" s="403">
        <f>'[20]Junijs'!$H$28</f>
        <v>28358</v>
      </c>
      <c r="D41" s="106">
        <f t="shared" si="2"/>
        <v>52.50120339171326</v>
      </c>
      <c r="E41" s="403">
        <f>C41-'[22]Maijs'!C41</f>
        <v>4509</v>
      </c>
    </row>
    <row r="42" spans="1:5" ht="38.25">
      <c r="A42" s="76" t="s">
        <v>795</v>
      </c>
      <c r="B42" s="409">
        <f>B17-B36</f>
        <v>-29416</v>
      </c>
      <c r="C42" s="409">
        <f>C17-C36</f>
        <v>-4446</v>
      </c>
      <c r="D42" s="106">
        <f t="shared" si="2"/>
        <v>15.11422355180854</v>
      </c>
      <c r="E42" s="409">
        <f>E17-E36</f>
        <v>-1356</v>
      </c>
    </row>
    <row r="43" spans="1:5" ht="12.75">
      <c r="A43" s="76" t="s">
        <v>796</v>
      </c>
      <c r="B43" s="403">
        <f>B44-B45</f>
        <v>-624</v>
      </c>
      <c r="C43" s="403">
        <f>C44-C45</f>
        <v>-704</v>
      </c>
      <c r="D43" s="106">
        <f t="shared" si="2"/>
        <v>112.82051282051282</v>
      </c>
      <c r="E43" s="403">
        <f>E44-E45</f>
        <v>-62</v>
      </c>
    </row>
    <row r="44" spans="1:5" ht="12.75">
      <c r="A44" s="69" t="s">
        <v>797</v>
      </c>
      <c r="B44" s="403">
        <f>'[20]Maijs'!$G$30</f>
        <v>193</v>
      </c>
      <c r="C44" s="403">
        <f>'[20]Junijs'!$H$30</f>
        <v>73</v>
      </c>
      <c r="D44" s="106">
        <f t="shared" si="2"/>
        <v>37.82383419689119</v>
      </c>
      <c r="E44" s="403">
        <f>C44-'[22]Maijs'!C44</f>
        <v>19</v>
      </c>
    </row>
    <row r="45" spans="1:5" ht="12.75">
      <c r="A45" s="69" t="s">
        <v>798</v>
      </c>
      <c r="B45" s="403">
        <f>'[20]Maijs'!$G$31</f>
        <v>817</v>
      </c>
      <c r="C45" s="403">
        <f>'[20]Junijs'!$H$31</f>
        <v>777</v>
      </c>
      <c r="D45" s="106">
        <f t="shared" si="2"/>
        <v>95.10403916768666</v>
      </c>
      <c r="E45" s="403">
        <f>C45-'[22]Maijs'!C45</f>
        <v>81</v>
      </c>
    </row>
    <row r="46" spans="1:5" ht="25.5">
      <c r="A46" s="76" t="s">
        <v>799</v>
      </c>
      <c r="B46" s="409">
        <f>B42-B43</f>
        <v>-28792</v>
      </c>
      <c r="C46" s="409">
        <f>C42-C43</f>
        <v>-3742</v>
      </c>
      <c r="D46" s="106">
        <f t="shared" si="2"/>
        <v>12.996665740483468</v>
      </c>
      <c r="E46" s="409">
        <f>E42-E43</f>
        <v>-1294</v>
      </c>
    </row>
    <row r="47" spans="1:5" ht="25.5">
      <c r="A47" s="76" t="s">
        <v>800</v>
      </c>
      <c r="B47" s="403">
        <f>B48+B49+B50</f>
        <v>51066</v>
      </c>
      <c r="C47" s="403">
        <f>C48+C49+C50</f>
        <v>16011</v>
      </c>
      <c r="D47" s="106">
        <f t="shared" si="2"/>
        <v>31.353542474444833</v>
      </c>
      <c r="E47" s="403">
        <f>E48+E49+E50</f>
        <v>3319</v>
      </c>
    </row>
    <row r="48" spans="1:5" ht="24.75" customHeight="1">
      <c r="A48" s="69" t="s">
        <v>801</v>
      </c>
      <c r="B48" s="403">
        <f>'[18]Maijs'!$B$12</f>
        <v>39415</v>
      </c>
      <c r="C48" s="403">
        <f>'[18]Junijs'!$C$12</f>
        <v>12237</v>
      </c>
      <c r="D48" s="106">
        <f t="shared" si="2"/>
        <v>31.046555879741216</v>
      </c>
      <c r="E48" s="403">
        <f>C48-'[22]Maijs'!C48</f>
        <v>2518</v>
      </c>
    </row>
    <row r="49" spans="1:5" ht="17.25" customHeight="1">
      <c r="A49" s="69" t="s">
        <v>802</v>
      </c>
      <c r="B49" s="403">
        <f>'[18]Maijs'!$B$28</f>
        <v>8367</v>
      </c>
      <c r="C49" s="403">
        <f>'[18]Junijs'!$C$28</f>
        <v>3036</v>
      </c>
      <c r="D49" s="106">
        <f t="shared" si="2"/>
        <v>36.28540695589817</v>
      </c>
      <c r="E49" s="403">
        <f>C49-'[22]Maijs'!C49</f>
        <v>853</v>
      </c>
    </row>
    <row r="50" spans="1:5" ht="12.75">
      <c r="A50" s="258" t="s">
        <v>803</v>
      </c>
      <c r="B50" s="403">
        <f>'[18]Maijs'!$B$29</f>
        <v>3284</v>
      </c>
      <c r="C50" s="403">
        <f>'[18]Junijs'!$C$29</f>
        <v>738</v>
      </c>
      <c r="D50" s="106">
        <f t="shared" si="2"/>
        <v>22.472594397076737</v>
      </c>
      <c r="E50" s="403">
        <f>C50-'[22]Maijs'!C50</f>
        <v>-52</v>
      </c>
    </row>
    <row r="51" spans="1:5" ht="25.5">
      <c r="A51" s="76" t="s">
        <v>804</v>
      </c>
      <c r="B51" s="403">
        <f>B21-B47</f>
        <v>-22582</v>
      </c>
      <c r="C51" s="403">
        <f>C21-C47</f>
        <v>-2108</v>
      </c>
      <c r="D51" s="106">
        <f t="shared" si="2"/>
        <v>9.334868479319812</v>
      </c>
      <c r="E51" s="403">
        <f>E21-E47</f>
        <v>-417</v>
      </c>
    </row>
    <row r="52" spans="1:5" ht="17.25" customHeight="1">
      <c r="A52" s="76" t="s">
        <v>805</v>
      </c>
      <c r="B52" s="403">
        <f>B53-B54</f>
        <v>-1936</v>
      </c>
      <c r="C52" s="403">
        <f>C53-C54</f>
        <v>-1699</v>
      </c>
      <c r="D52" s="106">
        <f t="shared" si="2"/>
        <v>87.75826446280992</v>
      </c>
      <c r="E52" s="403">
        <f>E53-E54</f>
        <v>-779</v>
      </c>
    </row>
    <row r="53" spans="1:5" ht="12.75">
      <c r="A53" s="69" t="s">
        <v>806</v>
      </c>
      <c r="B53" s="403">
        <f>'[18]Maijs'!$B$31</f>
        <v>695</v>
      </c>
      <c r="C53" s="403">
        <f>'[18]Junijs'!$C$31</f>
        <v>415</v>
      </c>
      <c r="D53" s="106">
        <f t="shared" si="2"/>
        <v>59.71223021582733</v>
      </c>
      <c r="E53" s="403">
        <f>C53-'[22]Maijs'!C53</f>
        <v>38</v>
      </c>
    </row>
    <row r="54" spans="1:5" ht="12.75">
      <c r="A54" s="69" t="s">
        <v>807</v>
      </c>
      <c r="B54" s="403">
        <f>'[18]Maijs'!$B$32</f>
        <v>2631</v>
      </c>
      <c r="C54" s="403">
        <f>'[18]Junijs'!$C$32</f>
        <v>2114</v>
      </c>
      <c r="D54" s="106">
        <f t="shared" si="2"/>
        <v>80.34967692892437</v>
      </c>
      <c r="E54" s="403">
        <f>C54-'[22]Maijs'!C54</f>
        <v>817</v>
      </c>
    </row>
    <row r="55" spans="1:5" ht="25.5">
      <c r="A55" s="76" t="s">
        <v>808</v>
      </c>
      <c r="B55" s="403">
        <f>B51-B52</f>
        <v>-20646</v>
      </c>
      <c r="C55" s="403">
        <f>C51-C52</f>
        <v>-409</v>
      </c>
      <c r="D55" s="106">
        <f t="shared" si="2"/>
        <v>1.981013271335852</v>
      </c>
      <c r="E55" s="403">
        <f>E51-E52</f>
        <v>362</v>
      </c>
    </row>
    <row r="56" spans="1:5" ht="17.25" customHeight="1">
      <c r="A56" s="507"/>
      <c r="B56" s="508"/>
      <c r="C56" s="508"/>
      <c r="D56" s="509"/>
      <c r="E56" s="508"/>
    </row>
    <row r="57" spans="1:5" ht="17.25" customHeight="1">
      <c r="A57" s="295"/>
      <c r="B57" s="510"/>
      <c r="C57" s="510"/>
      <c r="D57" s="511"/>
      <c r="E57" s="510"/>
    </row>
    <row r="58" spans="1:5" ht="17.25" customHeight="1">
      <c r="A58" s="49"/>
      <c r="B58" s="49"/>
      <c r="C58" s="49"/>
      <c r="D58" s="49"/>
      <c r="E58" s="1"/>
    </row>
    <row r="59" spans="1:5" ht="17.25" customHeight="1">
      <c r="A59" s="295"/>
      <c r="B59" s="49"/>
      <c r="C59" s="49"/>
      <c r="D59" s="49"/>
      <c r="E59" s="49"/>
    </row>
    <row r="60" spans="1:5" ht="17.25" customHeight="1">
      <c r="A60" s="295"/>
      <c r="B60" s="49"/>
      <c r="C60" s="49"/>
      <c r="D60" s="49"/>
      <c r="E60" s="49"/>
    </row>
    <row r="61" spans="1:5" ht="17.25" customHeight="1">
      <c r="A61" s="41" t="s">
        <v>161</v>
      </c>
      <c r="B61" s="39"/>
      <c r="C61" s="39"/>
      <c r="D61" s="39" t="s">
        <v>376</v>
      </c>
      <c r="E61" s="49"/>
    </row>
    <row r="62" spans="1:5" ht="17.25" customHeight="1">
      <c r="A62" s="295"/>
      <c r="B62" s="49"/>
      <c r="C62" s="49"/>
      <c r="D62" s="49"/>
      <c r="E62" s="49"/>
    </row>
    <row r="63" spans="1:5" ht="17.25" customHeight="1">
      <c r="A63" s="512"/>
      <c r="B63" s="49"/>
      <c r="C63" s="49"/>
      <c r="D63" s="49"/>
      <c r="E63" s="49"/>
    </row>
    <row r="64" spans="1:5" ht="17.25" customHeight="1">
      <c r="A64" s="512"/>
      <c r="B64" s="807"/>
      <c r="C64" s="513"/>
      <c r="D64" s="49"/>
      <c r="E64" s="49"/>
    </row>
    <row r="65" spans="1:5" ht="17.25" customHeight="1">
      <c r="A65" s="49"/>
      <c r="B65" s="49"/>
      <c r="C65" s="49"/>
      <c r="D65" s="49"/>
      <c r="E65" s="49"/>
    </row>
    <row r="66" spans="1:5" ht="17.25" customHeight="1">
      <c r="A66" s="7" t="s">
        <v>621</v>
      </c>
      <c r="B66" s="49"/>
      <c r="C66" s="49"/>
      <c r="D66" s="49"/>
      <c r="E66" s="49"/>
    </row>
    <row r="67" spans="1:5" ht="17.25" customHeight="1">
      <c r="A67" s="7" t="s">
        <v>530</v>
      </c>
      <c r="B67" s="49"/>
      <c r="C67" s="49"/>
      <c r="D67" s="49"/>
      <c r="E67" s="49"/>
    </row>
    <row r="68" spans="1:5" ht="17.25" customHeight="1">
      <c r="A68" s="295"/>
      <c r="B68" s="49"/>
      <c r="C68" s="49"/>
      <c r="D68" s="49"/>
      <c r="E68" s="49"/>
    </row>
    <row r="69" spans="1:5" ht="17.25" customHeight="1">
      <c r="A69" s="295"/>
      <c r="B69" s="49"/>
      <c r="C69" s="49"/>
      <c r="D69" s="49"/>
      <c r="E69" s="49"/>
    </row>
    <row r="70" spans="1:5" ht="17.25" customHeight="1">
      <c r="A70" s="295"/>
      <c r="B70" s="49"/>
      <c r="C70" s="49"/>
      <c r="D70" s="49"/>
      <c r="E70" s="49"/>
    </row>
    <row r="71" spans="1:5" ht="17.25" customHeight="1">
      <c r="A71" s="49"/>
      <c r="B71" s="49"/>
      <c r="C71" s="49"/>
      <c r="D71" s="49"/>
      <c r="E71" s="49"/>
    </row>
    <row r="72" spans="1:5" ht="17.25" customHeight="1">
      <c r="A72" s="49"/>
      <c r="B72" s="49"/>
      <c r="C72" s="49"/>
      <c r="D72" s="49"/>
      <c r="E72" s="49"/>
    </row>
    <row r="73" spans="1:5" ht="17.25" customHeight="1">
      <c r="A73" s="49"/>
      <c r="B73" s="49"/>
      <c r="C73" s="49"/>
      <c r="D73" s="49"/>
      <c r="E73" s="49"/>
    </row>
    <row r="74" spans="1:5" ht="17.25" customHeight="1">
      <c r="A74" s="295"/>
      <c r="B74" s="49"/>
      <c r="C74" s="49"/>
      <c r="D74" s="49"/>
      <c r="E74" s="49"/>
    </row>
    <row r="75" spans="1:5" ht="17.25" customHeight="1">
      <c r="A75" s="512"/>
      <c r="B75" s="49"/>
      <c r="C75" s="49"/>
      <c r="D75" s="49"/>
      <c r="E75" s="49"/>
    </row>
    <row r="76" spans="2:5" ht="17.25" customHeight="1">
      <c r="B76" s="49"/>
      <c r="C76" s="49"/>
      <c r="D76" s="49"/>
      <c r="E76" s="49"/>
    </row>
    <row r="79" spans="1:5" ht="17.25" customHeight="1">
      <c r="A79" s="49"/>
      <c r="B79" s="49"/>
      <c r="C79" s="49"/>
      <c r="D79" s="49"/>
      <c r="E79" s="49"/>
    </row>
    <row r="80" spans="1:5" ht="17.25" customHeight="1">
      <c r="A80" s="295"/>
      <c r="B80" s="49"/>
      <c r="C80" s="49"/>
      <c r="D80" s="49"/>
      <c r="E80" s="49"/>
    </row>
    <row r="81" spans="1:5" ht="17.25" customHeight="1">
      <c r="A81" s="49"/>
      <c r="B81" s="49"/>
      <c r="C81" s="49"/>
      <c r="D81" s="49"/>
      <c r="E81" s="49"/>
    </row>
    <row r="82" spans="1:5" ht="17.25" customHeight="1">
      <c r="A82" s="49"/>
      <c r="B82" s="49"/>
      <c r="C82" s="49"/>
      <c r="D82" s="49"/>
      <c r="E82" s="49"/>
    </row>
    <row r="83" spans="1:5" ht="17.25" customHeight="1">
      <c r="A83" s="295"/>
      <c r="B83" s="49"/>
      <c r="C83" s="49"/>
      <c r="D83" s="49"/>
      <c r="E83" s="49"/>
    </row>
    <row r="84" spans="1:5" ht="17.25" customHeight="1">
      <c r="A84" s="295"/>
      <c r="B84" s="49"/>
      <c r="C84" s="49"/>
      <c r="D84" s="49"/>
      <c r="E84" s="49"/>
    </row>
    <row r="85" spans="1:5" ht="17.25" customHeight="1">
      <c r="A85" s="514"/>
      <c r="B85" s="49"/>
      <c r="C85" s="49"/>
      <c r="D85" s="49"/>
      <c r="E85" s="49"/>
    </row>
    <row r="86" ht="17.25" customHeight="1">
      <c r="A86" s="514"/>
    </row>
    <row r="87" ht="17.25" customHeight="1">
      <c r="A87" s="514"/>
    </row>
    <row r="88" ht="17.25" customHeight="1">
      <c r="A88" s="514"/>
    </row>
    <row r="89" ht="17.25" customHeight="1">
      <c r="A89" s="514"/>
    </row>
    <row r="90" ht="17.25" customHeight="1">
      <c r="A90" s="514"/>
    </row>
    <row r="91" ht="17.25" customHeight="1">
      <c r="A91" s="514"/>
    </row>
    <row r="97" ht="17.25" customHeight="1">
      <c r="A97" s="514"/>
    </row>
    <row r="98" ht="17.25" customHeight="1">
      <c r="A98" s="514"/>
    </row>
    <row r="99" ht="17.25" customHeight="1">
      <c r="A99" s="514"/>
    </row>
    <row r="100" ht="17.25" customHeight="1">
      <c r="A100" s="514"/>
    </row>
    <row r="103" ht="17.25" customHeight="1">
      <c r="A103" s="514"/>
    </row>
    <row r="104" ht="17.25" customHeight="1">
      <c r="A104" s="514"/>
    </row>
    <row r="107" ht="17.25" customHeight="1">
      <c r="A107" s="514"/>
    </row>
    <row r="108" ht="17.25" customHeight="1">
      <c r="A108" s="514"/>
    </row>
    <row r="109" ht="17.25" customHeight="1">
      <c r="A109" s="514"/>
    </row>
    <row r="110" ht="17.25" customHeight="1">
      <c r="A110" s="514"/>
    </row>
    <row r="111" ht="17.25" customHeight="1">
      <c r="A111" s="514"/>
    </row>
    <row r="112" ht="17.25" customHeight="1">
      <c r="A112" s="514"/>
    </row>
    <row r="113" ht="17.25" customHeight="1">
      <c r="A113" s="514"/>
    </row>
    <row r="114" ht="17.25" customHeight="1">
      <c r="A114" s="514"/>
    </row>
    <row r="115" ht="17.25" customHeight="1">
      <c r="A115" s="514"/>
    </row>
    <row r="116" ht="17.25" customHeight="1">
      <c r="A116" s="514"/>
    </row>
    <row r="117" ht="17.25" customHeight="1">
      <c r="A117" s="514"/>
    </row>
    <row r="118" ht="17.25" customHeight="1">
      <c r="A118" s="514"/>
    </row>
    <row r="119" ht="17.25" customHeight="1">
      <c r="A119" s="514"/>
    </row>
    <row r="120" ht="17.25" customHeight="1">
      <c r="A120" s="514"/>
    </row>
    <row r="121" ht="17.25" customHeight="1">
      <c r="A121" s="514"/>
    </row>
    <row r="122" ht="17.25" customHeight="1">
      <c r="A122" s="514"/>
    </row>
    <row r="123" ht="17.25" customHeight="1">
      <c r="A123" s="514"/>
    </row>
    <row r="124" ht="17.25" customHeight="1">
      <c r="A124" s="514"/>
    </row>
    <row r="125" ht="17.25" customHeight="1">
      <c r="A125" s="514"/>
    </row>
    <row r="126" ht="17.25" customHeight="1">
      <c r="A126" s="514"/>
    </row>
    <row r="127" ht="17.25" customHeight="1">
      <c r="A127" s="514"/>
    </row>
    <row r="128" ht="17.25" customHeight="1">
      <c r="A128" s="514"/>
    </row>
    <row r="129" ht="17.25" customHeight="1">
      <c r="A129" s="514"/>
    </row>
    <row r="130" ht="17.25" customHeight="1">
      <c r="A130" s="514"/>
    </row>
    <row r="131" ht="17.25" customHeight="1">
      <c r="A131" s="514"/>
    </row>
  </sheetData>
  <mergeCells count="2">
    <mergeCell ref="A2:E2"/>
    <mergeCell ref="A5:E5"/>
  </mergeCells>
  <printOptions/>
  <pageMargins left="0.75" right="0.75" top="1" bottom="1" header="0.5" footer="0.5"/>
  <pageSetup firstPageNumber="31" useFirstPageNumber="1" horizontalDpi="600" verticalDpi="600" orientation="portrait" paperSize="9" r:id="rId1"/>
  <headerFooter alignWithMargins="0">
    <oddFooter>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F1">
      <selection activeCell="F4" sqref="F4"/>
    </sheetView>
  </sheetViews>
  <sheetFormatPr defaultColWidth="9.140625" defaultRowHeight="17.25" customHeight="1"/>
  <cols>
    <col min="1" max="1" width="39.7109375" style="515" hidden="1" customWidth="1"/>
    <col min="2" max="2" width="8.8515625" style="493" hidden="1" customWidth="1"/>
    <col min="3" max="3" width="11.28125" style="493" hidden="1" customWidth="1"/>
    <col min="4" max="4" width="12.140625" style="493" hidden="1" customWidth="1"/>
    <col min="5" max="5" width="0.13671875" style="493" hidden="1" customWidth="1"/>
    <col min="6" max="6" width="39.7109375" style="515" customWidth="1"/>
    <col min="7" max="7" width="8.8515625" style="493" customWidth="1"/>
    <col min="8" max="8" width="11.28125" style="493" customWidth="1"/>
    <col min="9" max="9" width="12.140625" style="493" customWidth="1"/>
    <col min="10" max="10" width="11.57421875" style="493" customWidth="1"/>
    <col min="11" max="16384" width="7.421875" style="493" customWidth="1"/>
  </cols>
  <sheetData>
    <row r="1" spans="2:10" ht="17.25" customHeight="1">
      <c r="B1" s="516"/>
      <c r="C1" s="51"/>
      <c r="D1" s="51"/>
      <c r="E1" s="51" t="s">
        <v>809</v>
      </c>
      <c r="G1" s="516"/>
      <c r="H1" s="51"/>
      <c r="I1" s="51"/>
      <c r="J1" s="51" t="s">
        <v>809</v>
      </c>
    </row>
    <row r="2" spans="1:10" s="51" customFormat="1" ht="17.25" customHeight="1">
      <c r="A2" s="516" t="s">
        <v>810</v>
      </c>
      <c r="B2" s="516"/>
      <c r="E2" s="41"/>
      <c r="F2" s="516" t="s">
        <v>810</v>
      </c>
      <c r="G2" s="516"/>
      <c r="J2" s="41"/>
    </row>
    <row r="4" spans="1:10" s="519" customFormat="1" ht="17.25" customHeight="1">
      <c r="A4" s="517" t="s">
        <v>811</v>
      </c>
      <c r="B4" s="518"/>
      <c r="C4" s="465"/>
      <c r="D4" s="465"/>
      <c r="E4" s="465"/>
      <c r="F4" s="517" t="s">
        <v>811</v>
      </c>
      <c r="G4" s="518"/>
      <c r="H4" s="465"/>
      <c r="I4" s="465"/>
      <c r="J4" s="465"/>
    </row>
    <row r="5" spans="1:10" s="519" customFormat="1" ht="13.5" customHeight="1">
      <c r="A5" s="517" t="s">
        <v>812</v>
      </c>
      <c r="B5" s="518"/>
      <c r="C5" s="520"/>
      <c r="D5" s="520"/>
      <c r="E5" s="520"/>
      <c r="F5" s="806" t="s">
        <v>153</v>
      </c>
      <c r="G5" s="518"/>
      <c r="H5" s="465"/>
      <c r="I5" s="465"/>
      <c r="J5" s="465"/>
    </row>
    <row r="6" spans="1:10" s="38" customFormat="1" ht="17.25" customHeight="1">
      <c r="A6" s="521"/>
      <c r="B6" s="522"/>
      <c r="C6" s="523"/>
      <c r="D6" s="523"/>
      <c r="E6" s="524" t="s">
        <v>548</v>
      </c>
      <c r="F6" s="521"/>
      <c r="G6" s="522"/>
      <c r="H6" s="523"/>
      <c r="I6" s="523"/>
      <c r="J6" s="524" t="s">
        <v>620</v>
      </c>
    </row>
    <row r="7" spans="1:10" s="38" customFormat="1" ht="26.25" customHeight="1">
      <c r="A7" s="525" t="s">
        <v>193</v>
      </c>
      <c r="B7" s="526" t="s">
        <v>761</v>
      </c>
      <c r="C7" s="526" t="s">
        <v>242</v>
      </c>
      <c r="D7" s="526" t="s">
        <v>813</v>
      </c>
      <c r="E7" s="9" t="s">
        <v>464</v>
      </c>
      <c r="F7" s="525" t="s">
        <v>193</v>
      </c>
      <c r="G7" s="526" t="s">
        <v>761</v>
      </c>
      <c r="H7" s="526" t="s">
        <v>242</v>
      </c>
      <c r="I7" s="526" t="s">
        <v>813</v>
      </c>
      <c r="J7" s="9" t="s">
        <v>158</v>
      </c>
    </row>
    <row r="8" spans="1:10" s="38" customFormat="1" ht="12.75">
      <c r="A8" s="527" t="s">
        <v>814</v>
      </c>
      <c r="B8" s="528">
        <v>2</v>
      </c>
      <c r="C8" s="528">
        <v>3</v>
      </c>
      <c r="D8" s="528">
        <v>4</v>
      </c>
      <c r="E8" s="528" t="s">
        <v>815</v>
      </c>
      <c r="F8" s="527" t="s">
        <v>814</v>
      </c>
      <c r="G8" s="528">
        <v>2</v>
      </c>
      <c r="H8" s="528">
        <v>3</v>
      </c>
      <c r="I8" s="528">
        <v>4</v>
      </c>
      <c r="J8" s="528" t="s">
        <v>815</v>
      </c>
    </row>
    <row r="9" spans="1:10" s="49" customFormat="1" ht="12.75">
      <c r="A9" s="529" t="s">
        <v>816</v>
      </c>
      <c r="B9" s="192"/>
      <c r="C9" s="184">
        <f>SUM(C10,C30)</f>
        <v>0</v>
      </c>
      <c r="D9" s="184"/>
      <c r="E9" s="184">
        <f>SUM(E10,E30)</f>
        <v>0</v>
      </c>
      <c r="F9" s="529" t="s">
        <v>816</v>
      </c>
      <c r="G9" s="184">
        <f>SUM(G10,G30)</f>
        <v>439444</v>
      </c>
      <c r="H9" s="184">
        <f>SUM(H10,H30)</f>
        <v>234487</v>
      </c>
      <c r="I9" s="214">
        <f aca="true" t="shared" si="0" ref="I9:I37">H9/G9*100</f>
        <v>53.35992754480662</v>
      </c>
      <c r="J9" s="184">
        <f>SUM(J10,J30)</f>
        <v>47191</v>
      </c>
    </row>
    <row r="10" spans="1:10" ht="25.5">
      <c r="A10" s="530" t="s">
        <v>817</v>
      </c>
      <c r="B10" s="192"/>
      <c r="C10" s="184">
        <f>C11+C22+C29</f>
        <v>0</v>
      </c>
      <c r="D10" s="184"/>
      <c r="E10" s="184">
        <f>E11+E22+E29</f>
        <v>0</v>
      </c>
      <c r="F10" s="530" t="s">
        <v>817</v>
      </c>
      <c r="G10" s="184">
        <f>G11+G22+G29</f>
        <v>286829</v>
      </c>
      <c r="H10" s="184">
        <f>H11+H22+H29</f>
        <v>147415</v>
      </c>
      <c r="I10" s="214">
        <f t="shared" si="0"/>
        <v>51.394733447454755</v>
      </c>
      <c r="J10" s="184">
        <f>J11+J22+J29</f>
        <v>23854</v>
      </c>
    </row>
    <row r="11" spans="1:10" s="49" customFormat="1" ht="12.75">
      <c r="A11" s="531" t="s">
        <v>818</v>
      </c>
      <c r="B11" s="192"/>
      <c r="C11" s="184">
        <f>SUM(C12,C20,)</f>
        <v>0</v>
      </c>
      <c r="D11" s="184"/>
      <c r="E11" s="184">
        <f>SUM(E12,E20,)</f>
        <v>0</v>
      </c>
      <c r="F11" s="531" t="s">
        <v>818</v>
      </c>
      <c r="G11" s="184">
        <f>SUM(G12,G20,)</f>
        <v>243912</v>
      </c>
      <c r="H11" s="184">
        <f>SUM(H12,H20,)</f>
        <v>124834</v>
      </c>
      <c r="I11" s="214">
        <f t="shared" si="0"/>
        <v>51.17993374659713</v>
      </c>
      <c r="J11" s="184">
        <f>SUM(J12,J20,)</f>
        <v>20339</v>
      </c>
    </row>
    <row r="12" spans="1:10" s="49" customFormat="1" ht="12.75">
      <c r="A12" s="531" t="s">
        <v>344</v>
      </c>
      <c r="B12" s="192"/>
      <c r="C12" s="184">
        <f>SUM(C13,C15,C18,C19)</f>
        <v>0</v>
      </c>
      <c r="D12" s="184"/>
      <c r="E12" s="184">
        <f>SUM(E13,E15,E18,E19)</f>
        <v>0</v>
      </c>
      <c r="F12" s="531" t="s">
        <v>344</v>
      </c>
      <c r="G12" s="184">
        <f>SUM(G13,G15,G18,G19)</f>
        <v>242881</v>
      </c>
      <c r="H12" s="184">
        <f>SUM(H13,H15,H18,H19)</f>
        <v>124197</v>
      </c>
      <c r="I12" s="214">
        <f t="shared" si="0"/>
        <v>51.134917922768764</v>
      </c>
      <c r="J12" s="184">
        <f>SUM(J13,J15,J18,J19)</f>
        <v>20227</v>
      </c>
    </row>
    <row r="13" spans="1:10" s="38" customFormat="1" ht="12.75">
      <c r="A13" s="252" t="s">
        <v>819</v>
      </c>
      <c r="B13" s="192"/>
      <c r="C13" s="192"/>
      <c r="D13" s="194"/>
      <c r="E13" s="192">
        <f>C13-'[19]Marts'!C13</f>
        <v>0</v>
      </c>
      <c r="F13" s="252" t="s">
        <v>820</v>
      </c>
      <c r="G13" s="192">
        <v>203575</v>
      </c>
      <c r="H13" s="192">
        <v>99224</v>
      </c>
      <c r="I13" s="194">
        <f t="shared" si="0"/>
        <v>48.740758934053794</v>
      </c>
      <c r="J13" s="192">
        <f>H13-'[19]Maijs'!H13</f>
        <v>17606</v>
      </c>
    </row>
    <row r="14" spans="1:10" s="38" customFormat="1" ht="12.75">
      <c r="A14" s="291" t="s">
        <v>821</v>
      </c>
      <c r="B14" s="192"/>
      <c r="C14" s="192"/>
      <c r="D14" s="194"/>
      <c r="E14" s="192"/>
      <c r="F14" s="291" t="s">
        <v>821</v>
      </c>
      <c r="G14" s="192">
        <v>1055</v>
      </c>
      <c r="H14" s="192">
        <v>1055</v>
      </c>
      <c r="I14" s="194">
        <f t="shared" si="0"/>
        <v>100</v>
      </c>
      <c r="J14" s="192">
        <f>H14-'[19]Maijs'!H14</f>
        <v>0</v>
      </c>
    </row>
    <row r="15" spans="1:10" s="38" customFormat="1" ht="12.75">
      <c r="A15" s="252" t="s">
        <v>822</v>
      </c>
      <c r="B15" s="192"/>
      <c r="C15" s="192">
        <f>SUM(C16:C17)</f>
        <v>0</v>
      </c>
      <c r="D15" s="194"/>
      <c r="E15" s="192">
        <f>C15-'[19]Marts'!C15</f>
        <v>0</v>
      </c>
      <c r="F15" s="252" t="s">
        <v>822</v>
      </c>
      <c r="G15" s="192">
        <f>SUM(G16:G17)</f>
        <v>38069</v>
      </c>
      <c r="H15" s="192">
        <f>SUM(H16:H17)</f>
        <v>23431</v>
      </c>
      <c r="I15" s="194">
        <f t="shared" si="0"/>
        <v>61.54876671307363</v>
      </c>
      <c r="J15" s="192">
        <f>H15-'[19]Maijs'!H15</f>
        <v>2535</v>
      </c>
    </row>
    <row r="16" spans="1:10" s="38" customFormat="1" ht="25.5">
      <c r="A16" s="532" t="s">
        <v>823</v>
      </c>
      <c r="B16" s="192"/>
      <c r="C16" s="192"/>
      <c r="D16" s="194"/>
      <c r="E16" s="192">
        <f>C16-'[19]Marts'!C16</f>
        <v>0</v>
      </c>
      <c r="F16" s="532" t="s">
        <v>823</v>
      </c>
      <c r="G16" s="192">
        <v>22341</v>
      </c>
      <c r="H16" s="192">
        <v>12156</v>
      </c>
      <c r="I16" s="194">
        <f t="shared" si="0"/>
        <v>54.411172284141266</v>
      </c>
      <c r="J16" s="192">
        <f>H16-'[19]Maijs'!H16</f>
        <v>1085</v>
      </c>
    </row>
    <row r="17" spans="1:10" s="38" customFormat="1" ht="26.25" customHeight="1">
      <c r="A17" s="532" t="s">
        <v>824</v>
      </c>
      <c r="B17" s="192"/>
      <c r="C17" s="192"/>
      <c r="D17" s="194"/>
      <c r="E17" s="192">
        <f>C17-'[19]Marts'!C17</f>
        <v>0</v>
      </c>
      <c r="F17" s="532" t="s">
        <v>824</v>
      </c>
      <c r="G17" s="192">
        <v>15728</v>
      </c>
      <c r="H17" s="192">
        <v>11275</v>
      </c>
      <c r="I17" s="194">
        <f t="shared" si="0"/>
        <v>71.68743641912513</v>
      </c>
      <c r="J17" s="192">
        <f>H17-'[19]Maijs'!H17</f>
        <v>1450</v>
      </c>
    </row>
    <row r="18" spans="1:10" s="38" customFormat="1" ht="12.75">
      <c r="A18" s="252" t="s">
        <v>825</v>
      </c>
      <c r="B18" s="192"/>
      <c r="C18" s="192"/>
      <c r="D18" s="194"/>
      <c r="E18" s="192">
        <f>C18-'[19]Marts'!C18</f>
        <v>0</v>
      </c>
      <c r="F18" s="252" t="s">
        <v>825</v>
      </c>
      <c r="G18" s="192">
        <v>234</v>
      </c>
      <c r="H18" s="192">
        <v>975</v>
      </c>
      <c r="I18" s="194">
        <f t="shared" si="0"/>
        <v>416.6666666666667</v>
      </c>
      <c r="J18" s="192">
        <f>H18-'[19]Maijs'!H18</f>
        <v>35</v>
      </c>
    </row>
    <row r="19" spans="1:10" s="38" customFormat="1" ht="12.75">
      <c r="A19" s="252" t="s">
        <v>826</v>
      </c>
      <c r="B19" s="192"/>
      <c r="C19" s="192"/>
      <c r="D19" s="194"/>
      <c r="E19" s="192">
        <f>C19-'[19]Marts'!C19</f>
        <v>0</v>
      </c>
      <c r="F19" s="252" t="s">
        <v>826</v>
      </c>
      <c r="G19" s="192">
        <v>1003</v>
      </c>
      <c r="H19" s="192">
        <v>567</v>
      </c>
      <c r="I19" s="194">
        <f t="shared" si="0"/>
        <v>56.530408773678964</v>
      </c>
      <c r="J19" s="192">
        <f>H19-'[19]Maijs'!H19</f>
        <v>51</v>
      </c>
    </row>
    <row r="20" spans="1:10" s="49" customFormat="1" ht="12.75">
      <c r="A20" s="531" t="s">
        <v>346</v>
      </c>
      <c r="B20" s="192"/>
      <c r="C20" s="184">
        <f>C21</f>
        <v>0</v>
      </c>
      <c r="D20" s="214"/>
      <c r="E20" s="184">
        <f>E21</f>
        <v>0</v>
      </c>
      <c r="F20" s="531" t="s">
        <v>346</v>
      </c>
      <c r="G20" s="184">
        <f>G21</f>
        <v>1031</v>
      </c>
      <c r="H20" s="184">
        <f>H21</f>
        <v>637</v>
      </c>
      <c r="I20" s="214">
        <f t="shared" si="0"/>
        <v>61.78467507274491</v>
      </c>
      <c r="J20" s="184">
        <f>J21</f>
        <v>112</v>
      </c>
    </row>
    <row r="21" spans="1:10" ht="25.5">
      <c r="A21" s="533" t="s">
        <v>827</v>
      </c>
      <c r="B21" s="192"/>
      <c r="C21" s="192"/>
      <c r="D21" s="194"/>
      <c r="E21" s="192">
        <f>C21-'[19]Marts'!C21</f>
        <v>0</v>
      </c>
      <c r="F21" s="533" t="s">
        <v>827</v>
      </c>
      <c r="G21" s="192">
        <v>1031</v>
      </c>
      <c r="H21" s="192">
        <v>637</v>
      </c>
      <c r="I21" s="194">
        <f t="shared" si="0"/>
        <v>61.78467507274491</v>
      </c>
      <c r="J21" s="192">
        <f>H21-'[19]Maijs'!H21</f>
        <v>112</v>
      </c>
    </row>
    <row r="22" spans="1:10" s="49" customFormat="1" ht="12.75">
      <c r="A22" s="531" t="s">
        <v>828</v>
      </c>
      <c r="B22" s="192"/>
      <c r="C22" s="184">
        <f>SUM(C23:C28)</f>
        <v>0</v>
      </c>
      <c r="D22" s="214"/>
      <c r="E22" s="184">
        <f>SUM(E23:E28)</f>
        <v>0</v>
      </c>
      <c r="F22" s="531" t="s">
        <v>828</v>
      </c>
      <c r="G22" s="184">
        <f>SUM(G23:G28)</f>
        <v>17566</v>
      </c>
      <c r="H22" s="184">
        <f>SUM(H23:H28)</f>
        <v>9225</v>
      </c>
      <c r="I22" s="214">
        <f t="shared" si="0"/>
        <v>52.51622452464989</v>
      </c>
      <c r="J22" s="184">
        <f>SUM(J23:J28)</f>
        <v>1519</v>
      </c>
    </row>
    <row r="23" spans="1:10" ht="12.75">
      <c r="A23" s="252" t="s">
        <v>829</v>
      </c>
      <c r="B23" s="192"/>
      <c r="C23" s="192"/>
      <c r="D23" s="194"/>
      <c r="E23" s="192">
        <f>C23-'[19]Marts'!C23</f>
        <v>0</v>
      </c>
      <c r="F23" s="252" t="s">
        <v>829</v>
      </c>
      <c r="G23" s="192">
        <v>498</v>
      </c>
      <c r="H23" s="192">
        <v>352</v>
      </c>
      <c r="I23" s="194">
        <f t="shared" si="0"/>
        <v>70.68273092369478</v>
      </c>
      <c r="J23" s="192">
        <f>H23-'[19]Maijs'!H23</f>
        <v>158</v>
      </c>
    </row>
    <row r="24" spans="1:10" ht="12.75">
      <c r="A24" s="252" t="s">
        <v>830</v>
      </c>
      <c r="B24" s="192"/>
      <c r="C24" s="192"/>
      <c r="D24" s="194"/>
      <c r="E24" s="192">
        <f>C24-'[19]Marts'!C24</f>
        <v>0</v>
      </c>
      <c r="F24" s="252" t="s">
        <v>830</v>
      </c>
      <c r="G24" s="192">
        <v>3084</v>
      </c>
      <c r="H24" s="192">
        <v>1549</v>
      </c>
      <c r="I24" s="194">
        <f t="shared" si="0"/>
        <v>50.22697795071336</v>
      </c>
      <c r="J24" s="192">
        <f>H24-'[19]Maijs'!H24</f>
        <v>171</v>
      </c>
    </row>
    <row r="25" spans="1:10" ht="12.75">
      <c r="A25" s="252" t="s">
        <v>831</v>
      </c>
      <c r="B25" s="192"/>
      <c r="C25" s="192"/>
      <c r="D25" s="194"/>
      <c r="E25" s="192">
        <f>C25-'[19]Marts'!C25</f>
        <v>0</v>
      </c>
      <c r="F25" s="252" t="s">
        <v>831</v>
      </c>
      <c r="G25" s="192">
        <v>238</v>
      </c>
      <c r="H25" s="192">
        <v>109</v>
      </c>
      <c r="I25" s="194">
        <f t="shared" si="0"/>
        <v>45.79831932773109</v>
      </c>
      <c r="J25" s="192">
        <f>H25-'[19]Maijs'!H25</f>
        <v>18</v>
      </c>
    </row>
    <row r="26" spans="1:10" ht="12.75">
      <c r="A26" s="252" t="s">
        <v>832</v>
      </c>
      <c r="B26" s="192"/>
      <c r="C26" s="192"/>
      <c r="D26" s="194"/>
      <c r="E26" s="192">
        <f>C26-'[19]Marts'!C26</f>
        <v>0</v>
      </c>
      <c r="F26" s="252" t="s">
        <v>832</v>
      </c>
      <c r="G26" s="192">
        <v>13024</v>
      </c>
      <c r="H26" s="192">
        <v>6805</v>
      </c>
      <c r="I26" s="194">
        <f t="shared" si="0"/>
        <v>52.249692874692876</v>
      </c>
      <c r="J26" s="192">
        <f>H26-'[19]Maijs'!H26</f>
        <v>1091</v>
      </c>
    </row>
    <row r="27" spans="1:10" ht="25.5">
      <c r="A27" s="534" t="s">
        <v>833</v>
      </c>
      <c r="B27" s="192"/>
      <c r="C27" s="192"/>
      <c r="D27" s="194"/>
      <c r="E27" s="192">
        <f>C27-'[19]Marts'!C27</f>
        <v>0</v>
      </c>
      <c r="F27" s="534" t="s">
        <v>833</v>
      </c>
      <c r="G27" s="192">
        <v>578</v>
      </c>
      <c r="H27" s="192">
        <v>319</v>
      </c>
      <c r="I27" s="194">
        <f t="shared" si="0"/>
        <v>55.19031141868512</v>
      </c>
      <c r="J27" s="192">
        <f>H27-'[19]Maijs'!H27</f>
        <v>49</v>
      </c>
    </row>
    <row r="28" spans="1:10" ht="12.75">
      <c r="A28" s="252" t="s">
        <v>834</v>
      </c>
      <c r="B28" s="192"/>
      <c r="C28" s="192"/>
      <c r="D28" s="194"/>
      <c r="E28" s="192">
        <f>C28-'[19]Marts'!C28</f>
        <v>0</v>
      </c>
      <c r="F28" s="252" t="s">
        <v>834</v>
      </c>
      <c r="G28" s="192">
        <v>144</v>
      </c>
      <c r="H28" s="192">
        <v>91</v>
      </c>
      <c r="I28" s="194">
        <f t="shared" si="0"/>
        <v>63.19444444444444</v>
      </c>
      <c r="J28" s="192">
        <f>H28-'[19]Maijs'!H28</f>
        <v>32</v>
      </c>
    </row>
    <row r="29" spans="1:10" ht="51">
      <c r="A29" s="535" t="s">
        <v>835</v>
      </c>
      <c r="B29" s="192"/>
      <c r="C29" s="184"/>
      <c r="D29" s="214"/>
      <c r="E29" s="184">
        <f>C29-'[19]Marts'!C29</f>
        <v>0</v>
      </c>
      <c r="F29" s="535" t="s">
        <v>835</v>
      </c>
      <c r="G29" s="184">
        <v>25351</v>
      </c>
      <c r="H29" s="184">
        <f>13359-3</f>
        <v>13356</v>
      </c>
      <c r="I29" s="214">
        <f t="shared" si="0"/>
        <v>52.68431225592679</v>
      </c>
      <c r="J29" s="184">
        <f>H29-'[19]Maijs'!H29</f>
        <v>1996</v>
      </c>
    </row>
    <row r="30" spans="1:10" ht="12.75">
      <c r="A30" s="531" t="s">
        <v>836</v>
      </c>
      <c r="B30" s="192"/>
      <c r="C30" s="184">
        <f>SUM(C31,C35,C39,C43)</f>
        <v>0</v>
      </c>
      <c r="D30" s="214"/>
      <c r="E30" s="184">
        <f>SUM(E31,E35,E39,E43)</f>
        <v>0</v>
      </c>
      <c r="F30" s="531" t="s">
        <v>836</v>
      </c>
      <c r="G30" s="184">
        <f>SUM(G31,G35,G39,G43)</f>
        <v>152615</v>
      </c>
      <c r="H30" s="184">
        <f>SUM(H31,H35,H39,H43)</f>
        <v>87072</v>
      </c>
      <c r="I30" s="214">
        <f t="shared" si="0"/>
        <v>57.05336959014513</v>
      </c>
      <c r="J30" s="184">
        <f>SUM(J31,J35,J39,J43)</f>
        <v>23337</v>
      </c>
    </row>
    <row r="31" spans="1:10" ht="12.75">
      <c r="A31" s="529" t="s">
        <v>837</v>
      </c>
      <c r="B31" s="192"/>
      <c r="C31" s="184">
        <f>SUM(C32:C34)</f>
        <v>0</v>
      </c>
      <c r="D31" s="214"/>
      <c r="E31" s="184">
        <f>SUM(E32:E34)</f>
        <v>0</v>
      </c>
      <c r="F31" s="529" t="s">
        <v>837</v>
      </c>
      <c r="G31" s="184">
        <f>SUM(G32:G34)</f>
        <v>8499</v>
      </c>
      <c r="H31" s="184">
        <f>SUM(H32:H34)</f>
        <v>4081</v>
      </c>
      <c r="I31" s="214">
        <f t="shared" si="0"/>
        <v>48.01741381338981</v>
      </c>
      <c r="J31" s="184">
        <f>SUM(J32:J34)</f>
        <v>863</v>
      </c>
    </row>
    <row r="32" spans="1:10" ht="25.5">
      <c r="A32" s="534" t="s">
        <v>838</v>
      </c>
      <c r="B32" s="192"/>
      <c r="C32" s="192"/>
      <c r="D32" s="194"/>
      <c r="E32" s="192">
        <f>C32-'[19]Marts'!C32</f>
        <v>0</v>
      </c>
      <c r="F32" s="534" t="s">
        <v>838</v>
      </c>
      <c r="G32" s="192">
        <v>6878</v>
      </c>
      <c r="H32" s="192">
        <v>3200</v>
      </c>
      <c r="I32" s="194">
        <f t="shared" si="0"/>
        <v>46.52515266065716</v>
      </c>
      <c r="J32" s="192">
        <f>H32-'[19]Maijs'!H32</f>
        <v>707</v>
      </c>
    </row>
    <row r="33" spans="1:10" ht="38.25">
      <c r="A33" s="534" t="s">
        <v>839</v>
      </c>
      <c r="B33" s="192"/>
      <c r="C33" s="192"/>
      <c r="D33" s="194"/>
      <c r="E33" s="192">
        <f>C33-'[19]Marts'!C33</f>
        <v>0</v>
      </c>
      <c r="F33" s="534" t="s">
        <v>839</v>
      </c>
      <c r="G33" s="192">
        <v>503</v>
      </c>
      <c r="H33" s="192">
        <v>243</v>
      </c>
      <c r="I33" s="194">
        <f t="shared" si="0"/>
        <v>48.31013916500994</v>
      </c>
      <c r="J33" s="192">
        <f>H33-'[19]Maijs'!H33</f>
        <v>49</v>
      </c>
    </row>
    <row r="34" spans="1:10" ht="12.75">
      <c r="A34" s="252" t="s">
        <v>840</v>
      </c>
      <c r="B34" s="192"/>
      <c r="C34" s="192"/>
      <c r="D34" s="194"/>
      <c r="E34" s="192">
        <f>C34-'[19]Marts'!C34</f>
        <v>0</v>
      </c>
      <c r="F34" s="252" t="s">
        <v>840</v>
      </c>
      <c r="G34" s="192">
        <v>1118</v>
      </c>
      <c r="H34" s="192">
        <v>638</v>
      </c>
      <c r="I34" s="194">
        <f t="shared" si="0"/>
        <v>57.066189624329155</v>
      </c>
      <c r="J34" s="192">
        <f>H34-'[19]Maijs'!H34</f>
        <v>107</v>
      </c>
    </row>
    <row r="35" spans="1:10" ht="12.75">
      <c r="A35" s="529" t="s">
        <v>841</v>
      </c>
      <c r="B35" s="192"/>
      <c r="C35" s="184">
        <f>SUM(C36:C38)</f>
        <v>0</v>
      </c>
      <c r="D35" s="214"/>
      <c r="E35" s="184">
        <f>SUM(E36:E38)</f>
        <v>0</v>
      </c>
      <c r="F35" s="529" t="s">
        <v>841</v>
      </c>
      <c r="G35" s="184">
        <f>SUM(G36:G38)</f>
        <v>108713</v>
      </c>
      <c r="H35" s="184">
        <f>SUM(H36:H38)</f>
        <v>65081</v>
      </c>
      <c r="I35" s="214">
        <f t="shared" si="0"/>
        <v>59.86496555149798</v>
      </c>
      <c r="J35" s="184">
        <f>SUM(J36:J38)</f>
        <v>19462</v>
      </c>
    </row>
    <row r="36" spans="1:10" ht="12.75">
      <c r="A36" s="252" t="s">
        <v>842</v>
      </c>
      <c r="B36" s="192"/>
      <c r="C36" s="192"/>
      <c r="D36" s="194"/>
      <c r="E36" s="192">
        <f>C36-'[19]Marts'!C36</f>
        <v>0</v>
      </c>
      <c r="F36" s="252" t="s">
        <v>842</v>
      </c>
      <c r="G36" s="192">
        <v>574</v>
      </c>
      <c r="H36" s="192">
        <v>134</v>
      </c>
      <c r="I36" s="194">
        <f t="shared" si="0"/>
        <v>23.34494773519164</v>
      </c>
      <c r="J36" s="192">
        <f>H36-'[19]Maijs'!H36</f>
        <v>27</v>
      </c>
    </row>
    <row r="37" spans="1:10" ht="12.75">
      <c r="A37" s="252" t="s">
        <v>843</v>
      </c>
      <c r="B37" s="192"/>
      <c r="C37" s="192"/>
      <c r="D37" s="194"/>
      <c r="E37" s="192">
        <f>C37-'[19]Marts'!C37</f>
        <v>0</v>
      </c>
      <c r="F37" s="252" t="s">
        <v>843</v>
      </c>
      <c r="G37" s="192">
        <v>108139</v>
      </c>
      <c r="H37" s="192">
        <v>64947</v>
      </c>
      <c r="I37" s="194">
        <f t="shared" si="0"/>
        <v>60.058813194129776</v>
      </c>
      <c r="J37" s="192">
        <f>H37-'[19]Maijs'!H37</f>
        <v>19435</v>
      </c>
    </row>
    <row r="38" spans="1:10" ht="21.75" customHeight="1">
      <c r="A38" s="533" t="s">
        <v>844</v>
      </c>
      <c r="B38" s="192"/>
      <c r="C38" s="192"/>
      <c r="D38" s="194"/>
      <c r="E38" s="192">
        <f>C38-'[19]Marts'!C38</f>
        <v>0</v>
      </c>
      <c r="F38" s="536" t="s">
        <v>844</v>
      </c>
      <c r="G38" s="192"/>
      <c r="H38" s="192"/>
      <c r="I38" s="214"/>
      <c r="J38" s="192"/>
    </row>
    <row r="39" spans="1:10" ht="38.25">
      <c r="A39" s="530" t="s">
        <v>845</v>
      </c>
      <c r="B39" s="192"/>
      <c r="C39" s="184">
        <f>SUM(C40:C42)</f>
        <v>0</v>
      </c>
      <c r="D39" s="184"/>
      <c r="E39" s="184">
        <f>SUM(E40:E42)</f>
        <v>0</v>
      </c>
      <c r="F39" s="537" t="s">
        <v>845</v>
      </c>
      <c r="G39" s="184">
        <f>SUM(G40:G42)</f>
        <v>34369</v>
      </c>
      <c r="H39" s="184">
        <f>SUM(H40:H42)</f>
        <v>17181</v>
      </c>
      <c r="I39" s="214">
        <f>H39/G39*100</f>
        <v>49.98981640431784</v>
      </c>
      <c r="J39" s="184">
        <f>SUM(J40:J42)</f>
        <v>2863</v>
      </c>
    </row>
    <row r="40" spans="1:10" ht="12.75" customHeight="1">
      <c r="A40" s="252" t="s">
        <v>842</v>
      </c>
      <c r="B40" s="192"/>
      <c r="C40" s="192"/>
      <c r="D40" s="194"/>
      <c r="E40" s="192">
        <f>C40-'[19]Marts'!C40</f>
        <v>0</v>
      </c>
      <c r="F40" s="252" t="s">
        <v>842</v>
      </c>
      <c r="G40" s="192">
        <v>34360</v>
      </c>
      <c r="H40" s="192">
        <v>17160</v>
      </c>
      <c r="I40" s="194">
        <f>H40/G40*100</f>
        <v>49.94179278230501</v>
      </c>
      <c r="J40" s="192">
        <f>H40-'[19]Maijs'!H40</f>
        <v>2860</v>
      </c>
    </row>
    <row r="41" spans="1:10" ht="12.75" customHeight="1" hidden="1">
      <c r="A41" s="252" t="s">
        <v>846</v>
      </c>
      <c r="B41" s="192"/>
      <c r="C41" s="192"/>
      <c r="D41" s="194"/>
      <c r="E41" s="192">
        <f>C41-'[19]Marts'!C41</f>
        <v>0</v>
      </c>
      <c r="F41" s="252" t="s">
        <v>846</v>
      </c>
      <c r="G41" s="192"/>
      <c r="H41" s="192"/>
      <c r="I41" s="194" t="e">
        <f>H41/G41*100</f>
        <v>#DIV/0!</v>
      </c>
      <c r="J41" s="192">
        <f>H41-'[19]Maijs'!H41</f>
        <v>0</v>
      </c>
    </row>
    <row r="42" spans="1:10" ht="12.75" customHeight="1">
      <c r="A42" s="252" t="s">
        <v>847</v>
      </c>
      <c r="B42" s="192"/>
      <c r="C42" s="192"/>
      <c r="D42" s="194"/>
      <c r="E42" s="192">
        <f>C42-'[19]Marts'!C42</f>
        <v>0</v>
      </c>
      <c r="F42" s="252" t="s">
        <v>848</v>
      </c>
      <c r="G42" s="192">
        <v>9</v>
      </c>
      <c r="H42" s="192">
        <f>21</f>
        <v>21</v>
      </c>
      <c r="I42" s="194">
        <f>H42/G42*100</f>
        <v>233.33333333333334</v>
      </c>
      <c r="J42" s="192">
        <f>H42-'[19]Maijs'!H42</f>
        <v>3</v>
      </c>
    </row>
    <row r="43" spans="1:10" ht="12.75">
      <c r="A43" s="529" t="s">
        <v>849</v>
      </c>
      <c r="B43" s="538"/>
      <c r="C43" s="192"/>
      <c r="D43" s="194"/>
      <c r="E43" s="192">
        <f>C43-'[19]Marts'!C43</f>
        <v>0</v>
      </c>
      <c r="F43" s="529" t="s">
        <v>849</v>
      </c>
      <c r="G43" s="184">
        <v>1034</v>
      </c>
      <c r="H43" s="184">
        <f>729</f>
        <v>729</v>
      </c>
      <c r="I43" s="214">
        <f>H43/G43*100</f>
        <v>70.50290135396519</v>
      </c>
      <c r="J43" s="184">
        <f>H43-'[19]Maijs'!H43</f>
        <v>149</v>
      </c>
    </row>
    <row r="44" spans="1:10" ht="12.75">
      <c r="A44" s="539" t="s">
        <v>850</v>
      </c>
      <c r="B44" s="540"/>
      <c r="C44" s="3" t="s">
        <v>851</v>
      </c>
      <c r="D44" s="541"/>
      <c r="E44" s="192"/>
      <c r="F44" s="849" t="s">
        <v>159</v>
      </c>
      <c r="G44" s="850"/>
      <c r="H44" s="850"/>
      <c r="I44" s="541"/>
      <c r="J44" s="542"/>
    </row>
    <row r="45" spans="1:10" ht="12.75">
      <c r="A45" s="539"/>
      <c r="B45" s="515"/>
      <c r="C45" s="515"/>
      <c r="D45" s="515"/>
      <c r="E45" s="542"/>
      <c r="F45" s="851" t="s">
        <v>160</v>
      </c>
      <c r="G45" s="851"/>
      <c r="H45" s="851"/>
      <c r="I45" s="515"/>
      <c r="J45" s="542"/>
    </row>
    <row r="47" s="1" customFormat="1" ht="17.25" customHeight="1">
      <c r="A47" s="49"/>
    </row>
    <row r="48" spans="1:10" ht="17.25" customHeight="1">
      <c r="A48" s="41" t="s">
        <v>456</v>
      </c>
      <c r="B48" s="39"/>
      <c r="C48" s="39"/>
      <c r="D48" s="39" t="s">
        <v>457</v>
      </c>
      <c r="E48" s="1"/>
      <c r="F48" s="41" t="s">
        <v>161</v>
      </c>
      <c r="G48" s="39"/>
      <c r="H48" s="39"/>
      <c r="I48" s="39" t="s">
        <v>376</v>
      </c>
      <c r="J48" s="1"/>
    </row>
    <row r="49" spans="1:10" s="1" customFormat="1" ht="17.25" customHeight="1">
      <c r="A49" s="515"/>
      <c r="B49" s="515"/>
      <c r="C49" s="515"/>
      <c r="D49" s="515"/>
      <c r="E49" s="513"/>
      <c r="F49" s="515"/>
      <c r="G49" s="515"/>
      <c r="H49" s="515"/>
      <c r="I49" s="515"/>
      <c r="J49" s="513"/>
    </row>
    <row r="50" spans="2:9" ht="17.25" customHeight="1">
      <c r="B50" s="515"/>
      <c r="C50" s="515"/>
      <c r="D50" s="515"/>
      <c r="G50" s="515"/>
      <c r="H50" s="515"/>
      <c r="I50" s="515"/>
    </row>
    <row r="51" spans="1:9" s="541" customFormat="1" ht="12.75">
      <c r="A51" s="543"/>
      <c r="C51" s="33"/>
      <c r="D51" s="493"/>
      <c r="F51" s="49" t="s">
        <v>236</v>
      </c>
      <c r="H51" s="33"/>
      <c r="I51" s="493"/>
    </row>
    <row r="52" spans="2:9" ht="12.75">
      <c r="B52" s="541"/>
      <c r="C52" s="541"/>
      <c r="D52" s="541"/>
      <c r="F52" s="49" t="s">
        <v>530</v>
      </c>
      <c r="G52" s="541"/>
      <c r="H52" s="541"/>
      <c r="I52" s="541"/>
    </row>
    <row r="53" spans="1:9" s="541" customFormat="1" ht="17.25" customHeight="1">
      <c r="A53" s="543"/>
      <c r="C53" s="33"/>
      <c r="D53" s="493"/>
      <c r="F53" s="543"/>
      <c r="H53" s="33"/>
      <c r="I53" s="493"/>
    </row>
    <row r="54" spans="2:9" ht="17.25" customHeight="1">
      <c r="B54" s="541"/>
      <c r="C54" s="541"/>
      <c r="D54" s="541"/>
      <c r="G54" s="541"/>
      <c r="H54" s="541"/>
      <c r="I54" s="541"/>
    </row>
    <row r="55" spans="2:8" ht="17.25" customHeight="1">
      <c r="B55" s="544"/>
      <c r="C55" s="33"/>
      <c r="G55" s="544"/>
      <c r="H55" s="33"/>
    </row>
    <row r="56" spans="2:8" ht="17.25" customHeight="1">
      <c r="B56" s="544"/>
      <c r="C56" s="38"/>
      <c r="G56" s="544"/>
      <c r="H56" s="38"/>
    </row>
    <row r="58" spans="2:8" ht="17.25" customHeight="1">
      <c r="B58" s="544"/>
      <c r="C58" s="1"/>
      <c r="G58" s="544"/>
      <c r="H58" s="1"/>
    </row>
    <row r="59" spans="2:8" ht="17.25" customHeight="1">
      <c r="B59" s="544"/>
      <c r="C59" s="1"/>
      <c r="G59" s="544"/>
      <c r="H59" s="1"/>
    </row>
  </sheetData>
  <mergeCells count="2">
    <mergeCell ref="F44:H44"/>
    <mergeCell ref="F45:H45"/>
  </mergeCells>
  <printOptions/>
  <pageMargins left="0.75" right="0.75" top="0.25" bottom="0.2" header="0.5" footer="0.5"/>
  <pageSetup firstPageNumber="33" useFirstPageNumber="1" fitToHeight="1" fitToWidth="1" horizontalDpi="600" verticalDpi="600" orientation="portrait" paperSize="9" scale="98" r:id="rId3"/>
  <headerFooter alignWithMargins="0">
    <oddFooter>&amp;R&amp;9&amp;P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F1">
      <selection activeCell="F5" sqref="F5:J5"/>
    </sheetView>
  </sheetViews>
  <sheetFormatPr defaultColWidth="9.140625" defaultRowHeight="17.25" customHeight="1"/>
  <cols>
    <col min="1" max="1" width="45.57421875" style="515" hidden="1" customWidth="1"/>
    <col min="2" max="2" width="10.8515625" style="560" hidden="1" customWidth="1"/>
    <col min="3" max="3" width="11.28125" style="493" hidden="1" customWidth="1"/>
    <col min="4" max="4" width="12.140625" style="493" hidden="1" customWidth="1"/>
    <col min="5" max="5" width="12.8515625" style="493" hidden="1" customWidth="1"/>
    <col min="6" max="6" width="45.57421875" style="515" customWidth="1"/>
    <col min="7" max="7" width="10.8515625" style="560" customWidth="1"/>
    <col min="8" max="8" width="11.28125" style="493" customWidth="1"/>
    <col min="9" max="9" width="12.140625" style="493" customWidth="1"/>
    <col min="10" max="10" width="12.8515625" style="493" customWidth="1"/>
    <col min="11" max="16384" width="9.140625" style="493" customWidth="1"/>
  </cols>
  <sheetData>
    <row r="1" spans="2:10" ht="17.25" customHeight="1">
      <c r="B1" s="516"/>
      <c r="C1" s="51"/>
      <c r="D1" s="51"/>
      <c r="E1" s="51" t="s">
        <v>852</v>
      </c>
      <c r="G1" s="516"/>
      <c r="H1" s="51"/>
      <c r="I1" s="51"/>
      <c r="J1" s="51" t="s">
        <v>852</v>
      </c>
    </row>
    <row r="2" spans="1:10" ht="17.25" customHeight="1">
      <c r="A2" s="853" t="s">
        <v>853</v>
      </c>
      <c r="B2" s="853"/>
      <c r="C2" s="853"/>
      <c r="D2" s="853"/>
      <c r="E2" s="853"/>
      <c r="F2" s="853" t="s">
        <v>337</v>
      </c>
      <c r="G2" s="853"/>
      <c r="H2" s="853"/>
      <c r="I2" s="853"/>
      <c r="J2" s="853"/>
    </row>
    <row r="3" spans="1:10" s="38" customFormat="1" ht="17.25" customHeight="1">
      <c r="A3" s="516"/>
      <c r="B3" s="546"/>
      <c r="C3" s="89"/>
      <c r="D3" s="89"/>
      <c r="E3" s="89"/>
      <c r="F3" s="516"/>
      <c r="G3" s="546"/>
      <c r="H3" s="89"/>
      <c r="I3" s="89"/>
      <c r="J3" s="89"/>
    </row>
    <row r="4" spans="1:10" ht="17.25" customHeight="1">
      <c r="A4" s="852" t="s">
        <v>854</v>
      </c>
      <c r="B4" s="852"/>
      <c r="C4" s="852"/>
      <c r="D4" s="852"/>
      <c r="E4" s="852"/>
      <c r="F4" s="852" t="s">
        <v>854</v>
      </c>
      <c r="G4" s="852"/>
      <c r="H4" s="852"/>
      <c r="I4" s="852"/>
      <c r="J4" s="852"/>
    </row>
    <row r="5" spans="1:10" s="519" customFormat="1" ht="17.25" customHeight="1">
      <c r="A5" s="852" t="s">
        <v>855</v>
      </c>
      <c r="B5" s="852"/>
      <c r="C5" s="852"/>
      <c r="D5" s="852"/>
      <c r="E5" s="852"/>
      <c r="F5" s="853" t="s">
        <v>525</v>
      </c>
      <c r="G5" s="853"/>
      <c r="H5" s="853"/>
      <c r="I5" s="853"/>
      <c r="J5" s="853"/>
    </row>
    <row r="6" spans="2:10" ht="17.25" customHeight="1">
      <c r="B6" s="548"/>
      <c r="C6" s="38"/>
      <c r="D6" s="89"/>
      <c r="E6" s="51" t="s">
        <v>548</v>
      </c>
      <c r="G6" s="548"/>
      <c r="H6" s="38"/>
      <c r="I6" s="89" t="s">
        <v>856</v>
      </c>
      <c r="J6" s="51"/>
    </row>
    <row r="7" spans="1:10" s="38" customFormat="1" ht="33.75">
      <c r="A7" s="549" t="s">
        <v>193</v>
      </c>
      <c r="B7" s="526" t="s">
        <v>761</v>
      </c>
      <c r="C7" s="526" t="s">
        <v>242</v>
      </c>
      <c r="D7" s="526" t="s">
        <v>813</v>
      </c>
      <c r="E7" s="9" t="s">
        <v>464</v>
      </c>
      <c r="F7" s="549" t="s">
        <v>193</v>
      </c>
      <c r="G7" s="526" t="s">
        <v>761</v>
      </c>
      <c r="H7" s="526" t="s">
        <v>242</v>
      </c>
      <c r="I7" s="526" t="s">
        <v>813</v>
      </c>
      <c r="J7" s="9" t="s">
        <v>317</v>
      </c>
    </row>
    <row r="8" spans="1:10" ht="17.25" customHeight="1">
      <c r="A8" s="527" t="s">
        <v>814</v>
      </c>
      <c r="B8" s="528" t="s">
        <v>857</v>
      </c>
      <c r="C8" s="528" t="s">
        <v>858</v>
      </c>
      <c r="D8" s="528" t="s">
        <v>859</v>
      </c>
      <c r="E8" s="528" t="s">
        <v>815</v>
      </c>
      <c r="F8" s="527" t="s">
        <v>814</v>
      </c>
      <c r="G8" s="528" t="s">
        <v>857</v>
      </c>
      <c r="H8" s="528" t="s">
        <v>858</v>
      </c>
      <c r="I8" s="528" t="s">
        <v>859</v>
      </c>
      <c r="J8" s="528" t="s">
        <v>815</v>
      </c>
    </row>
    <row r="9" spans="1:10" ht="17.25" customHeight="1">
      <c r="A9" s="530" t="s">
        <v>860</v>
      </c>
      <c r="B9" s="184">
        <f>SUM(B10,B29)</f>
        <v>0</v>
      </c>
      <c r="C9" s="184">
        <f>SUM(C10,C29)</f>
        <v>0</v>
      </c>
      <c r="D9" s="214"/>
      <c r="E9" s="184">
        <f>SUM(E10,E29)</f>
        <v>0</v>
      </c>
      <c r="F9" s="530" t="s">
        <v>860</v>
      </c>
      <c r="G9" s="184">
        <f>SUM(G10,G29)</f>
        <v>468236</v>
      </c>
      <c r="H9" s="184">
        <f>SUM(H10,H29)</f>
        <v>238229</v>
      </c>
      <c r="I9" s="214">
        <f aca="true" t="shared" si="0" ref="I9:I35">H9/G9*100</f>
        <v>50.87797606335267</v>
      </c>
      <c r="J9" s="184">
        <f>SUM(J10,J29)</f>
        <v>48485</v>
      </c>
    </row>
    <row r="10" spans="1:10" s="49" customFormat="1" ht="17.25" customHeight="1">
      <c r="A10" s="550" t="s">
        <v>861</v>
      </c>
      <c r="B10" s="184">
        <f>SUM(B11:B27)</f>
        <v>0</v>
      </c>
      <c r="C10" s="184">
        <f>SUM(C11:C27)</f>
        <v>0</v>
      </c>
      <c r="D10" s="214"/>
      <c r="E10" s="184">
        <f>SUM(E11:E27)</f>
        <v>0</v>
      </c>
      <c r="F10" s="550" t="s">
        <v>861</v>
      </c>
      <c r="G10" s="184">
        <f>SUM(G11:G27)</f>
        <v>431242</v>
      </c>
      <c r="H10" s="184">
        <f>SUM(H11:H27)</f>
        <v>220413</v>
      </c>
      <c r="I10" s="214">
        <f t="shared" si="0"/>
        <v>51.11120901952964</v>
      </c>
      <c r="J10" s="184">
        <f>SUM(J11:J27)</f>
        <v>45345</v>
      </c>
    </row>
    <row r="11" spans="1:10" s="1" customFormat="1" ht="17.25" customHeight="1">
      <c r="A11" s="534" t="s">
        <v>862</v>
      </c>
      <c r="B11" s="192"/>
      <c r="C11" s="192"/>
      <c r="D11" s="194"/>
      <c r="E11" s="192">
        <f>C11-'[21]Marts'!C11</f>
        <v>0</v>
      </c>
      <c r="F11" s="534" t="s">
        <v>862</v>
      </c>
      <c r="G11" s="192">
        <v>46980</v>
      </c>
      <c r="H11" s="192">
        <v>23177</v>
      </c>
      <c r="I11" s="214">
        <f t="shared" si="0"/>
        <v>49.333759046402726</v>
      </c>
      <c r="J11" s="192">
        <f>H11-'[21]Maijs'!H11</f>
        <v>3839</v>
      </c>
    </row>
    <row r="12" spans="1:10" s="1" customFormat="1" ht="17.25" customHeight="1">
      <c r="A12" s="534" t="s">
        <v>523</v>
      </c>
      <c r="B12" s="192"/>
      <c r="C12" s="192"/>
      <c r="D12" s="194"/>
      <c r="E12" s="192">
        <f>C12-'[21]Marts'!C12</f>
        <v>0</v>
      </c>
      <c r="F12" s="534" t="s">
        <v>523</v>
      </c>
      <c r="G12" s="192">
        <v>143</v>
      </c>
      <c r="H12" s="192">
        <v>510</v>
      </c>
      <c r="I12" s="214">
        <f t="shared" si="0"/>
        <v>356.64335664335664</v>
      </c>
      <c r="J12" s="192">
        <f>H12-'[21]Maijs'!H12</f>
        <v>456</v>
      </c>
    </row>
    <row r="13" spans="1:10" s="1" customFormat="1" ht="17.25" customHeight="1">
      <c r="A13" s="534" t="s">
        <v>524</v>
      </c>
      <c r="B13" s="192"/>
      <c r="C13" s="192"/>
      <c r="D13" s="194"/>
      <c r="E13" s="192">
        <f>C13-'[21]Marts'!C13</f>
        <v>0</v>
      </c>
      <c r="F13" s="534" t="s">
        <v>524</v>
      </c>
      <c r="G13" s="192">
        <v>6242</v>
      </c>
      <c r="H13" s="192">
        <v>2957</v>
      </c>
      <c r="I13" s="214">
        <f t="shared" si="0"/>
        <v>47.37263697532842</v>
      </c>
      <c r="J13" s="192">
        <f>H13-'[21]Maijs'!H13</f>
        <v>514</v>
      </c>
    </row>
    <row r="14" spans="1:10" s="1" customFormat="1" ht="17.25" customHeight="1">
      <c r="A14" s="534" t="s">
        <v>531</v>
      </c>
      <c r="B14" s="192"/>
      <c r="C14" s="192"/>
      <c r="D14" s="194"/>
      <c r="E14" s="192">
        <f>C14-'[21]Marts'!C14</f>
        <v>0</v>
      </c>
      <c r="F14" s="534" t="s">
        <v>531</v>
      </c>
      <c r="G14" s="192">
        <v>217523</v>
      </c>
      <c r="H14" s="192">
        <v>109670</v>
      </c>
      <c r="I14" s="214">
        <f t="shared" si="0"/>
        <v>50.41765698339946</v>
      </c>
      <c r="J14" s="192">
        <f>H14-'[21]Maijs'!H14</f>
        <v>26697</v>
      </c>
    </row>
    <row r="15" spans="1:10" s="1" customFormat="1" ht="17.25" customHeight="1">
      <c r="A15" s="534" t="s">
        <v>532</v>
      </c>
      <c r="B15" s="192"/>
      <c r="C15" s="192"/>
      <c r="D15" s="194"/>
      <c r="E15" s="192">
        <f>C15-'[21]Marts'!C15</f>
        <v>0</v>
      </c>
      <c r="F15" s="534" t="s">
        <v>532</v>
      </c>
      <c r="G15" s="192">
        <v>5049</v>
      </c>
      <c r="H15" s="192">
        <v>3304</v>
      </c>
      <c r="I15" s="214">
        <f t="shared" si="0"/>
        <v>65.43870073281838</v>
      </c>
      <c r="J15" s="192">
        <f>H15-'[21]Maijs'!H15</f>
        <v>564</v>
      </c>
    </row>
    <row r="16" spans="1:10" s="1" customFormat="1" ht="17.25" customHeight="1">
      <c r="A16" s="534" t="s">
        <v>533</v>
      </c>
      <c r="B16" s="192"/>
      <c r="C16" s="192"/>
      <c r="D16" s="194"/>
      <c r="E16" s="192">
        <f>C16-'[21]Marts'!C16</f>
        <v>0</v>
      </c>
      <c r="F16" s="534" t="s">
        <v>533</v>
      </c>
      <c r="G16" s="192">
        <v>36534</v>
      </c>
      <c r="H16" s="192">
        <v>18525</v>
      </c>
      <c r="I16" s="214">
        <f t="shared" si="0"/>
        <v>50.706191492855964</v>
      </c>
      <c r="J16" s="192">
        <f>H16-'[21]Maijs'!H16</f>
        <v>2809</v>
      </c>
    </row>
    <row r="17" spans="1:10" s="1" customFormat="1" ht="17.25" customHeight="1">
      <c r="A17" s="534" t="s">
        <v>534</v>
      </c>
      <c r="B17" s="192"/>
      <c r="C17" s="192"/>
      <c r="D17" s="194"/>
      <c r="E17" s="192">
        <f>C17-'[21]Marts'!C17</f>
        <v>0</v>
      </c>
      <c r="F17" s="534" t="s">
        <v>534</v>
      </c>
      <c r="G17" s="192">
        <v>60463</v>
      </c>
      <c r="H17" s="192">
        <v>34304</v>
      </c>
      <c r="I17" s="214">
        <f t="shared" si="0"/>
        <v>56.735524204885635</v>
      </c>
      <c r="J17" s="192">
        <f>H17-'[21]Maijs'!H17</f>
        <v>5330</v>
      </c>
    </row>
    <row r="18" spans="1:10" s="1" customFormat="1" ht="17.25" customHeight="1">
      <c r="A18" s="534" t="s">
        <v>727</v>
      </c>
      <c r="B18" s="192"/>
      <c r="C18" s="192"/>
      <c r="D18" s="194"/>
      <c r="E18" s="192">
        <f>C18-'[21]Marts'!C18</f>
        <v>0</v>
      </c>
      <c r="F18" s="534" t="s">
        <v>727</v>
      </c>
      <c r="G18" s="192">
        <v>37532</v>
      </c>
      <c r="H18" s="192">
        <v>17387</v>
      </c>
      <c r="I18" s="214">
        <f t="shared" si="0"/>
        <v>46.32580198230843</v>
      </c>
      <c r="J18" s="192">
        <f>H18-'[21]Maijs'!H18</f>
        <v>3821</v>
      </c>
    </row>
    <row r="19" spans="1:10" s="1" customFormat="1" ht="17.25" customHeight="1">
      <c r="A19" s="534" t="s">
        <v>536</v>
      </c>
      <c r="B19" s="192"/>
      <c r="C19" s="192"/>
      <c r="D19" s="194"/>
      <c r="E19" s="192">
        <f>C19-'[21]Marts'!C19</f>
        <v>0</v>
      </c>
      <c r="F19" s="534" t="s">
        <v>536</v>
      </c>
      <c r="G19" s="192">
        <v>725</v>
      </c>
      <c r="H19" s="192">
        <v>264</v>
      </c>
      <c r="I19" s="214">
        <f t="shared" si="0"/>
        <v>36.41379310344828</v>
      </c>
      <c r="J19" s="192">
        <f>H19-'[21]Maijs'!H19</f>
        <v>18</v>
      </c>
    </row>
    <row r="20" spans="1:10" s="1" customFormat="1" ht="25.5">
      <c r="A20" s="534" t="s">
        <v>730</v>
      </c>
      <c r="B20" s="192"/>
      <c r="C20" s="192"/>
      <c r="D20" s="194"/>
      <c r="E20" s="192">
        <f>C20-'[21]Marts'!C20</f>
        <v>0</v>
      </c>
      <c r="F20" s="534" t="s">
        <v>730</v>
      </c>
      <c r="G20" s="192">
        <v>1741</v>
      </c>
      <c r="H20" s="192">
        <v>745</v>
      </c>
      <c r="I20" s="214">
        <f t="shared" si="0"/>
        <v>42.79149913842619</v>
      </c>
      <c r="J20" s="192">
        <f>H20-'[21]Maijs'!H20</f>
        <v>143</v>
      </c>
    </row>
    <row r="21" spans="1:10" s="1" customFormat="1" ht="25.5">
      <c r="A21" s="534" t="s">
        <v>538</v>
      </c>
      <c r="B21" s="192"/>
      <c r="C21" s="192"/>
      <c r="D21" s="194"/>
      <c r="E21" s="192">
        <f>C21-'[21]Marts'!C21</f>
        <v>0</v>
      </c>
      <c r="F21" s="534" t="s">
        <v>538</v>
      </c>
      <c r="G21" s="192">
        <v>38</v>
      </c>
      <c r="H21" s="192">
        <v>17</v>
      </c>
      <c r="I21" s="214">
        <f t="shared" si="0"/>
        <v>44.73684210526316</v>
      </c>
      <c r="J21" s="192">
        <f>H21-'[21]Maijs'!H21</f>
        <v>2</v>
      </c>
    </row>
    <row r="22" spans="1:10" s="1" customFormat="1" ht="17.25" customHeight="1">
      <c r="A22" s="534" t="s">
        <v>863</v>
      </c>
      <c r="B22" s="66"/>
      <c r="C22" s="192"/>
      <c r="D22" s="194"/>
      <c r="E22" s="192">
        <f>C22-'[21]Marts'!C22</f>
        <v>0</v>
      </c>
      <c r="F22" s="534" t="s">
        <v>863</v>
      </c>
      <c r="G22" s="66">
        <v>8409</v>
      </c>
      <c r="H22" s="192">
        <v>5878</v>
      </c>
      <c r="I22" s="214">
        <f t="shared" si="0"/>
        <v>69.90129623022952</v>
      </c>
      <c r="J22" s="192">
        <f>H22-'[21]Maijs'!H22</f>
        <v>818</v>
      </c>
    </row>
    <row r="23" spans="1:10" s="1" customFormat="1" ht="17.25" customHeight="1">
      <c r="A23" s="534" t="s">
        <v>540</v>
      </c>
      <c r="B23" s="192"/>
      <c r="C23" s="192"/>
      <c r="D23" s="194"/>
      <c r="E23" s="192">
        <f>C23-'[21]Marts'!C23</f>
        <v>0</v>
      </c>
      <c r="F23" s="534" t="s">
        <v>540</v>
      </c>
      <c r="G23" s="192">
        <v>1324</v>
      </c>
      <c r="H23" s="192">
        <v>657</v>
      </c>
      <c r="I23" s="214">
        <f t="shared" si="0"/>
        <v>49.62235649546828</v>
      </c>
      <c r="J23" s="192">
        <f>H23-'[21]Maijs'!H23</f>
        <v>126</v>
      </c>
    </row>
    <row r="24" spans="1:10" s="1" customFormat="1" ht="17.25" customHeight="1">
      <c r="A24" s="534" t="s">
        <v>864</v>
      </c>
      <c r="B24" s="192"/>
      <c r="C24" s="192"/>
      <c r="D24" s="194"/>
      <c r="E24" s="192">
        <f>C24-'[21]Marts'!C24</f>
        <v>0</v>
      </c>
      <c r="F24" s="534" t="s">
        <v>864</v>
      </c>
      <c r="G24" s="192">
        <v>3461</v>
      </c>
      <c r="H24" s="192">
        <v>1657</v>
      </c>
      <c r="I24" s="214">
        <f t="shared" si="0"/>
        <v>47.87633631898295</v>
      </c>
      <c r="J24" s="192">
        <f>H24-'[21]Maijs'!H24</f>
        <v>-27</v>
      </c>
    </row>
    <row r="25" spans="1:10" s="1" customFormat="1" ht="17.25" customHeight="1">
      <c r="A25" s="534" t="s">
        <v>865</v>
      </c>
      <c r="B25" s="192"/>
      <c r="C25" s="192"/>
      <c r="D25" s="194"/>
      <c r="E25" s="192">
        <f>C25-'[21]Marts'!C25</f>
        <v>0</v>
      </c>
      <c r="F25" s="534" t="s">
        <v>865</v>
      </c>
      <c r="G25" s="192">
        <v>969</v>
      </c>
      <c r="H25" s="192">
        <v>376</v>
      </c>
      <c r="I25" s="214">
        <f t="shared" si="0"/>
        <v>38.80288957688339</v>
      </c>
      <c r="J25" s="192">
        <f>H25-'[21]Maijs'!H25</f>
        <v>36</v>
      </c>
    </row>
    <row r="26" spans="1:10" s="1" customFormat="1" ht="17.25" customHeight="1">
      <c r="A26" s="534" t="s">
        <v>866</v>
      </c>
      <c r="B26" s="192"/>
      <c r="C26" s="192"/>
      <c r="D26" s="194"/>
      <c r="E26" s="192">
        <f>C26-'[21]Marts'!C26</f>
        <v>0</v>
      </c>
      <c r="F26" s="534" t="s">
        <v>866</v>
      </c>
      <c r="G26" s="192">
        <v>2508</v>
      </c>
      <c r="H26" s="192">
        <v>13</v>
      </c>
      <c r="I26" s="214">
        <f t="shared" si="0"/>
        <v>0.518341307814992</v>
      </c>
      <c r="J26" s="192">
        <f>H26-'[21]Maijs'!H26</f>
        <v>3</v>
      </c>
    </row>
    <row r="27" spans="1:10" s="1" customFormat="1" ht="18.75" customHeight="1">
      <c r="A27" s="69" t="s">
        <v>541</v>
      </c>
      <c r="B27" s="251"/>
      <c r="C27" s="252"/>
      <c r="D27" s="252"/>
      <c r="E27" s="192">
        <f>C27-'[21]Marts'!C27</f>
        <v>0</v>
      </c>
      <c r="F27" s="69" t="s">
        <v>541</v>
      </c>
      <c r="G27" s="192">
        <v>1601</v>
      </c>
      <c r="H27" s="192">
        <f>974-2</f>
        <v>972</v>
      </c>
      <c r="I27" s="214">
        <f t="shared" si="0"/>
        <v>60.712054965646466</v>
      </c>
      <c r="J27" s="192">
        <f>H27-'[21]Maijs'!H27</f>
        <v>196</v>
      </c>
    </row>
    <row r="28" spans="1:10" s="1" customFormat="1" ht="17.25" customHeight="1" hidden="1">
      <c r="A28" s="60" t="s">
        <v>394</v>
      </c>
      <c r="B28" s="257"/>
      <c r="C28" s="258"/>
      <c r="D28" s="258"/>
      <c r="E28" s="192">
        <f>C28-'[21]Marts'!C28</f>
        <v>0</v>
      </c>
      <c r="F28" s="60" t="s">
        <v>394</v>
      </c>
      <c r="G28" s="257"/>
      <c r="H28" s="258"/>
      <c r="I28" s="214" t="e">
        <f t="shared" si="0"/>
        <v>#DIV/0!</v>
      </c>
      <c r="J28" s="192">
        <f>H28-'[21]Maijs'!H28</f>
        <v>0</v>
      </c>
    </row>
    <row r="29" spans="1:10" s="1" customFormat="1" ht="12.75">
      <c r="A29" s="550" t="s">
        <v>867</v>
      </c>
      <c r="B29" s="184">
        <f>SUM(B30,B34)</f>
        <v>0</v>
      </c>
      <c r="C29" s="184">
        <f>SUM(C30,C34)</f>
        <v>0</v>
      </c>
      <c r="D29" s="214"/>
      <c r="E29" s="192">
        <f>SUM(E30,E34)</f>
        <v>0</v>
      </c>
      <c r="F29" s="550" t="s">
        <v>867</v>
      </c>
      <c r="G29" s="184">
        <f>SUM(G30,G34)</f>
        <v>36994</v>
      </c>
      <c r="H29" s="184">
        <f>SUM(H30,H34)</f>
        <v>17816</v>
      </c>
      <c r="I29" s="214">
        <f t="shared" si="0"/>
        <v>48.15916094501811</v>
      </c>
      <c r="J29" s="184">
        <f>SUM(J30,J34)</f>
        <v>3140</v>
      </c>
    </row>
    <row r="30" spans="1:10" s="1" customFormat="1" ht="12.75">
      <c r="A30" s="530" t="s">
        <v>837</v>
      </c>
      <c r="B30" s="192">
        <f>SUM(B31:B33)</f>
        <v>0</v>
      </c>
      <c r="C30" s="192">
        <f>SUM(C31:C33)</f>
        <v>0</v>
      </c>
      <c r="D30" s="194"/>
      <c r="E30" s="192">
        <f>SUM(E31:E33)</f>
        <v>0</v>
      </c>
      <c r="F30" s="530" t="s">
        <v>837</v>
      </c>
      <c r="G30" s="184">
        <f>SUM(G31:G33)</f>
        <v>9786</v>
      </c>
      <c r="H30" s="184">
        <f>SUM(H31:H33)</f>
        <v>4369</v>
      </c>
      <c r="I30" s="214">
        <f t="shared" si="0"/>
        <v>44.64541181279379</v>
      </c>
      <c r="J30" s="184">
        <f>SUM(J31:J33)</f>
        <v>895</v>
      </c>
    </row>
    <row r="31" spans="1:10" s="1" customFormat="1" ht="25.5">
      <c r="A31" s="551" t="s">
        <v>868</v>
      </c>
      <c r="B31" s="192"/>
      <c r="C31" s="192"/>
      <c r="D31" s="194"/>
      <c r="E31" s="192">
        <f>C31-'[21]Marts'!C31</f>
        <v>0</v>
      </c>
      <c r="F31" s="551" t="s">
        <v>868</v>
      </c>
      <c r="G31" s="192">
        <v>8321</v>
      </c>
      <c r="H31" s="192">
        <v>3672</v>
      </c>
      <c r="I31" s="214">
        <f t="shared" si="0"/>
        <v>44.12931138084365</v>
      </c>
      <c r="J31" s="192">
        <f>H31-'[21]Maijs'!H31</f>
        <v>770</v>
      </c>
    </row>
    <row r="32" spans="1:10" s="1" customFormat="1" ht="25.5">
      <c r="A32" s="551" t="s">
        <v>869</v>
      </c>
      <c r="B32" s="192"/>
      <c r="C32" s="192"/>
      <c r="D32" s="194"/>
      <c r="E32" s="192">
        <f>C32-'[21]Marts'!C32</f>
        <v>0</v>
      </c>
      <c r="F32" s="551" t="s">
        <v>869</v>
      </c>
      <c r="G32" s="192">
        <v>748</v>
      </c>
      <c r="H32" s="192">
        <v>338</v>
      </c>
      <c r="I32" s="214">
        <f t="shared" si="0"/>
        <v>45.18716577540107</v>
      </c>
      <c r="J32" s="192">
        <f>H32-'[21]Maijs'!H32</f>
        <v>64</v>
      </c>
    </row>
    <row r="33" spans="1:10" s="1" customFormat="1" ht="12.75">
      <c r="A33" s="551" t="s">
        <v>840</v>
      </c>
      <c r="B33" s="192"/>
      <c r="C33" s="192"/>
      <c r="D33" s="194"/>
      <c r="E33" s="192">
        <f>C33-'[21]Marts'!C33</f>
        <v>0</v>
      </c>
      <c r="F33" s="551" t="s">
        <v>840</v>
      </c>
      <c r="G33" s="192">
        <v>717</v>
      </c>
      <c r="H33" s="192">
        <f>361-2</f>
        <v>359</v>
      </c>
      <c r="I33" s="214">
        <f t="shared" si="0"/>
        <v>50.0697350069735</v>
      </c>
      <c r="J33" s="192">
        <f>H33-'[21]Maijs'!H33</f>
        <v>61</v>
      </c>
    </row>
    <row r="34" spans="1:10" s="1" customFormat="1" ht="25.5">
      <c r="A34" s="530" t="s">
        <v>870</v>
      </c>
      <c r="B34" s="184">
        <f>SUM(B35:B36)</f>
        <v>0</v>
      </c>
      <c r="C34" s="184">
        <f>SUM(C35:C36)</f>
        <v>0</v>
      </c>
      <c r="D34" s="214"/>
      <c r="E34" s="184">
        <f>SUM(E35:E36)</f>
        <v>0</v>
      </c>
      <c r="F34" s="530" t="s">
        <v>870</v>
      </c>
      <c r="G34" s="184">
        <f>SUM(G35:G36)</f>
        <v>27208</v>
      </c>
      <c r="H34" s="184">
        <f>SUM(H35:H36)</f>
        <v>13447</v>
      </c>
      <c r="I34" s="214">
        <f t="shared" si="0"/>
        <v>49.422963834166424</v>
      </c>
      <c r="J34" s="184">
        <f>SUM(J35:J36)</f>
        <v>2245</v>
      </c>
    </row>
    <row r="35" spans="1:10" s="1" customFormat="1" ht="12.75">
      <c r="A35" s="534" t="s">
        <v>871</v>
      </c>
      <c r="B35" s="192"/>
      <c r="C35" s="192"/>
      <c r="D35" s="194"/>
      <c r="E35" s="192">
        <f>C35-'[21]Marts'!C35</f>
        <v>0</v>
      </c>
      <c r="F35" s="534" t="s">
        <v>871</v>
      </c>
      <c r="G35" s="192">
        <v>27208</v>
      </c>
      <c r="H35" s="192">
        <v>13447</v>
      </c>
      <c r="I35" s="214">
        <f t="shared" si="0"/>
        <v>49.422963834166424</v>
      </c>
      <c r="J35" s="192">
        <f>H35-'[21]Maijs'!H35</f>
        <v>2245</v>
      </c>
    </row>
    <row r="36" spans="1:10" s="88" customFormat="1" ht="12.75">
      <c r="A36" s="551" t="s">
        <v>872</v>
      </c>
      <c r="B36" s="110"/>
      <c r="C36" s="552"/>
      <c r="D36" s="553"/>
      <c r="E36" s="192">
        <f>C36-'[21]Marts'!C36</f>
        <v>0</v>
      </c>
      <c r="F36" s="551" t="s">
        <v>872</v>
      </c>
      <c r="G36" s="110"/>
      <c r="H36" s="192"/>
      <c r="I36" s="214"/>
      <c r="J36" s="192"/>
    </row>
    <row r="37" spans="1:10" s="88" customFormat="1" ht="17.25" customHeight="1">
      <c r="A37" s="554"/>
      <c r="B37" s="138"/>
      <c r="C37" s="138"/>
      <c r="D37" s="138"/>
      <c r="E37" s="138"/>
      <c r="F37" s="554"/>
      <c r="G37" s="138"/>
      <c r="H37" s="138"/>
      <c r="I37" s="138"/>
      <c r="J37" s="138"/>
    </row>
    <row r="38" spans="1:10" s="1" customFormat="1" ht="17.25" customHeight="1">
      <c r="A38" s="49"/>
      <c r="C38" s="555"/>
      <c r="E38" s="493"/>
      <c r="F38" s="49"/>
      <c r="H38" s="555"/>
      <c r="J38" s="493"/>
    </row>
    <row r="39" spans="1:9" s="1" customFormat="1" ht="17.25" customHeight="1">
      <c r="A39" s="41" t="s">
        <v>456</v>
      </c>
      <c r="B39" s="39"/>
      <c r="C39" s="39"/>
      <c r="D39" s="39" t="s">
        <v>457</v>
      </c>
      <c r="F39" s="41" t="s">
        <v>157</v>
      </c>
      <c r="G39" s="39"/>
      <c r="H39" s="39"/>
      <c r="I39" s="39" t="s">
        <v>376</v>
      </c>
    </row>
    <row r="40" spans="1:10" s="1" customFormat="1" ht="17.25" customHeight="1">
      <c r="A40" s="556"/>
      <c r="B40" s="557"/>
      <c r="C40" s="555"/>
      <c r="D40" s="138"/>
      <c r="E40" s="493"/>
      <c r="F40" s="556"/>
      <c r="G40" s="557"/>
      <c r="H40" s="555"/>
      <c r="I40" s="138"/>
      <c r="J40" s="493"/>
    </row>
    <row r="41" spans="1:10" s="1" customFormat="1" ht="17.25" customHeight="1">
      <c r="A41" s="515"/>
      <c r="B41" s="555"/>
      <c r="C41" s="138"/>
      <c r="E41" s="493"/>
      <c r="F41" s="515"/>
      <c r="G41" s="555"/>
      <c r="H41" s="138"/>
      <c r="J41" s="493"/>
    </row>
    <row r="43" spans="1:10" s="1" customFormat="1" ht="17.25" customHeight="1">
      <c r="A43" s="515"/>
      <c r="B43" s="558"/>
      <c r="C43" s="302"/>
      <c r="D43" s="302"/>
      <c r="E43" s="493"/>
      <c r="F43" s="49" t="s">
        <v>236</v>
      </c>
      <c r="G43" s="558"/>
      <c r="H43" s="302"/>
      <c r="I43" s="302"/>
      <c r="J43" s="493"/>
    </row>
    <row r="44" spans="1:10" s="1" customFormat="1" ht="17.25" customHeight="1">
      <c r="A44" s="515"/>
      <c r="B44" s="555"/>
      <c r="E44" s="493"/>
      <c r="F44" s="49" t="s">
        <v>530</v>
      </c>
      <c r="G44" s="555"/>
      <c r="J44" s="493"/>
    </row>
    <row r="45" spans="1:10" s="1" customFormat="1" ht="17.25" customHeight="1">
      <c r="A45" s="515"/>
      <c r="B45" s="558"/>
      <c r="C45" s="302"/>
      <c r="D45" s="302"/>
      <c r="E45" s="493"/>
      <c r="F45" s="515"/>
      <c r="G45" s="558"/>
      <c r="H45" s="302"/>
      <c r="I45" s="302"/>
      <c r="J45" s="493"/>
    </row>
    <row r="46" spans="1:10" s="1" customFormat="1" ht="17.25" customHeight="1">
      <c r="A46" s="515"/>
      <c r="B46" s="558"/>
      <c r="C46" s="302"/>
      <c r="E46" s="493"/>
      <c r="F46" s="515"/>
      <c r="G46" s="558"/>
      <c r="H46" s="302"/>
      <c r="J46" s="493"/>
    </row>
    <row r="47" spans="2:9" ht="17.25" customHeight="1">
      <c r="B47" s="559"/>
      <c r="C47" s="544"/>
      <c r="D47" s="302"/>
      <c r="G47" s="559"/>
      <c r="H47" s="544"/>
      <c r="I47" s="302"/>
    </row>
  </sheetData>
  <mergeCells count="6">
    <mergeCell ref="A5:E5"/>
    <mergeCell ref="F5:J5"/>
    <mergeCell ref="A2:E2"/>
    <mergeCell ref="F2:J2"/>
    <mergeCell ref="A4:E4"/>
    <mergeCell ref="F4:J4"/>
  </mergeCells>
  <printOptions/>
  <pageMargins left="0.75" right="0.27" top="0.77" bottom="0.2" header="0.5" footer="0.5"/>
  <pageSetup firstPageNumber="34" useFirstPageNumber="1" horizontalDpi="600" verticalDpi="600" orientation="portrait" paperSize="9" r:id="rId1"/>
  <headerFooter alignWithMargins="0">
    <oddFooter>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F1">
      <selection activeCell="G32" sqref="G32"/>
    </sheetView>
  </sheetViews>
  <sheetFormatPr defaultColWidth="9.140625" defaultRowHeight="17.25" customHeight="1"/>
  <cols>
    <col min="1" max="1" width="40.28125" style="515" hidden="1" customWidth="1"/>
    <col min="2" max="2" width="8.8515625" style="493" hidden="1" customWidth="1"/>
    <col min="3" max="3" width="12.28125" style="493" hidden="1" customWidth="1"/>
    <col min="4" max="4" width="10.7109375" style="493" hidden="1" customWidth="1"/>
    <col min="5" max="5" width="0.42578125" style="493" hidden="1" customWidth="1"/>
    <col min="6" max="6" width="40.28125" style="515" customWidth="1"/>
    <col min="7" max="7" width="8.8515625" style="493" customWidth="1"/>
    <col min="8" max="8" width="12.28125" style="493" customWidth="1"/>
    <col min="9" max="9" width="10.7109375" style="493" customWidth="1"/>
    <col min="10" max="10" width="11.57421875" style="493" customWidth="1"/>
    <col min="11" max="16384" width="9.140625" style="493" customWidth="1"/>
  </cols>
  <sheetData>
    <row r="1" spans="1:10" s="38" customFormat="1" ht="17.25" customHeight="1">
      <c r="A1" s="49"/>
      <c r="B1" s="51"/>
      <c r="C1" s="51"/>
      <c r="D1" s="51"/>
      <c r="E1" s="309" t="s">
        <v>873</v>
      </c>
      <c r="F1" s="49"/>
      <c r="G1" s="51"/>
      <c r="H1" s="51"/>
      <c r="I1" s="51"/>
      <c r="J1" s="309" t="s">
        <v>873</v>
      </c>
    </row>
    <row r="2" spans="1:10" s="49" customFormat="1" ht="17.25" customHeight="1">
      <c r="A2" s="516" t="s">
        <v>874</v>
      </c>
      <c r="B2" s="51"/>
      <c r="C2" s="51"/>
      <c r="D2" s="51"/>
      <c r="E2" s="561"/>
      <c r="F2" s="516" t="s">
        <v>874</v>
      </c>
      <c r="G2" s="51"/>
      <c r="H2" s="51"/>
      <c r="I2" s="51"/>
      <c r="J2" s="561"/>
    </row>
    <row r="3" spans="1:10" s="38" customFormat="1" ht="17.25" customHeight="1">
      <c r="A3" s="515"/>
      <c r="D3" s="89"/>
      <c r="E3" s="89"/>
      <c r="F3" s="515"/>
      <c r="I3" s="89"/>
      <c r="J3" s="89"/>
    </row>
    <row r="4" spans="1:10" s="519" customFormat="1" ht="17.25" customHeight="1">
      <c r="A4" s="852" t="s">
        <v>875</v>
      </c>
      <c r="B4" s="852"/>
      <c r="C4" s="852"/>
      <c r="D4" s="852"/>
      <c r="E4" s="852"/>
      <c r="F4" s="852" t="s">
        <v>875</v>
      </c>
      <c r="G4" s="852"/>
      <c r="H4" s="852"/>
      <c r="I4" s="852"/>
      <c r="J4" s="852"/>
    </row>
    <row r="5" spans="1:10" s="519" customFormat="1" ht="17.25" customHeight="1">
      <c r="A5" s="852" t="s">
        <v>876</v>
      </c>
      <c r="B5" s="852"/>
      <c r="C5" s="852"/>
      <c r="D5" s="852"/>
      <c r="E5" s="852"/>
      <c r="F5" s="853" t="s">
        <v>155</v>
      </c>
      <c r="G5" s="853"/>
      <c r="H5" s="853"/>
      <c r="I5" s="853"/>
      <c r="J5" s="853"/>
    </row>
    <row r="6" spans="1:10" s="38" customFormat="1" ht="17.25" customHeight="1">
      <c r="A6" s="515"/>
      <c r="C6" s="89" t="s">
        <v>877</v>
      </c>
      <c r="D6" s="89"/>
      <c r="E6" s="51" t="s">
        <v>548</v>
      </c>
      <c r="F6" s="515"/>
      <c r="I6" s="89"/>
      <c r="J6" s="2" t="s">
        <v>240</v>
      </c>
    </row>
    <row r="7" spans="1:10" s="38" customFormat="1" ht="57.75" customHeight="1">
      <c r="A7" s="549" t="s">
        <v>193</v>
      </c>
      <c r="B7" s="526" t="s">
        <v>761</v>
      </c>
      <c r="C7" s="526" t="s">
        <v>242</v>
      </c>
      <c r="D7" s="526" t="s">
        <v>813</v>
      </c>
      <c r="E7" s="9" t="s">
        <v>878</v>
      </c>
      <c r="F7" s="549" t="s">
        <v>193</v>
      </c>
      <c r="G7" s="526" t="s">
        <v>761</v>
      </c>
      <c r="H7" s="526" t="s">
        <v>242</v>
      </c>
      <c r="I7" s="526" t="s">
        <v>813</v>
      </c>
      <c r="J7" s="9" t="s">
        <v>317</v>
      </c>
    </row>
    <row r="8" spans="1:10" s="49" customFormat="1" ht="17.25" customHeight="1">
      <c r="A8" s="527" t="s">
        <v>814</v>
      </c>
      <c r="B8" s="528" t="s">
        <v>857</v>
      </c>
      <c r="C8" s="528" t="s">
        <v>858</v>
      </c>
      <c r="D8" s="528" t="s">
        <v>859</v>
      </c>
      <c r="E8" s="528" t="s">
        <v>815</v>
      </c>
      <c r="F8" s="527" t="s">
        <v>814</v>
      </c>
      <c r="G8" s="528" t="s">
        <v>857</v>
      </c>
      <c r="H8" s="528" t="s">
        <v>858</v>
      </c>
      <c r="I8" s="528" t="s">
        <v>859</v>
      </c>
      <c r="J8" s="528" t="s">
        <v>815</v>
      </c>
    </row>
    <row r="9" spans="1:10" s="49" customFormat="1" ht="17.25" customHeight="1">
      <c r="A9" s="530" t="s">
        <v>465</v>
      </c>
      <c r="B9" s="192"/>
      <c r="C9" s="184">
        <f>'[19]Marts'!$C$9</f>
        <v>0</v>
      </c>
      <c r="D9" s="194"/>
      <c r="E9" s="184">
        <f>C9-'[20]Marts'!C9</f>
        <v>0</v>
      </c>
      <c r="F9" s="530" t="s">
        <v>465</v>
      </c>
      <c r="G9" s="184">
        <v>439444</v>
      </c>
      <c r="H9" s="184">
        <f>'[19]Junijs'!$H$9</f>
        <v>234487</v>
      </c>
      <c r="I9" s="214">
        <f aca="true" t="shared" si="0" ref="I9:I32">H9/G9*100</f>
        <v>53.35992754480662</v>
      </c>
      <c r="J9" s="184">
        <f>H9-'[20]Maijs'!H9</f>
        <v>47191</v>
      </c>
    </row>
    <row r="10" spans="1:10" s="49" customFormat="1" ht="17.25" customHeight="1">
      <c r="A10" s="530" t="s">
        <v>885</v>
      </c>
      <c r="B10" s="192"/>
      <c r="C10" s="184">
        <f>SUM(C11,C26)</f>
        <v>0</v>
      </c>
      <c r="D10" s="214"/>
      <c r="E10" s="184">
        <f>SUM(E11,E26)</f>
        <v>0</v>
      </c>
      <c r="F10" s="530" t="s">
        <v>885</v>
      </c>
      <c r="G10" s="184">
        <f>SUM(G11,G26)</f>
        <v>468860</v>
      </c>
      <c r="H10" s="184">
        <f>SUM(H11,H26)</f>
        <v>238933</v>
      </c>
      <c r="I10" s="214">
        <f t="shared" si="0"/>
        <v>50.960414622701876</v>
      </c>
      <c r="J10" s="184">
        <f>SUM(J11,J26)</f>
        <v>48547</v>
      </c>
    </row>
    <row r="11" spans="1:10" s="541" customFormat="1" ht="17.25" customHeight="1">
      <c r="A11" s="550" t="s">
        <v>472</v>
      </c>
      <c r="B11" s="192"/>
      <c r="C11" s="184">
        <f>SUM(C12,C18,C19)</f>
        <v>0</v>
      </c>
      <c r="D11" s="214"/>
      <c r="E11" s="184">
        <f>SUM(E12,E18,E19)</f>
        <v>0</v>
      </c>
      <c r="F11" s="550" t="s">
        <v>472</v>
      </c>
      <c r="G11" s="184">
        <f>SUM(G12,G18,G19)</f>
        <v>395471</v>
      </c>
      <c r="H11" s="184">
        <f>SUM(H12,H18,H19)</f>
        <v>203100</v>
      </c>
      <c r="I11" s="214">
        <f t="shared" si="0"/>
        <v>51.35648378768608</v>
      </c>
      <c r="J11" s="184">
        <f>SUM(J12,J18,J19)</f>
        <v>42629</v>
      </c>
    </row>
    <row r="12" spans="1:10" s="541" customFormat="1" ht="17.25" customHeight="1">
      <c r="A12" s="550" t="s">
        <v>473</v>
      </c>
      <c r="B12" s="192"/>
      <c r="C12" s="184">
        <f>SUM(C13,C14,C15)</f>
        <v>0</v>
      </c>
      <c r="D12" s="214"/>
      <c r="E12" s="184">
        <f>SUM(E13,E14,E15)</f>
        <v>0</v>
      </c>
      <c r="F12" s="550" t="s">
        <v>473</v>
      </c>
      <c r="G12" s="184">
        <f>SUM(G13,G14,G15)</f>
        <v>314072</v>
      </c>
      <c r="H12" s="184">
        <f>SUM(H13,H14,H15)</f>
        <v>161988</v>
      </c>
      <c r="I12" s="214">
        <f t="shared" si="0"/>
        <v>51.57670852543366</v>
      </c>
      <c r="J12" s="184">
        <f>SUM(J13,J14,J15)</f>
        <v>36035</v>
      </c>
    </row>
    <row r="13" spans="1:10" ht="12.75">
      <c r="A13" s="551" t="s">
        <v>886</v>
      </c>
      <c r="B13" s="192"/>
      <c r="C13" s="192"/>
      <c r="D13" s="194"/>
      <c r="E13" s="192">
        <f>C13-'[20]Marts'!C13</f>
        <v>0</v>
      </c>
      <c r="F13" s="551" t="s">
        <v>886</v>
      </c>
      <c r="G13" s="192">
        <v>161173</v>
      </c>
      <c r="H13" s="192">
        <v>86852</v>
      </c>
      <c r="I13" s="194">
        <f t="shared" si="0"/>
        <v>53.887437722199124</v>
      </c>
      <c r="J13" s="192">
        <f>H13-'[20]Maijs'!H13</f>
        <v>22889</v>
      </c>
    </row>
    <row r="14" spans="1:10" ht="25.5">
      <c r="A14" s="551" t="s">
        <v>887</v>
      </c>
      <c r="B14" s="192"/>
      <c r="C14" s="192"/>
      <c r="D14" s="194"/>
      <c r="E14" s="192">
        <f>C14-'[20]Marts'!C14</f>
        <v>0</v>
      </c>
      <c r="F14" s="551" t="s">
        <v>887</v>
      </c>
      <c r="G14" s="192">
        <v>42347</v>
      </c>
      <c r="H14" s="192">
        <v>20424</v>
      </c>
      <c r="I14" s="194">
        <f t="shared" si="0"/>
        <v>48.23009894443526</v>
      </c>
      <c r="J14" s="192">
        <f>H14-'[20]Maijs'!H14</f>
        <v>4381</v>
      </c>
    </row>
    <row r="15" spans="1:10" ht="17.25" customHeight="1">
      <c r="A15" s="551" t="s">
        <v>888</v>
      </c>
      <c r="B15" s="192"/>
      <c r="C15" s="192">
        <f>SUM(C16:C17)</f>
        <v>0</v>
      </c>
      <c r="D15" s="194"/>
      <c r="E15" s="192">
        <f>SUM(E16:E17)</f>
        <v>0</v>
      </c>
      <c r="F15" s="551" t="s">
        <v>888</v>
      </c>
      <c r="G15" s="192">
        <f>SUM(G16:G17)</f>
        <v>110552</v>
      </c>
      <c r="H15" s="192">
        <f>SUM(H16:H17)</f>
        <v>54712</v>
      </c>
      <c r="I15" s="194">
        <f t="shared" si="0"/>
        <v>49.48983283884507</v>
      </c>
      <c r="J15" s="192">
        <f>H15-'[20]Maijs'!H15</f>
        <v>8765</v>
      </c>
    </row>
    <row r="16" spans="1:10" ht="25.5">
      <c r="A16" s="562" t="s">
        <v>889</v>
      </c>
      <c r="B16" s="192"/>
      <c r="C16" s="192"/>
      <c r="D16" s="194"/>
      <c r="E16" s="192">
        <f>C16-'[20]Marts'!C16</f>
        <v>0</v>
      </c>
      <c r="F16" s="562" t="s">
        <v>889</v>
      </c>
      <c r="G16" s="192">
        <f>51682+55066</f>
        <v>106748</v>
      </c>
      <c r="H16" s="192">
        <v>53289</v>
      </c>
      <c r="I16" s="194">
        <f t="shared" si="0"/>
        <v>49.92037321542324</v>
      </c>
      <c r="J16" s="192">
        <f>H16-'[20]Maijs'!H16</f>
        <v>8650</v>
      </c>
    </row>
    <row r="17" spans="1:10" ht="12.75">
      <c r="A17" s="562" t="s">
        <v>890</v>
      </c>
      <c r="B17" s="192"/>
      <c r="C17" s="192"/>
      <c r="D17" s="194"/>
      <c r="E17" s="192">
        <f>C17-'[20]Marts'!C17</f>
        <v>0</v>
      </c>
      <c r="F17" s="562" t="s">
        <v>890</v>
      </c>
      <c r="G17" s="192">
        <f>1602+2201+1</f>
        <v>3804</v>
      </c>
      <c r="H17" s="192">
        <f>1426-3</f>
        <v>1423</v>
      </c>
      <c r="I17" s="194">
        <f t="shared" si="0"/>
        <v>37.407991587802314</v>
      </c>
      <c r="J17" s="192">
        <f>H17-'[20]Maijs'!H17</f>
        <v>115</v>
      </c>
    </row>
    <row r="18" spans="1:10" ht="25.5">
      <c r="A18" s="550" t="s">
        <v>891</v>
      </c>
      <c r="B18" s="192"/>
      <c r="C18" s="184"/>
      <c r="D18" s="194"/>
      <c r="E18" s="192">
        <f>C18-'[20]Marts'!C18</f>
        <v>0</v>
      </c>
      <c r="F18" s="550" t="s">
        <v>891</v>
      </c>
      <c r="G18" s="184">
        <v>4529</v>
      </c>
      <c r="H18" s="184">
        <v>2140</v>
      </c>
      <c r="I18" s="214">
        <f t="shared" si="0"/>
        <v>47.25104879664385</v>
      </c>
      <c r="J18" s="184">
        <f>H18-'[20]Maijs'!H18</f>
        <v>38</v>
      </c>
    </row>
    <row r="19" spans="1:10" ht="12.75">
      <c r="A19" s="550" t="s">
        <v>481</v>
      </c>
      <c r="B19" s="192"/>
      <c r="C19" s="184">
        <f>SUM(C20:C25)</f>
        <v>0</v>
      </c>
      <c r="D19" s="194"/>
      <c r="E19" s="192">
        <f>SUM(E20:E24)</f>
        <v>0</v>
      </c>
      <c r="F19" s="550" t="s">
        <v>481</v>
      </c>
      <c r="G19" s="184">
        <f>SUM(G20:G25)</f>
        <v>76870</v>
      </c>
      <c r="H19" s="184">
        <f>SUM(H20:H25)</f>
        <v>38972</v>
      </c>
      <c r="I19" s="214">
        <f t="shared" si="0"/>
        <v>50.698582021594895</v>
      </c>
      <c r="J19" s="184">
        <f>SUM(J20:J25)</f>
        <v>6556</v>
      </c>
    </row>
    <row r="20" spans="1:10" ht="12.75">
      <c r="A20" s="551" t="s">
        <v>892</v>
      </c>
      <c r="B20" s="192"/>
      <c r="C20" s="192"/>
      <c r="D20" s="194"/>
      <c r="E20" s="192">
        <f>C20-'[20]Marts'!C20</f>
        <v>0</v>
      </c>
      <c r="F20" s="551" t="s">
        <v>892</v>
      </c>
      <c r="G20" s="192">
        <v>306</v>
      </c>
      <c r="H20" s="192">
        <v>113</v>
      </c>
      <c r="I20" s="194">
        <f t="shared" si="0"/>
        <v>36.9281045751634</v>
      </c>
      <c r="J20" s="192">
        <f>H20-'[20]Maijs'!H20</f>
        <v>23</v>
      </c>
    </row>
    <row r="21" spans="1:10" ht="12.75">
      <c r="A21" s="551" t="s">
        <v>893</v>
      </c>
      <c r="B21" s="192"/>
      <c r="C21" s="192"/>
      <c r="D21" s="194"/>
      <c r="E21" s="192">
        <f>C21-'[20]Marts'!C21</f>
        <v>0</v>
      </c>
      <c r="F21" s="551" t="s">
        <v>893</v>
      </c>
      <c r="G21" s="192">
        <v>4998</v>
      </c>
      <c r="H21" s="192">
        <v>2870</v>
      </c>
      <c r="I21" s="194">
        <f t="shared" si="0"/>
        <v>57.422969187675065</v>
      </c>
      <c r="J21" s="192">
        <f>H21-'[20]Maijs'!H21</f>
        <v>822</v>
      </c>
    </row>
    <row r="22" spans="1:10" ht="12.75">
      <c r="A22" s="551" t="s">
        <v>894</v>
      </c>
      <c r="B22" s="192"/>
      <c r="C22" s="192"/>
      <c r="D22" s="194"/>
      <c r="E22" s="192">
        <f>C22-'[20]Marts'!C22</f>
        <v>0</v>
      </c>
      <c r="F22" s="551" t="s">
        <v>894</v>
      </c>
      <c r="G22" s="192">
        <v>27208</v>
      </c>
      <c r="H22" s="192">
        <v>13447</v>
      </c>
      <c r="I22" s="194">
        <f t="shared" si="0"/>
        <v>49.422963834166424</v>
      </c>
      <c r="J22" s="192">
        <f>H22-'[20]Maijs'!H22</f>
        <v>2245</v>
      </c>
    </row>
    <row r="23" spans="1:10" ht="25.5">
      <c r="A23" s="551" t="s">
        <v>895</v>
      </c>
      <c r="B23" s="192"/>
      <c r="C23" s="192"/>
      <c r="D23" s="194"/>
      <c r="E23" s="192">
        <f>C23-'[20]Marts'!C23</f>
        <v>0</v>
      </c>
      <c r="F23" s="551" t="s">
        <v>895</v>
      </c>
      <c r="G23" s="192">
        <v>17748</v>
      </c>
      <c r="H23" s="192">
        <v>9226</v>
      </c>
      <c r="I23" s="194">
        <f t="shared" si="0"/>
        <v>51.98332206445797</v>
      </c>
      <c r="J23" s="192">
        <f>H23-'[20]Maijs'!H23</f>
        <v>1461</v>
      </c>
    </row>
    <row r="24" spans="1:10" ht="12.75">
      <c r="A24" s="551" t="s">
        <v>896</v>
      </c>
      <c r="B24" s="192"/>
      <c r="C24" s="192"/>
      <c r="D24" s="194"/>
      <c r="E24" s="192">
        <f>C24-'[20]Marts'!C24</f>
        <v>0</v>
      </c>
      <c r="F24" s="551" t="s">
        <v>896</v>
      </c>
      <c r="G24" s="192">
        <v>16855</v>
      </c>
      <c r="H24" s="192">
        <v>8947</v>
      </c>
      <c r="I24" s="194">
        <f t="shared" si="0"/>
        <v>53.08217146247405</v>
      </c>
      <c r="J24" s="192">
        <f>H24-'[20]Maijs'!H24</f>
        <v>1110</v>
      </c>
    </row>
    <row r="25" spans="1:10" ht="15.75" customHeight="1">
      <c r="A25" s="551" t="s">
        <v>897</v>
      </c>
      <c r="B25" s="192"/>
      <c r="C25" s="192"/>
      <c r="D25" s="194"/>
      <c r="E25" s="192">
        <f>C25-'[20]Marts'!C25</f>
        <v>0</v>
      </c>
      <c r="F25" s="551" t="s">
        <v>897</v>
      </c>
      <c r="G25" s="192">
        <v>9755</v>
      </c>
      <c r="H25" s="192">
        <v>4369</v>
      </c>
      <c r="I25" s="194">
        <f t="shared" si="0"/>
        <v>44.787288569964126</v>
      </c>
      <c r="J25" s="192">
        <f>H25-'[20]Maijs'!H25</f>
        <v>895</v>
      </c>
    </row>
    <row r="26" spans="1:10" s="541" customFormat="1" ht="12.75">
      <c r="A26" s="550" t="s">
        <v>496</v>
      </c>
      <c r="B26" s="192"/>
      <c r="C26" s="184">
        <f>SUM(C27:C28)</f>
        <v>0</v>
      </c>
      <c r="D26" s="194"/>
      <c r="E26" s="192">
        <f>SUM(E27:E28)</f>
        <v>0</v>
      </c>
      <c r="F26" s="550" t="s">
        <v>496</v>
      </c>
      <c r="G26" s="184">
        <f>SUM(G27:G28)</f>
        <v>73389</v>
      </c>
      <c r="H26" s="184">
        <f>SUM(H27:H28)</f>
        <v>35833</v>
      </c>
      <c r="I26" s="214">
        <f t="shared" si="0"/>
        <v>48.826118355611875</v>
      </c>
      <c r="J26" s="184">
        <f>SUM(J27:J28)</f>
        <v>5918</v>
      </c>
    </row>
    <row r="27" spans="1:10" s="541" customFormat="1" ht="12.75">
      <c r="A27" s="551" t="s">
        <v>898</v>
      </c>
      <c r="B27" s="192"/>
      <c r="C27" s="192"/>
      <c r="D27" s="194"/>
      <c r="E27" s="192">
        <f>C27-'[20]Marts'!C27</f>
        <v>0</v>
      </c>
      <c r="F27" s="551" t="s">
        <v>898</v>
      </c>
      <c r="G27" s="192">
        <f>18802+573</f>
        <v>19375</v>
      </c>
      <c r="H27" s="192">
        <v>7475</v>
      </c>
      <c r="I27" s="194">
        <f t="shared" si="0"/>
        <v>38.58064516129032</v>
      </c>
      <c r="J27" s="192">
        <f>H27-'[20]Maijs'!H27</f>
        <v>1409</v>
      </c>
    </row>
    <row r="28" spans="1:10" ht="17.25" customHeight="1">
      <c r="A28" s="551" t="s">
        <v>712</v>
      </c>
      <c r="B28" s="192"/>
      <c r="C28" s="192"/>
      <c r="D28" s="194"/>
      <c r="E28" s="192">
        <f>C28-'[20]Marts'!C28</f>
        <v>0</v>
      </c>
      <c r="F28" s="551" t="s">
        <v>712</v>
      </c>
      <c r="G28" s="192">
        <v>54014</v>
      </c>
      <c r="H28" s="192">
        <v>28358</v>
      </c>
      <c r="I28" s="194">
        <f t="shared" si="0"/>
        <v>52.50120339171326</v>
      </c>
      <c r="J28" s="192">
        <f>H28-'[20]Maijs'!H28</f>
        <v>4509</v>
      </c>
    </row>
    <row r="29" spans="1:10" s="541" customFormat="1" ht="12.75">
      <c r="A29" s="550" t="s">
        <v>899</v>
      </c>
      <c r="B29" s="192"/>
      <c r="C29" s="184">
        <f>C30-C31</f>
        <v>0</v>
      </c>
      <c r="D29" s="194"/>
      <c r="E29" s="192">
        <f>E30-E31</f>
        <v>0</v>
      </c>
      <c r="F29" s="550" t="s">
        <v>899</v>
      </c>
      <c r="G29" s="184">
        <f>G30-G31</f>
        <v>-624</v>
      </c>
      <c r="H29" s="184">
        <f>H30-H31</f>
        <v>-704</v>
      </c>
      <c r="I29" s="214">
        <f t="shared" si="0"/>
        <v>112.82051282051282</v>
      </c>
      <c r="J29" s="184">
        <f>J30-J31</f>
        <v>-62</v>
      </c>
    </row>
    <row r="30" spans="1:10" ht="12.75">
      <c r="A30" s="551" t="s">
        <v>900</v>
      </c>
      <c r="B30" s="192"/>
      <c r="C30" s="192"/>
      <c r="D30" s="194"/>
      <c r="E30" s="192">
        <f>C30-'[20]Marts'!C30</f>
        <v>0</v>
      </c>
      <c r="F30" s="551" t="s">
        <v>900</v>
      </c>
      <c r="G30" s="192">
        <v>193</v>
      </c>
      <c r="H30" s="192">
        <v>73</v>
      </c>
      <c r="I30" s="194">
        <f t="shared" si="0"/>
        <v>37.82383419689119</v>
      </c>
      <c r="J30" s="192">
        <f>H30-'[20]Maijs'!H30</f>
        <v>19</v>
      </c>
    </row>
    <row r="31" spans="1:10" ht="12.75">
      <c r="A31" s="551" t="s">
        <v>901</v>
      </c>
      <c r="B31" s="192"/>
      <c r="C31" s="192"/>
      <c r="D31" s="194"/>
      <c r="E31" s="192">
        <f>C31-'[20]Marts'!C31</f>
        <v>0</v>
      </c>
      <c r="F31" s="551" t="s">
        <v>901</v>
      </c>
      <c r="G31" s="192">
        <v>817</v>
      </c>
      <c r="H31" s="192">
        <v>777</v>
      </c>
      <c r="I31" s="194">
        <f t="shared" si="0"/>
        <v>95.10403916768666</v>
      </c>
      <c r="J31" s="192">
        <f>H31-'[20]Maijs'!H31</f>
        <v>81</v>
      </c>
    </row>
    <row r="32" spans="1:10" ht="12.75">
      <c r="A32" s="550" t="s">
        <v>664</v>
      </c>
      <c r="B32" s="192"/>
      <c r="C32" s="192">
        <f>C9-C10-C25-C29</f>
        <v>0</v>
      </c>
      <c r="D32" s="194"/>
      <c r="E32" s="192">
        <f>C32-'[20]Marts'!C32</f>
        <v>0</v>
      </c>
      <c r="F32" s="550" t="s">
        <v>664</v>
      </c>
      <c r="G32" s="184">
        <f>G9-G10-G29</f>
        <v>-28792</v>
      </c>
      <c r="H32" s="184">
        <f>H9-H10-H29</f>
        <v>-3742</v>
      </c>
      <c r="I32" s="214">
        <f t="shared" si="0"/>
        <v>12.996665740483468</v>
      </c>
      <c r="J32" s="184">
        <f>H32-'[20]Maijs'!H32</f>
        <v>-1294</v>
      </c>
    </row>
    <row r="33" spans="1:10" s="1" customFormat="1" ht="17.25" customHeight="1">
      <c r="A33" s="543"/>
      <c r="B33" s="555"/>
      <c r="C33"/>
      <c r="D33" s="555"/>
      <c r="E33" s="555"/>
      <c r="F33" s="543"/>
      <c r="G33" s="555"/>
      <c r="H33"/>
      <c r="I33" s="555"/>
      <c r="J33" s="555"/>
    </row>
    <row r="34" spans="1:10" s="1" customFormat="1" ht="17.25" customHeight="1">
      <c r="A34" s="543"/>
      <c r="B34" s="555"/>
      <c r="C34"/>
      <c r="D34" s="555"/>
      <c r="E34" s="555"/>
      <c r="F34" s="543"/>
      <c r="G34" s="555"/>
      <c r="H34"/>
      <c r="I34" s="555"/>
      <c r="J34" s="555"/>
    </row>
    <row r="35" spans="1:10" ht="17.25" customHeight="1">
      <c r="A35" s="545"/>
      <c r="B35" s="555"/>
      <c r="C35"/>
      <c r="D35" s="555"/>
      <c r="E35" s="555"/>
      <c r="F35" s="545"/>
      <c r="G35" s="555"/>
      <c r="H35"/>
      <c r="I35" s="555"/>
      <c r="J35" s="555"/>
    </row>
    <row r="36" spans="1:10" s="1" customFormat="1" ht="17.25" customHeight="1">
      <c r="A36" s="41" t="s">
        <v>456</v>
      </c>
      <c r="B36" s="39"/>
      <c r="C36"/>
      <c r="D36" s="39" t="s">
        <v>457</v>
      </c>
      <c r="E36" s="545"/>
      <c r="F36" s="41" t="s">
        <v>156</v>
      </c>
      <c r="G36" s="39"/>
      <c r="H36"/>
      <c r="I36" s="39" t="s">
        <v>376</v>
      </c>
      <c r="J36" s="545"/>
    </row>
    <row r="37" spans="1:10" s="1" customFormat="1" ht="17.25" customHeight="1">
      <c r="A37" s="49"/>
      <c r="C37"/>
      <c r="D37" s="555"/>
      <c r="E37" s="555"/>
      <c r="F37" s="49"/>
      <c r="H37"/>
      <c r="I37" s="555"/>
      <c r="J37" s="555"/>
    </row>
    <row r="38" spans="1:10" s="1" customFormat="1" ht="17.25" customHeight="1">
      <c r="A38" s="545"/>
      <c r="B38" s="302"/>
      <c r="C38"/>
      <c r="D38" s="555"/>
      <c r="E38" s="555"/>
      <c r="F38" s="545"/>
      <c r="G38" s="302"/>
      <c r="H38"/>
      <c r="I38" s="555"/>
      <c r="J38" s="555"/>
    </row>
    <row r="39" spans="1:10" s="1" customFormat="1" ht="17.25" customHeight="1">
      <c r="A39" s="545"/>
      <c r="B39" s="302"/>
      <c r="C39"/>
      <c r="D39" s="555"/>
      <c r="E39" s="555"/>
      <c r="F39" s="545"/>
      <c r="G39" s="302"/>
      <c r="H39"/>
      <c r="I39" s="555"/>
      <c r="J39" s="555"/>
    </row>
    <row r="40" spans="1:10" ht="17.25" customHeight="1">
      <c r="A40" s="545"/>
      <c r="B40" s="544"/>
      <c r="C40"/>
      <c r="D40" s="555"/>
      <c r="E40" s="555"/>
      <c r="F40" s="545"/>
      <c r="G40" s="544"/>
      <c r="H40"/>
      <c r="I40" s="555"/>
      <c r="J40" s="555"/>
    </row>
    <row r="41" spans="3:10" ht="17.25" customHeight="1">
      <c r="C41"/>
      <c r="D41" s="555"/>
      <c r="E41" s="555"/>
      <c r="F41" s="515" t="s">
        <v>621</v>
      </c>
      <c r="H41"/>
      <c r="I41" s="555"/>
      <c r="J41" s="555"/>
    </row>
    <row r="42" spans="3:10" ht="17.25" customHeight="1">
      <c r="C42"/>
      <c r="D42" s="555"/>
      <c r="E42" s="555"/>
      <c r="F42" s="515" t="s">
        <v>530</v>
      </c>
      <c r="H42"/>
      <c r="I42" s="555"/>
      <c r="J42" s="555"/>
    </row>
    <row r="43" spans="3:8" ht="17.25" customHeight="1">
      <c r="C43"/>
      <c r="H43"/>
    </row>
    <row r="44" spans="3:8" ht="17.25" customHeight="1">
      <c r="C44"/>
      <c r="H44"/>
    </row>
    <row r="45" spans="3:8" ht="17.25" customHeight="1">
      <c r="C45"/>
      <c r="H45"/>
    </row>
  </sheetData>
  <mergeCells count="4">
    <mergeCell ref="A4:E4"/>
    <mergeCell ref="F4:J4"/>
    <mergeCell ref="A5:E5"/>
    <mergeCell ref="F5:J5"/>
  </mergeCells>
  <printOptions/>
  <pageMargins left="0.75" right="0.75" top="1" bottom="0.72" header="0.5" footer="0.5"/>
  <pageSetup firstPageNumber="35" useFirstPageNumber="1" horizontalDpi="600" verticalDpi="600" orientation="portrait" paperSize="9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6" sqref="A6"/>
    </sheetView>
  </sheetViews>
  <sheetFormatPr defaultColWidth="9.140625" defaultRowHeight="12.75"/>
  <cols>
    <col min="1" max="1" width="37.57421875" style="0" customWidth="1"/>
    <col min="7" max="7" width="11.421875" style="0" customWidth="1"/>
  </cols>
  <sheetData>
    <row r="1" spans="1:5" ht="12.75">
      <c r="A1" s="49"/>
      <c r="B1" s="51"/>
      <c r="C1" s="51"/>
      <c r="D1" s="51"/>
      <c r="E1" s="309" t="s">
        <v>902</v>
      </c>
    </row>
    <row r="2" spans="1:5" ht="12.75">
      <c r="A2" s="830" t="s">
        <v>379</v>
      </c>
      <c r="B2" s="830"/>
      <c r="C2" s="830"/>
      <c r="D2" s="830"/>
      <c r="E2" s="830"/>
    </row>
    <row r="3" spans="1:5" ht="12.75">
      <c r="A3" s="49"/>
      <c r="B3" s="493"/>
      <c r="C3" s="493"/>
      <c r="D3" s="563"/>
      <c r="E3" s="563"/>
    </row>
    <row r="4" spans="1:5" ht="12.75">
      <c r="A4" s="852" t="s">
        <v>903</v>
      </c>
      <c r="B4" s="852"/>
      <c r="C4" s="852"/>
      <c r="D4" s="852"/>
      <c r="E4" s="852"/>
    </row>
    <row r="5" spans="1:5" ht="12.75">
      <c r="A5" s="853" t="s">
        <v>525</v>
      </c>
      <c r="B5" s="853"/>
      <c r="C5" s="853"/>
      <c r="D5" s="853"/>
      <c r="E5" s="853"/>
    </row>
    <row r="6" spans="1:5" ht="12.75">
      <c r="A6" s="49"/>
      <c r="B6" s="89"/>
      <c r="C6" s="89"/>
      <c r="D6" s="38"/>
      <c r="E6" s="497" t="s">
        <v>549</v>
      </c>
    </row>
    <row r="7" spans="1:5" ht="33.75">
      <c r="A7" s="564" t="s">
        <v>193</v>
      </c>
      <c r="B7" s="526" t="s">
        <v>761</v>
      </c>
      <c r="C7" s="526" t="s">
        <v>242</v>
      </c>
      <c r="D7" s="526" t="s">
        <v>813</v>
      </c>
      <c r="E7" s="9" t="s">
        <v>317</v>
      </c>
    </row>
    <row r="8" spans="1:5" ht="12.75">
      <c r="A8" s="257">
        <v>1</v>
      </c>
      <c r="B8" s="565">
        <v>2</v>
      </c>
      <c r="C8" s="565">
        <v>3</v>
      </c>
      <c r="D8" s="566">
        <v>4</v>
      </c>
      <c r="E8" s="566">
        <v>5</v>
      </c>
    </row>
    <row r="9" spans="1:5" ht="24.75" customHeight="1">
      <c r="A9" s="567" t="s">
        <v>904</v>
      </c>
      <c r="B9" s="184">
        <f>SUM(B10:B14)</f>
        <v>37601</v>
      </c>
      <c r="C9" s="184">
        <f>SUM(C10:C14)</f>
        <v>18653</v>
      </c>
      <c r="D9" s="568">
        <f aca="true" t="shared" si="0" ref="D9:D20">C9/B9*100</f>
        <v>49.6077231988511</v>
      </c>
      <c r="E9" s="184">
        <f>C9-'[17]Maijs'!C9</f>
        <v>3738</v>
      </c>
    </row>
    <row r="10" spans="1:5" ht="24.75" customHeight="1">
      <c r="A10" s="569" t="s">
        <v>905</v>
      </c>
      <c r="B10" s="192">
        <v>9117</v>
      </c>
      <c r="C10" s="192">
        <v>4750</v>
      </c>
      <c r="D10" s="570">
        <f t="shared" si="0"/>
        <v>52.1004716463749</v>
      </c>
      <c r="E10" s="192">
        <f>C10-'[17]Maijs'!C10</f>
        <v>836</v>
      </c>
    </row>
    <row r="11" spans="1:5" ht="21.75" customHeight="1">
      <c r="A11" s="569" t="s">
        <v>906</v>
      </c>
      <c r="B11" s="192">
        <v>2006</v>
      </c>
      <c r="C11" s="192">
        <v>889</v>
      </c>
      <c r="D11" s="570">
        <f t="shared" si="0"/>
        <v>44.31704885343969</v>
      </c>
      <c r="E11" s="192">
        <f>C11-'[17]Maijs'!C11</f>
        <v>30</v>
      </c>
    </row>
    <row r="12" spans="1:5" ht="30" customHeight="1">
      <c r="A12" s="571" t="s">
        <v>907</v>
      </c>
      <c r="B12" s="192">
        <v>13860</v>
      </c>
      <c r="C12" s="192">
        <v>5488</v>
      </c>
      <c r="D12" s="570">
        <f t="shared" si="0"/>
        <v>39.5959595959596</v>
      </c>
      <c r="E12" s="192">
        <f>C12-'[17]Maijs'!C12</f>
        <v>1253</v>
      </c>
    </row>
    <row r="13" spans="1:5" ht="39" customHeight="1">
      <c r="A13" s="571" t="s">
        <v>908</v>
      </c>
      <c r="B13" s="192">
        <v>2818</v>
      </c>
      <c r="C13" s="192">
        <v>1481</v>
      </c>
      <c r="D13" s="570">
        <f t="shared" si="0"/>
        <v>52.55500354861604</v>
      </c>
      <c r="E13" s="192">
        <f>C13-'[17]Maijs'!C13</f>
        <v>396</v>
      </c>
    </row>
    <row r="14" spans="1:5" ht="19.5" customHeight="1">
      <c r="A14" s="569" t="s">
        <v>909</v>
      </c>
      <c r="B14" s="192">
        <f>9745+55</f>
        <v>9800</v>
      </c>
      <c r="C14" s="192">
        <v>6045</v>
      </c>
      <c r="D14" s="570">
        <f t="shared" si="0"/>
        <v>61.683673469387756</v>
      </c>
      <c r="E14" s="192">
        <f>C14-'[17]Maijs'!C14</f>
        <v>1223</v>
      </c>
    </row>
    <row r="15" spans="1:5" ht="19.5" customHeight="1">
      <c r="A15" s="572" t="s">
        <v>910</v>
      </c>
      <c r="B15" s="184">
        <f>SUM(B16:B20)</f>
        <v>49130</v>
      </c>
      <c r="C15" s="184">
        <f>SUM(C16:C20)</f>
        <v>14311</v>
      </c>
      <c r="D15" s="570">
        <f t="shared" si="0"/>
        <v>29.12884184815795</v>
      </c>
      <c r="E15" s="184">
        <f>SUM(E16:E20)</f>
        <v>2539</v>
      </c>
    </row>
    <row r="16" spans="1:5" ht="19.5" customHeight="1">
      <c r="A16" s="569" t="s">
        <v>911</v>
      </c>
      <c r="B16" s="192">
        <v>16872</v>
      </c>
      <c r="C16" s="192">
        <v>2479</v>
      </c>
      <c r="D16" s="570">
        <f t="shared" si="0"/>
        <v>14.692982456140353</v>
      </c>
      <c r="E16" s="192">
        <f>C16-'[17]Maijs'!C16</f>
        <v>-401</v>
      </c>
    </row>
    <row r="17" spans="1:5" ht="19.5" customHeight="1">
      <c r="A17" s="569" t="s">
        <v>906</v>
      </c>
      <c r="B17" s="192">
        <v>3059</v>
      </c>
      <c r="C17" s="192">
        <v>759</v>
      </c>
      <c r="D17" s="570">
        <f t="shared" si="0"/>
        <v>24.81203007518797</v>
      </c>
      <c r="E17" s="192">
        <f>C17-'[17]Maijs'!C17</f>
        <v>205</v>
      </c>
    </row>
    <row r="18" spans="1:5" ht="19.5" customHeight="1">
      <c r="A18" s="569" t="s">
        <v>912</v>
      </c>
      <c r="B18" s="192">
        <v>14710</v>
      </c>
      <c r="C18" s="192">
        <v>4684</v>
      </c>
      <c r="D18" s="570">
        <f t="shared" si="0"/>
        <v>31.84228416043508</v>
      </c>
      <c r="E18" s="192">
        <f>C18-'[17]Maijs'!C18</f>
        <v>1149</v>
      </c>
    </row>
    <row r="19" spans="1:5" ht="19.5" customHeight="1">
      <c r="A19" s="573" t="s">
        <v>913</v>
      </c>
      <c r="B19" s="192">
        <v>2942</v>
      </c>
      <c r="C19" s="192">
        <v>1409</v>
      </c>
      <c r="D19" s="570">
        <f t="shared" si="0"/>
        <v>47.892590074779065</v>
      </c>
      <c r="E19" s="192">
        <f>C19-'[17]Maijs'!C19</f>
        <v>254</v>
      </c>
    </row>
    <row r="20" spans="1:5" ht="19.5" customHeight="1">
      <c r="A20" s="573" t="s">
        <v>914</v>
      </c>
      <c r="B20" s="192">
        <f>11268+279</f>
        <v>11547</v>
      </c>
      <c r="C20" s="192">
        <v>4980</v>
      </c>
      <c r="D20" s="570">
        <f t="shared" si="0"/>
        <v>43.12808521693947</v>
      </c>
      <c r="E20" s="192">
        <f>C20-'[17]Maijs'!C20</f>
        <v>1332</v>
      </c>
    </row>
    <row r="21" spans="1:5" ht="12.75">
      <c r="A21" s="574"/>
      <c r="B21" s="575"/>
      <c r="C21" s="575"/>
      <c r="D21" s="509"/>
      <c r="E21" s="575"/>
    </row>
    <row r="22" spans="1:5" ht="12.75">
      <c r="A22" s="139"/>
      <c r="B22" s="139"/>
      <c r="C22" s="139"/>
      <c r="D22" s="139"/>
      <c r="E22" s="139"/>
    </row>
    <row r="23" spans="1:6" ht="12.75">
      <c r="A23" s="554"/>
      <c r="B23" s="138"/>
      <c r="C23" s="138"/>
      <c r="D23" s="511"/>
      <c r="E23" s="138"/>
      <c r="F23" s="139"/>
    </row>
    <row r="24" spans="1:6" ht="12.75">
      <c r="A24" s="805" t="s">
        <v>154</v>
      </c>
      <c r="B24" s="139"/>
      <c r="C24" s="139"/>
      <c r="D24" s="805" t="s">
        <v>376</v>
      </c>
      <c r="F24" s="139"/>
    </row>
    <row r="25" ht="12.75">
      <c r="F25" s="139"/>
    </row>
    <row r="26" ht="12.75">
      <c r="F26" s="139"/>
    </row>
    <row r="27" ht="12.75">
      <c r="F27" s="139"/>
    </row>
    <row r="28" ht="12.75">
      <c r="F28" s="139"/>
    </row>
    <row r="29" ht="12.75">
      <c r="F29" s="139"/>
    </row>
    <row r="30" ht="12.75">
      <c r="F30" s="139"/>
    </row>
    <row r="31" ht="12.75">
      <c r="F31" s="139"/>
    </row>
    <row r="32" spans="1:6" ht="12.75">
      <c r="A32" s="1" t="s">
        <v>377</v>
      </c>
      <c r="F32" s="139"/>
    </row>
    <row r="33" spans="1:6" ht="12.75">
      <c r="A33" s="1" t="s">
        <v>530</v>
      </c>
      <c r="F33" s="139"/>
    </row>
  </sheetData>
  <mergeCells count="3">
    <mergeCell ref="A2:E2"/>
    <mergeCell ref="A4:E4"/>
    <mergeCell ref="A5:E5"/>
  </mergeCells>
  <printOptions/>
  <pageMargins left="0.75" right="0.75" top="1" bottom="1" header="0.5" footer="0.5"/>
  <pageSetup firstPageNumber="36" useFirstPageNumber="1" horizontalDpi="600" verticalDpi="600" orientation="portrait" paperSize="9" r:id="rId1"/>
  <headerFooter alignWithMargins="0">
    <oddFooter>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24" sqref="A24"/>
    </sheetView>
  </sheetViews>
  <sheetFormatPr defaultColWidth="9.140625" defaultRowHeight="17.25" customHeight="1"/>
  <cols>
    <col min="1" max="1" width="40.00390625" style="49" customWidth="1"/>
    <col min="2" max="2" width="8.8515625" style="493" customWidth="1"/>
    <col min="3" max="3" width="11.28125" style="493" customWidth="1"/>
    <col min="4" max="4" width="12.57421875" style="493" customWidth="1"/>
    <col min="5" max="5" width="11.57421875" style="493" customWidth="1"/>
  </cols>
  <sheetData>
    <row r="1" spans="2:5" ht="17.25" customHeight="1">
      <c r="B1" s="51"/>
      <c r="C1" s="51"/>
      <c r="D1" s="51"/>
      <c r="E1" s="309" t="s">
        <v>915</v>
      </c>
    </row>
    <row r="2" spans="1:5" ht="17.25" customHeight="1">
      <c r="A2" s="830" t="s">
        <v>916</v>
      </c>
      <c r="B2" s="830"/>
      <c r="C2" s="830"/>
      <c r="D2" s="830"/>
      <c r="E2" s="830"/>
    </row>
    <row r="3" spans="4:5" ht="17.25" customHeight="1">
      <c r="D3" s="563"/>
      <c r="E3" s="563"/>
    </row>
    <row r="4" spans="1:5" ht="17.25" customHeight="1">
      <c r="A4" s="852" t="s">
        <v>917</v>
      </c>
      <c r="B4" s="852"/>
      <c r="C4" s="852"/>
      <c r="D4" s="852"/>
      <c r="E4" s="852"/>
    </row>
    <row r="5" spans="1:5" ht="12.75" customHeight="1">
      <c r="A5" s="853" t="s">
        <v>153</v>
      </c>
      <c r="B5" s="853"/>
      <c r="C5" s="853"/>
      <c r="D5" s="853"/>
      <c r="E5" s="853"/>
    </row>
    <row r="6" spans="1:5" ht="12.75" customHeight="1">
      <c r="A6" s="547"/>
      <c r="B6" s="547"/>
      <c r="C6" s="547"/>
      <c r="D6" s="547"/>
      <c r="E6" s="547"/>
    </row>
    <row r="7" spans="2:5" ht="10.5" customHeight="1">
      <c r="B7" s="89"/>
      <c r="C7" s="89"/>
      <c r="D7" s="38"/>
      <c r="E7" s="497" t="s">
        <v>549</v>
      </c>
    </row>
    <row r="8" spans="1:5" ht="22.5">
      <c r="A8" s="564" t="s">
        <v>193</v>
      </c>
      <c r="B8" s="526" t="s">
        <v>761</v>
      </c>
      <c r="C8" s="526" t="s">
        <v>242</v>
      </c>
      <c r="D8" s="526" t="s">
        <v>813</v>
      </c>
      <c r="E8" s="9" t="s">
        <v>317</v>
      </c>
    </row>
    <row r="9" spans="1:5" ht="12.75">
      <c r="A9" s="257">
        <v>1</v>
      </c>
      <c r="B9" s="565">
        <v>2</v>
      </c>
      <c r="C9" s="565">
        <v>3</v>
      </c>
      <c r="D9" s="566">
        <v>4</v>
      </c>
      <c r="E9" s="566">
        <v>5</v>
      </c>
    </row>
    <row r="10" spans="1:5" ht="12.75">
      <c r="A10" s="530" t="s">
        <v>465</v>
      </c>
      <c r="B10" s="184">
        <f>'[17]Maijs'!$B$9</f>
        <v>37601</v>
      </c>
      <c r="C10" s="184">
        <f>'[17]Junijs'!$C$9</f>
        <v>18653</v>
      </c>
      <c r="D10" s="568">
        <f aca="true" t="shared" si="0" ref="D10:D33">C10/B10*100</f>
        <v>49.6077231988511</v>
      </c>
      <c r="E10" s="184">
        <f>C10-'[18]Maijs'!C10</f>
        <v>3738</v>
      </c>
    </row>
    <row r="11" spans="1:5" ht="12.75">
      <c r="A11" s="530" t="s">
        <v>885</v>
      </c>
      <c r="B11" s="184">
        <f>SUM(B12,B27)</f>
        <v>51066</v>
      </c>
      <c r="C11" s="184">
        <f>SUM(C12,C27)</f>
        <v>16011</v>
      </c>
      <c r="D11" s="568">
        <f t="shared" si="0"/>
        <v>31.353542474444833</v>
      </c>
      <c r="E11" s="184">
        <f>C11-'[18]Maijs'!C11</f>
        <v>3319</v>
      </c>
    </row>
    <row r="12" spans="1:5" ht="12.75">
      <c r="A12" s="550" t="s">
        <v>472</v>
      </c>
      <c r="B12" s="184">
        <f>SUM(B13,B19,B20)</f>
        <v>39415</v>
      </c>
      <c r="C12" s="184">
        <f>SUM(C13,C19,C20)</f>
        <v>12237</v>
      </c>
      <c r="D12" s="568">
        <f t="shared" si="0"/>
        <v>31.046555879741216</v>
      </c>
      <c r="E12" s="184">
        <f>C12-'[18]Maijs'!C12</f>
        <v>2518</v>
      </c>
    </row>
    <row r="13" spans="1:5" ht="12.75">
      <c r="A13" s="550" t="s">
        <v>473</v>
      </c>
      <c r="B13" s="184">
        <f>SUM(B14,B15,B16)</f>
        <v>22656</v>
      </c>
      <c r="C13" s="184">
        <f>SUM(C14,C15,C16)</f>
        <v>8072</v>
      </c>
      <c r="D13" s="568">
        <f t="shared" si="0"/>
        <v>35.62853107344633</v>
      </c>
      <c r="E13" s="184">
        <f>C13-'[18]Maijs'!C13</f>
        <v>1854</v>
      </c>
    </row>
    <row r="14" spans="1:5" ht="17.25" customHeight="1">
      <c r="A14" s="551" t="s">
        <v>886</v>
      </c>
      <c r="B14" s="192">
        <v>2463</v>
      </c>
      <c r="C14" s="192">
        <v>1108</v>
      </c>
      <c r="D14" s="570">
        <f t="shared" si="0"/>
        <v>44.98578968737312</v>
      </c>
      <c r="E14" s="192">
        <f>C14-'[18]Maijs'!C14</f>
        <v>217</v>
      </c>
    </row>
    <row r="15" spans="1:5" ht="25.5">
      <c r="A15" s="551" t="s">
        <v>887</v>
      </c>
      <c r="B15" s="192">
        <v>615</v>
      </c>
      <c r="C15" s="192">
        <v>270</v>
      </c>
      <c r="D15" s="570">
        <f t="shared" si="0"/>
        <v>43.90243902439025</v>
      </c>
      <c r="E15" s="192">
        <f>C15-'[18]Maijs'!C15</f>
        <v>49</v>
      </c>
    </row>
    <row r="16" spans="1:5" ht="12.75">
      <c r="A16" s="551" t="s">
        <v>888</v>
      </c>
      <c r="B16" s="192">
        <f>SUM(B17:B18)</f>
        <v>19578</v>
      </c>
      <c r="C16" s="192">
        <f>SUM(C17:C18)</f>
        <v>6694</v>
      </c>
      <c r="D16" s="570">
        <f t="shared" si="0"/>
        <v>34.191439370722236</v>
      </c>
      <c r="E16" s="192">
        <f>C16-'[18]Maijs'!C16</f>
        <v>1588</v>
      </c>
    </row>
    <row r="17" spans="1:5" ht="25.5">
      <c r="A17" s="562" t="s">
        <v>889</v>
      </c>
      <c r="B17" s="192">
        <f>17668+1723</f>
        <v>19391</v>
      </c>
      <c r="C17" s="192">
        <v>6629</v>
      </c>
      <c r="D17" s="570">
        <f t="shared" si="0"/>
        <v>34.1859625599505</v>
      </c>
      <c r="E17" s="192">
        <f>C17-'[18]Maijs'!C17</f>
        <v>1575</v>
      </c>
    </row>
    <row r="18" spans="1:5" ht="12.75">
      <c r="A18" s="562" t="s">
        <v>918</v>
      </c>
      <c r="B18" s="192">
        <f>110+79-2</f>
        <v>187</v>
      </c>
      <c r="C18" s="192">
        <v>65</v>
      </c>
      <c r="D18" s="570">
        <f t="shared" si="0"/>
        <v>34.75935828877005</v>
      </c>
      <c r="E18" s="192">
        <f>C18-'[18]Maijs'!C18</f>
        <v>13</v>
      </c>
    </row>
    <row r="19" spans="1:5" ht="25.5">
      <c r="A19" s="550" t="s">
        <v>891</v>
      </c>
      <c r="B19" s="184">
        <v>52</v>
      </c>
      <c r="C19" s="184">
        <v>43</v>
      </c>
      <c r="D19" s="568">
        <f t="shared" si="0"/>
        <v>82.6923076923077</v>
      </c>
      <c r="E19" s="184">
        <f>C19-'[18]Maijs'!C19</f>
        <v>1</v>
      </c>
    </row>
    <row r="20" spans="1:5" ht="12.75">
      <c r="A20" s="550" t="s">
        <v>481</v>
      </c>
      <c r="B20" s="184">
        <f>SUM(B21:B26)</f>
        <v>16707</v>
      </c>
      <c r="C20" s="184">
        <f>SUM(C21:C26)</f>
        <v>4122</v>
      </c>
      <c r="D20" s="568">
        <f t="shared" si="0"/>
        <v>24.672293050817025</v>
      </c>
      <c r="E20" s="184">
        <f>C20-'[18]Maijs'!C20</f>
        <v>663</v>
      </c>
    </row>
    <row r="21" spans="1:5" ht="12.75">
      <c r="A21" s="551" t="s">
        <v>892</v>
      </c>
      <c r="B21" s="192">
        <v>201</v>
      </c>
      <c r="C21" s="192">
        <v>110</v>
      </c>
      <c r="D21" s="570">
        <f t="shared" si="0"/>
        <v>54.72636815920397</v>
      </c>
      <c r="E21" s="192">
        <f>C21-'[18]Maijs'!C21</f>
        <v>5</v>
      </c>
    </row>
    <row r="22" spans="1:5" ht="12.75">
      <c r="A22" s="551" t="s">
        <v>893</v>
      </c>
      <c r="B22" s="192">
        <v>1192</v>
      </c>
      <c r="C22" s="192">
        <v>439</v>
      </c>
      <c r="D22" s="570">
        <f t="shared" si="0"/>
        <v>36.828859060402685</v>
      </c>
      <c r="E22" s="192">
        <f>C22-'[18]Maijs'!C22</f>
        <v>91</v>
      </c>
    </row>
    <row r="23" spans="1:5" ht="12.75">
      <c r="A23" s="551" t="s">
        <v>894</v>
      </c>
      <c r="B23" s="192">
        <v>73</v>
      </c>
      <c r="C23" s="192">
        <v>112</v>
      </c>
      <c r="D23" s="570">
        <f t="shared" si="0"/>
        <v>153.42465753424656</v>
      </c>
      <c r="E23" s="192">
        <f>C23-'[18]Maijs'!C23</f>
        <v>66</v>
      </c>
    </row>
    <row r="24" spans="1:5" ht="25.5">
      <c r="A24" s="551" t="s">
        <v>895</v>
      </c>
      <c r="B24" s="192">
        <v>12301</v>
      </c>
      <c r="C24" s="192">
        <v>1924</v>
      </c>
      <c r="D24" s="570">
        <f t="shared" si="0"/>
        <v>15.641004796358018</v>
      </c>
      <c r="E24" s="192">
        <f>C24-'[18]Maijs'!C24</f>
        <v>217</v>
      </c>
    </row>
    <row r="25" spans="1:5" ht="12.75">
      <c r="A25" s="551" t="s">
        <v>896</v>
      </c>
      <c r="B25" s="192">
        <v>2661</v>
      </c>
      <c r="C25" s="192">
        <v>1220</v>
      </c>
      <c r="D25" s="570">
        <f t="shared" si="0"/>
        <v>45.847425779782036</v>
      </c>
      <c r="E25" s="192">
        <f>C25-'[18]Maijs'!C25</f>
        <v>211</v>
      </c>
    </row>
    <row r="26" spans="1:5" ht="12.75">
      <c r="A26" s="551" t="s">
        <v>919</v>
      </c>
      <c r="B26" s="192">
        <v>279</v>
      </c>
      <c r="C26" s="192">
        <v>317</v>
      </c>
      <c r="D26" s="570">
        <f t="shared" si="0"/>
        <v>113.62007168458781</v>
      </c>
      <c r="E26" s="192">
        <f>C26-'[18]Maijs'!C26</f>
        <v>73</v>
      </c>
    </row>
    <row r="27" spans="1:5" ht="12.75">
      <c r="A27" s="550" t="s">
        <v>496</v>
      </c>
      <c r="B27" s="184">
        <f>SUM(B28:B29)</f>
        <v>11651</v>
      </c>
      <c r="C27" s="184">
        <f>SUM(C28:C29)</f>
        <v>3774</v>
      </c>
      <c r="D27" s="568">
        <f t="shared" si="0"/>
        <v>32.39206935027036</v>
      </c>
      <c r="E27" s="184">
        <f>C27-'[18]Maijs'!C27</f>
        <v>801</v>
      </c>
    </row>
    <row r="28" spans="1:5" ht="17.25" customHeight="1">
      <c r="A28" s="551" t="s">
        <v>898</v>
      </c>
      <c r="B28" s="192">
        <f>8324+43</f>
        <v>8367</v>
      </c>
      <c r="C28" s="192">
        <v>3036</v>
      </c>
      <c r="D28" s="570">
        <f t="shared" si="0"/>
        <v>36.28540695589817</v>
      </c>
      <c r="E28" s="192">
        <f>C28-'[18]Maijs'!C28</f>
        <v>853</v>
      </c>
    </row>
    <row r="29" spans="1:5" ht="12.75">
      <c r="A29" s="252" t="s">
        <v>712</v>
      </c>
      <c r="B29" s="192">
        <v>3284</v>
      </c>
      <c r="C29" s="192">
        <v>738</v>
      </c>
      <c r="D29" s="570">
        <f t="shared" si="0"/>
        <v>22.472594397076737</v>
      </c>
      <c r="E29" s="192">
        <f>C29-'[18]Maijs'!C29</f>
        <v>-52</v>
      </c>
    </row>
    <row r="30" spans="1:5" ht="12.75">
      <c r="A30" s="550" t="s">
        <v>899</v>
      </c>
      <c r="B30" s="184">
        <f>B31-B32</f>
        <v>-1936</v>
      </c>
      <c r="C30" s="184">
        <f>C31-C32</f>
        <v>-1699</v>
      </c>
      <c r="D30" s="568">
        <f t="shared" si="0"/>
        <v>87.75826446280992</v>
      </c>
      <c r="E30" s="184">
        <f>C30-'[18]Maijs'!C30</f>
        <v>-779</v>
      </c>
    </row>
    <row r="31" spans="1:5" ht="12.75">
      <c r="A31" s="551" t="s">
        <v>900</v>
      </c>
      <c r="B31" s="192">
        <v>695</v>
      </c>
      <c r="C31" s="192">
        <v>415</v>
      </c>
      <c r="D31" s="570">
        <f t="shared" si="0"/>
        <v>59.71223021582733</v>
      </c>
      <c r="E31" s="192">
        <f>C31-'[18]Maijs'!C31</f>
        <v>38</v>
      </c>
    </row>
    <row r="32" spans="1:5" ht="12.75">
      <c r="A32" s="551" t="s">
        <v>901</v>
      </c>
      <c r="B32" s="192">
        <v>2631</v>
      </c>
      <c r="C32" s="192">
        <v>2114</v>
      </c>
      <c r="D32" s="570">
        <f t="shared" si="0"/>
        <v>80.34967692892437</v>
      </c>
      <c r="E32" s="192">
        <f>C32-'[18]Maijs'!C32</f>
        <v>817</v>
      </c>
    </row>
    <row r="33" spans="1:5" ht="12.75">
      <c r="A33" s="550" t="s">
        <v>664</v>
      </c>
      <c r="B33" s="184">
        <f>B10-B11-B30</f>
        <v>-11529</v>
      </c>
      <c r="C33" s="184">
        <f>C10-C11-C30</f>
        <v>4341</v>
      </c>
      <c r="D33" s="568">
        <f t="shared" si="0"/>
        <v>-37.65287535779339</v>
      </c>
      <c r="E33" s="184">
        <f>C33-'[18]Maijs'!C33</f>
        <v>1198</v>
      </c>
    </row>
    <row r="34" spans="1:4" ht="17.25" customHeight="1">
      <c r="A34" s="543"/>
      <c r="B34" s="138"/>
      <c r="C34" s="138"/>
      <c r="D34" s="576"/>
    </row>
    <row r="35" ht="17.25" customHeight="1">
      <c r="A35" s="545"/>
    </row>
    <row r="36" ht="17.25" customHeight="1">
      <c r="A36" s="545"/>
    </row>
    <row r="37" ht="17.25" customHeight="1">
      <c r="A37" s="543"/>
    </row>
    <row r="38" spans="1:5" ht="12.75" customHeight="1">
      <c r="A38" s="41" t="s">
        <v>188</v>
      </c>
      <c r="B38" s="39"/>
      <c r="C38" s="39"/>
      <c r="D38" s="39" t="s">
        <v>376</v>
      </c>
      <c r="E38" s="577"/>
    </row>
    <row r="39" spans="1:3" ht="17.25" customHeight="1">
      <c r="A39" s="515"/>
      <c r="B39" s="91"/>
      <c r="C39" s="91"/>
    </row>
    <row r="40" spans="1:3" ht="17.25" customHeight="1">
      <c r="A40" s="545"/>
      <c r="B40" s="264"/>
      <c r="C40" s="264"/>
    </row>
    <row r="41" spans="1:3" ht="17.25" customHeight="1">
      <c r="A41" s="545"/>
      <c r="B41" s="49"/>
      <c r="C41" s="49"/>
    </row>
    <row r="42" spans="1:3" ht="17.25" customHeight="1">
      <c r="A42" s="515"/>
      <c r="B42" s="515"/>
      <c r="C42" s="515"/>
    </row>
    <row r="44" ht="12.75" customHeight="1">
      <c r="A44" s="1" t="s">
        <v>621</v>
      </c>
    </row>
    <row r="45" ht="12.75" customHeight="1">
      <c r="A45" s="1" t="s">
        <v>530</v>
      </c>
    </row>
  </sheetData>
  <mergeCells count="3">
    <mergeCell ref="A2:E2"/>
    <mergeCell ref="A4:E4"/>
    <mergeCell ref="A5:E5"/>
  </mergeCells>
  <printOptions/>
  <pageMargins left="0.75" right="0.75" top="1" bottom="1" header="0.5" footer="0.5"/>
  <pageSetup firstPageNumber="37" useFirstPageNumber="1" horizontalDpi="600" verticalDpi="600" orientation="portrait" paperSize="9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3"/>
  <sheetViews>
    <sheetView workbookViewId="0" topLeftCell="F1">
      <selection activeCell="F77" sqref="F77"/>
    </sheetView>
  </sheetViews>
  <sheetFormatPr defaultColWidth="9.140625" defaultRowHeight="12.75"/>
  <cols>
    <col min="1" max="1" width="33.8515625" style="49" hidden="1" customWidth="1"/>
    <col min="2" max="2" width="12.7109375" style="50" hidden="1" customWidth="1"/>
    <col min="3" max="3" width="2.57421875" style="49" hidden="1" customWidth="1"/>
    <col min="4" max="4" width="3.57421875" style="49" hidden="1" customWidth="1"/>
    <col min="5" max="5" width="2.8515625" style="49" hidden="1" customWidth="1"/>
    <col min="6" max="6" width="53.140625" style="0" customWidth="1"/>
    <col min="7" max="7" width="10.7109375" style="0" customWidth="1"/>
    <col min="8" max="8" width="8.8515625" style="0" customWidth="1"/>
    <col min="9" max="9" width="9.00390625" style="0" customWidth="1"/>
    <col min="10" max="10" width="9.421875" style="0" customWidth="1"/>
    <col min="11" max="16" width="9.140625" style="0" hidden="1" customWidth="1"/>
  </cols>
  <sheetData>
    <row r="1" spans="1:10" ht="18.75" customHeight="1">
      <c r="A1" s="48"/>
      <c r="B1" s="48"/>
      <c r="C1" s="48"/>
      <c r="D1" s="48"/>
      <c r="E1" s="48"/>
      <c r="F1" s="49"/>
      <c r="G1" s="50"/>
      <c r="H1" s="49"/>
      <c r="I1" s="49"/>
      <c r="J1" s="49" t="s">
        <v>237</v>
      </c>
    </row>
    <row r="2" spans="1:10" ht="18.75" customHeight="1">
      <c r="A2" s="48"/>
      <c r="B2" s="48"/>
      <c r="C2" s="48"/>
      <c r="D2" s="48"/>
      <c r="E2" s="48"/>
      <c r="F2" s="51" t="s">
        <v>238</v>
      </c>
      <c r="G2" s="52"/>
      <c r="H2" s="51"/>
      <c r="I2" s="51"/>
      <c r="J2" s="51"/>
    </row>
    <row r="3" spans="1:10" ht="14.25" customHeight="1">
      <c r="A3" s="48"/>
      <c r="B3" s="48"/>
      <c r="C3" s="48"/>
      <c r="D3" s="48"/>
      <c r="E3" s="48"/>
      <c r="F3" s="49"/>
      <c r="G3" s="50"/>
      <c r="H3" s="49"/>
      <c r="I3" s="49"/>
      <c r="J3" s="49"/>
    </row>
    <row r="4" spans="1:10" ht="18.75" customHeight="1">
      <c r="A4" s="48"/>
      <c r="B4" s="48"/>
      <c r="C4" s="48"/>
      <c r="D4" s="48"/>
      <c r="E4" s="48"/>
      <c r="F4" s="831" t="s">
        <v>239</v>
      </c>
      <c r="G4" s="831"/>
      <c r="H4" s="831"/>
      <c r="I4" s="831"/>
      <c r="J4" s="831"/>
    </row>
    <row r="5" spans="1:10" ht="18.75" customHeight="1">
      <c r="A5" s="48"/>
      <c r="B5" s="48"/>
      <c r="C5" s="48"/>
      <c r="D5" s="48"/>
      <c r="E5" s="48"/>
      <c r="F5" s="829" t="s">
        <v>309</v>
      </c>
      <c r="G5" s="829"/>
      <c r="H5" s="829"/>
      <c r="I5" s="829"/>
      <c r="J5" s="829"/>
    </row>
    <row r="6" spans="1:10" ht="14.2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5.75" customHeight="1">
      <c r="A7" s="53"/>
      <c r="B7" s="52"/>
      <c r="C7" s="51"/>
      <c r="D7" s="38"/>
      <c r="E7" s="38"/>
      <c r="F7" s="53"/>
      <c r="G7" s="52"/>
      <c r="H7" s="51"/>
      <c r="I7" s="38"/>
      <c r="J7" s="2" t="s">
        <v>240</v>
      </c>
    </row>
    <row r="8" spans="1:10" ht="49.5" customHeight="1">
      <c r="A8" s="9" t="s">
        <v>193</v>
      </c>
      <c r="B8" s="54" t="s">
        <v>241</v>
      </c>
      <c r="C8" s="9" t="s">
        <v>242</v>
      </c>
      <c r="D8" s="9" t="s">
        <v>243</v>
      </c>
      <c r="E8" s="9" t="s">
        <v>244</v>
      </c>
      <c r="F8" s="9" t="s">
        <v>193</v>
      </c>
      <c r="G8" s="54" t="s">
        <v>241</v>
      </c>
      <c r="H8" s="9" t="s">
        <v>242</v>
      </c>
      <c r="I8" s="9" t="s">
        <v>243</v>
      </c>
      <c r="J8" s="9" t="s">
        <v>313</v>
      </c>
    </row>
    <row r="9" spans="1:10" ht="12.75">
      <c r="A9" s="9">
        <v>1</v>
      </c>
      <c r="B9" s="54">
        <v>2</v>
      </c>
      <c r="C9" s="9">
        <v>3</v>
      </c>
      <c r="D9" s="9">
        <v>4</v>
      </c>
      <c r="E9" s="9">
        <v>5</v>
      </c>
      <c r="F9" s="9">
        <v>1</v>
      </c>
      <c r="G9" s="54">
        <v>2</v>
      </c>
      <c r="H9" s="9">
        <v>3</v>
      </c>
      <c r="I9" s="9">
        <v>4</v>
      </c>
      <c r="J9" s="9">
        <v>5</v>
      </c>
    </row>
    <row r="10" spans="1:10" ht="12.75">
      <c r="A10" s="32" t="s">
        <v>245</v>
      </c>
      <c r="B10" s="55">
        <f>SUM(B24,B33)</f>
        <v>1455956480</v>
      </c>
      <c r="C10" s="55">
        <f>SUM(C24,C33)</f>
        <v>0</v>
      </c>
      <c r="D10" s="56">
        <f>IF(ISERROR(C10/B10)," ",(C10/B10))</f>
        <v>0</v>
      </c>
      <c r="E10" s="55">
        <f>C10</f>
        <v>0</v>
      </c>
      <c r="F10" s="32" t="s">
        <v>245</v>
      </c>
      <c r="G10" s="57">
        <f>SUM(G24,G33)</f>
        <v>1455956</v>
      </c>
      <c r="H10" s="57">
        <f>SUM(H24,H33)</f>
        <v>675939</v>
      </c>
      <c r="I10" s="58">
        <f>IF(ISERROR(H10/G10)," ",(H10/G10))*100</f>
        <v>46.42578484514642</v>
      </c>
      <c r="J10" s="57">
        <f>H10-'[4]Maijs'!H10</f>
        <v>120117</v>
      </c>
    </row>
    <row r="11" spans="1:10" ht="12.75" customHeight="1">
      <c r="A11" s="59" t="s">
        <v>246</v>
      </c>
      <c r="B11" s="55">
        <f>SUM(B12,B20,B21,B22)</f>
        <v>795383031</v>
      </c>
      <c r="C11" s="55">
        <f>SUM(C12,C20,C21)</f>
        <v>0</v>
      </c>
      <c r="D11" s="56">
        <f aca="true" t="shared" si="0" ref="D11:D74">IF(ISERROR(C11/B11)," ",(C11/B11))</f>
        <v>0</v>
      </c>
      <c r="E11" s="55">
        <f aca="true" t="shared" si="1" ref="E11:E75">C11</f>
        <v>0</v>
      </c>
      <c r="F11" s="59" t="s">
        <v>246</v>
      </c>
      <c r="G11" s="57">
        <f>SUM(G12,G20,G21,G22)</f>
        <v>795383</v>
      </c>
      <c r="H11" s="57">
        <f>SUM(H12,H20,H21,H22)</f>
        <v>367529</v>
      </c>
      <c r="I11" s="58">
        <f>IF(ISERROR(H11/G11)," ",(H11/G11))*100</f>
        <v>46.20780177599974</v>
      </c>
      <c r="J11" s="57">
        <f>H11-'[4]Maijs'!H11</f>
        <v>70225</v>
      </c>
    </row>
    <row r="12" spans="1:10" ht="12.75">
      <c r="A12" s="60" t="s">
        <v>247</v>
      </c>
      <c r="B12" s="61">
        <f>SUM(B13,B15,B19)</f>
        <v>611912797</v>
      </c>
      <c r="C12" s="61">
        <f>SUM(C13,C15,C19)</f>
        <v>0</v>
      </c>
      <c r="D12" s="62">
        <f t="shared" si="0"/>
        <v>0</v>
      </c>
      <c r="E12" s="55">
        <f t="shared" si="1"/>
        <v>0</v>
      </c>
      <c r="F12" s="60" t="s">
        <v>247</v>
      </c>
      <c r="G12" s="63">
        <f>SUM(G13,G15,G19)</f>
        <v>611913</v>
      </c>
      <c r="H12" s="63">
        <f>SUM(H13,H15,H19)</f>
        <v>290383</v>
      </c>
      <c r="I12" s="64">
        <f>IF(ISERROR(H12/G12)," ",(H12/G12))*100</f>
        <v>47.45494866100246</v>
      </c>
      <c r="J12" s="63">
        <f>H12-'[4]Maijs'!H12</f>
        <v>56762</v>
      </c>
    </row>
    <row r="13" spans="1:10" ht="12.75">
      <c r="A13" s="65" t="s">
        <v>248</v>
      </c>
      <c r="B13" s="61">
        <f>SUM(B14)</f>
        <v>98046000</v>
      </c>
      <c r="C13" s="61">
        <f>SUM(C14)</f>
        <v>0</v>
      </c>
      <c r="D13" s="62">
        <f t="shared" si="0"/>
        <v>0</v>
      </c>
      <c r="E13" s="55">
        <f t="shared" si="1"/>
        <v>0</v>
      </c>
      <c r="F13" s="65" t="s">
        <v>248</v>
      </c>
      <c r="G13" s="61">
        <f>SUM(G14)</f>
        <v>98046</v>
      </c>
      <c r="H13" s="61">
        <f>SUM(H14)</f>
        <v>54630</v>
      </c>
      <c r="I13" s="64">
        <f>IF(ISERROR(H13/G13)," ",(H13/G13))*100</f>
        <v>55.718744262897005</v>
      </c>
      <c r="J13" s="61">
        <f>H13-'[4]Maijs'!H13</f>
        <v>8422</v>
      </c>
    </row>
    <row r="14" spans="1:10" ht="12.75">
      <c r="A14" s="66" t="s">
        <v>249</v>
      </c>
      <c r="B14" s="61">
        <v>98046000</v>
      </c>
      <c r="C14" s="61"/>
      <c r="D14" s="62">
        <f t="shared" si="0"/>
        <v>0</v>
      </c>
      <c r="E14" s="55">
        <f t="shared" si="1"/>
        <v>0</v>
      </c>
      <c r="F14" s="66" t="s">
        <v>249</v>
      </c>
      <c r="G14" s="63">
        <f>ROUND(B14/1000,0)</f>
        <v>98046</v>
      </c>
      <c r="H14" s="63">
        <v>54630</v>
      </c>
      <c r="I14" s="64">
        <f>IF(ISERROR(H14/G14)," ",(H14/G14))*100</f>
        <v>55.718744262897005</v>
      </c>
      <c r="J14" s="63">
        <f>H14-'[4]Maijs'!H14</f>
        <v>8422</v>
      </c>
    </row>
    <row r="15" spans="1:10" ht="12.75">
      <c r="A15" s="65" t="s">
        <v>250</v>
      </c>
      <c r="B15" s="61">
        <f>SUM(B16:B18)</f>
        <v>513866797</v>
      </c>
      <c r="C15" s="61">
        <f>SUM(C16:C18)</f>
        <v>0</v>
      </c>
      <c r="D15" s="62">
        <f t="shared" si="0"/>
        <v>0</v>
      </c>
      <c r="E15" s="55">
        <f t="shared" si="1"/>
        <v>0</v>
      </c>
      <c r="F15" s="65" t="s">
        <v>250</v>
      </c>
      <c r="G15" s="61">
        <f>SUM(G16:G18)</f>
        <v>513867</v>
      </c>
      <c r="H15" s="61">
        <f>SUM(H16:H18)</f>
        <v>231648</v>
      </c>
      <c r="I15" s="64">
        <f aca="true" t="shared" si="2" ref="I15:I78">IF(ISERROR(H15/G15)," ",(H15/G15))*100</f>
        <v>45.07936878608667</v>
      </c>
      <c r="J15" s="61">
        <f>H15-'[4]Maijs'!H15</f>
        <v>45157</v>
      </c>
    </row>
    <row r="16" spans="1:10" ht="12.75" customHeight="1">
      <c r="A16" s="67" t="s">
        <v>251</v>
      </c>
      <c r="B16" s="61">
        <v>368947657</v>
      </c>
      <c r="C16" s="61"/>
      <c r="D16" s="62">
        <f t="shared" si="0"/>
        <v>0</v>
      </c>
      <c r="E16" s="55">
        <f t="shared" si="1"/>
        <v>0</v>
      </c>
      <c r="F16" s="67" t="s">
        <v>251</v>
      </c>
      <c r="G16" s="63">
        <f aca="true" t="shared" si="3" ref="G16:G23">ROUND(B16/1000,0)</f>
        <v>368948</v>
      </c>
      <c r="H16" s="63">
        <v>168161</v>
      </c>
      <c r="I16" s="64">
        <f t="shared" si="2"/>
        <v>45.57850970868523</v>
      </c>
      <c r="J16" s="63">
        <f>H16-'[4]Maijs'!H16</f>
        <v>32190</v>
      </c>
    </row>
    <row r="17" spans="1:10" ht="12.75">
      <c r="A17" s="66" t="s">
        <v>252</v>
      </c>
      <c r="B17" s="61">
        <v>132976140</v>
      </c>
      <c r="C17" s="61"/>
      <c r="D17" s="62">
        <f t="shared" si="0"/>
        <v>0</v>
      </c>
      <c r="E17" s="55">
        <f t="shared" si="1"/>
        <v>0</v>
      </c>
      <c r="F17" s="66" t="s">
        <v>252</v>
      </c>
      <c r="G17" s="63">
        <f t="shared" si="3"/>
        <v>132976</v>
      </c>
      <c r="H17" s="63">
        <v>56081</v>
      </c>
      <c r="I17" s="64">
        <f t="shared" si="2"/>
        <v>42.17377571892673</v>
      </c>
      <c r="J17" s="63">
        <f>H17-'[4]Maijs'!H17</f>
        <v>11601</v>
      </c>
    </row>
    <row r="18" spans="1:10" ht="12.75">
      <c r="A18" s="66" t="s">
        <v>253</v>
      </c>
      <c r="B18" s="61">
        <v>11943000</v>
      </c>
      <c r="C18" s="61"/>
      <c r="D18" s="62">
        <f t="shared" si="0"/>
        <v>0</v>
      </c>
      <c r="E18" s="55">
        <f t="shared" si="1"/>
        <v>0</v>
      </c>
      <c r="F18" s="66" t="s">
        <v>253</v>
      </c>
      <c r="G18" s="63">
        <f t="shared" si="3"/>
        <v>11943</v>
      </c>
      <c r="H18" s="63">
        <v>7406</v>
      </c>
      <c r="I18" s="64">
        <f t="shared" si="2"/>
        <v>62.01121996148371</v>
      </c>
      <c r="J18" s="63">
        <f>H18-'[4]Maijs'!H18</f>
        <v>1366</v>
      </c>
    </row>
    <row r="19" spans="1:10" ht="12.75">
      <c r="A19" s="65" t="s">
        <v>254</v>
      </c>
      <c r="B19" s="61"/>
      <c r="C19" s="61"/>
      <c r="D19" s="62" t="str">
        <f t="shared" si="0"/>
        <v> </v>
      </c>
      <c r="E19" s="55">
        <f t="shared" si="1"/>
        <v>0</v>
      </c>
      <c r="F19" s="65" t="s">
        <v>254</v>
      </c>
      <c r="G19" s="68" t="s">
        <v>199</v>
      </c>
      <c r="H19" s="61">
        <v>4105</v>
      </c>
      <c r="I19" s="64"/>
      <c r="J19" s="61">
        <f>H19-'[4]Maijs'!H19</f>
        <v>3183</v>
      </c>
    </row>
    <row r="20" spans="1:10" ht="12.75">
      <c r="A20" s="60" t="s">
        <v>255</v>
      </c>
      <c r="B20" s="61">
        <v>66652153</v>
      </c>
      <c r="C20" s="61"/>
      <c r="D20" s="62">
        <f t="shared" si="0"/>
        <v>0</v>
      </c>
      <c r="E20" s="55">
        <f t="shared" si="1"/>
        <v>0</v>
      </c>
      <c r="F20" s="60" t="s">
        <v>255</v>
      </c>
      <c r="G20" s="63">
        <f t="shared" si="3"/>
        <v>66652</v>
      </c>
      <c r="H20" s="63">
        <v>33909</v>
      </c>
      <c r="I20" s="64">
        <f t="shared" si="2"/>
        <v>50.87469243233511</v>
      </c>
      <c r="J20" s="63">
        <f>H20-'[4]Maijs'!H20</f>
        <v>5312</v>
      </c>
    </row>
    <row r="21" spans="1:10" ht="12.75" customHeight="1">
      <c r="A21" s="69" t="s">
        <v>256</v>
      </c>
      <c r="B21" s="61">
        <v>60659270</v>
      </c>
      <c r="C21" s="61"/>
      <c r="D21" s="62">
        <f t="shared" si="0"/>
        <v>0</v>
      </c>
      <c r="E21" s="55">
        <f t="shared" si="1"/>
        <v>0</v>
      </c>
      <c r="F21" s="69" t="s">
        <v>256</v>
      </c>
      <c r="G21" s="63">
        <f t="shared" si="3"/>
        <v>60659</v>
      </c>
      <c r="H21" s="63">
        <v>28882</v>
      </c>
      <c r="I21" s="64">
        <f t="shared" si="2"/>
        <v>47.61370942481742</v>
      </c>
      <c r="J21" s="63">
        <f>H21-'[4]Maijs'!H21</f>
        <v>4372</v>
      </c>
    </row>
    <row r="22" spans="1:10" ht="12" customHeight="1">
      <c r="A22" s="69" t="s">
        <v>257</v>
      </c>
      <c r="B22" s="61">
        <f>45600095+10558716</f>
        <v>56158811</v>
      </c>
      <c r="C22" s="61"/>
      <c r="D22" s="62"/>
      <c r="E22" s="55"/>
      <c r="F22" s="69" t="s">
        <v>258</v>
      </c>
      <c r="G22" s="63">
        <f t="shared" si="3"/>
        <v>56159</v>
      </c>
      <c r="H22" s="63">
        <v>14355</v>
      </c>
      <c r="I22" s="64">
        <f t="shared" si="2"/>
        <v>25.561352588187113</v>
      </c>
      <c r="J22" s="63">
        <f>H22-'[4]Maijs'!H22</f>
        <v>3779</v>
      </c>
    </row>
    <row r="23" spans="1:10" ht="12.75" customHeight="1">
      <c r="A23" s="70" t="s">
        <v>259</v>
      </c>
      <c r="B23" s="61">
        <v>1201200</v>
      </c>
      <c r="C23" s="61"/>
      <c r="D23" s="62">
        <f t="shared" si="0"/>
        <v>0</v>
      </c>
      <c r="E23" s="55">
        <f t="shared" si="1"/>
        <v>0</v>
      </c>
      <c r="F23" s="70" t="s">
        <v>259</v>
      </c>
      <c r="G23" s="71">
        <f t="shared" si="3"/>
        <v>1201</v>
      </c>
      <c r="H23" s="72">
        <v>601</v>
      </c>
      <c r="I23" s="73">
        <f t="shared" si="2"/>
        <v>50.041631973355535</v>
      </c>
      <c r="J23" s="72">
        <f>H23-'[4]Maijs'!H23</f>
        <v>100</v>
      </c>
    </row>
    <row r="24" spans="1:10" ht="12.75" customHeight="1">
      <c r="A24" s="59" t="s">
        <v>260</v>
      </c>
      <c r="B24" s="55">
        <f>SUM(B11-B23)</f>
        <v>794181831</v>
      </c>
      <c r="C24" s="55">
        <f>SUM(C11-C23)</f>
        <v>0</v>
      </c>
      <c r="D24" s="56">
        <f t="shared" si="0"/>
        <v>0</v>
      </c>
      <c r="E24" s="55">
        <f t="shared" si="1"/>
        <v>0</v>
      </c>
      <c r="F24" s="59" t="s">
        <v>260</v>
      </c>
      <c r="G24" s="57">
        <f>SUM(G11-G23)</f>
        <v>794182</v>
      </c>
      <c r="H24" s="57">
        <f>SUM(H11-H23)</f>
        <v>366928</v>
      </c>
      <c r="I24" s="58">
        <f t="shared" si="2"/>
        <v>46.20200407463277</v>
      </c>
      <c r="J24" s="57">
        <f>H24-'[4]Maijs'!H24</f>
        <v>70125</v>
      </c>
    </row>
    <row r="25" spans="1:10" ht="12.75">
      <c r="A25" s="74" t="s">
        <v>261</v>
      </c>
      <c r="B25" s="55">
        <f>SUM(B26)</f>
        <v>725518701</v>
      </c>
      <c r="C25" s="55">
        <f>SUM(C26)</f>
        <v>0</v>
      </c>
      <c r="D25" s="56">
        <f t="shared" si="0"/>
        <v>0</v>
      </c>
      <c r="E25" s="55">
        <f t="shared" si="1"/>
        <v>0</v>
      </c>
      <c r="F25" s="74" t="s">
        <v>261</v>
      </c>
      <c r="G25" s="57">
        <f>SUM(G26)</f>
        <v>725518</v>
      </c>
      <c r="H25" s="57">
        <f>SUM(H26)</f>
        <v>342779</v>
      </c>
      <c r="I25" s="58">
        <f t="shared" si="2"/>
        <v>47.246105541144395</v>
      </c>
      <c r="J25" s="57">
        <f>H25-'[4]Maijs'!H25</f>
        <v>55416</v>
      </c>
    </row>
    <row r="26" spans="1:10" ht="12.75">
      <c r="A26" s="60" t="s">
        <v>262</v>
      </c>
      <c r="B26" s="61">
        <f>SUM(B27:B31)</f>
        <v>725518701</v>
      </c>
      <c r="C26" s="61">
        <f>SUM(C27:C31)</f>
        <v>0</v>
      </c>
      <c r="D26" s="62">
        <f t="shared" si="0"/>
        <v>0</v>
      </c>
      <c r="E26" s="55">
        <f t="shared" si="1"/>
        <v>0</v>
      </c>
      <c r="F26" s="60" t="s">
        <v>262</v>
      </c>
      <c r="G26" s="63">
        <f>SUM(G27:G31)</f>
        <v>725518</v>
      </c>
      <c r="H26" s="63">
        <f>SUM(H27:H31)</f>
        <v>342779</v>
      </c>
      <c r="I26" s="64">
        <f t="shared" si="2"/>
        <v>47.246105541144395</v>
      </c>
      <c r="J26" s="63">
        <f>H26-'[4]Maijs'!H26</f>
        <v>55416</v>
      </c>
    </row>
    <row r="27" spans="1:10" ht="12.75">
      <c r="A27" s="66" t="s">
        <v>263</v>
      </c>
      <c r="B27" s="61">
        <v>495585390</v>
      </c>
      <c r="C27" s="61"/>
      <c r="D27" s="62">
        <f t="shared" si="0"/>
        <v>0</v>
      </c>
      <c r="E27" s="55">
        <f t="shared" si="1"/>
        <v>0</v>
      </c>
      <c r="F27" s="66" t="s">
        <v>263</v>
      </c>
      <c r="G27" s="63">
        <f aca="true" t="shared" si="4" ref="G27:G32">ROUND(B27/1000,0)</f>
        <v>495585</v>
      </c>
      <c r="H27" s="63">
        <v>234080</v>
      </c>
      <c r="I27" s="64">
        <f t="shared" si="2"/>
        <v>47.23306799035483</v>
      </c>
      <c r="J27" s="63">
        <f>H27-'[4]Maijs'!H27</f>
        <v>37670</v>
      </c>
    </row>
    <row r="28" spans="1:10" ht="12.75">
      <c r="A28" s="66" t="s">
        <v>264</v>
      </c>
      <c r="B28" s="61">
        <v>51689860</v>
      </c>
      <c r="C28" s="61"/>
      <c r="D28" s="62">
        <f t="shared" si="0"/>
        <v>0</v>
      </c>
      <c r="E28" s="55">
        <f t="shared" si="1"/>
        <v>0</v>
      </c>
      <c r="F28" s="66" t="s">
        <v>264</v>
      </c>
      <c r="G28" s="63">
        <f t="shared" si="4"/>
        <v>51690</v>
      </c>
      <c r="H28" s="63">
        <f>18601+191+595+319</f>
        <v>19706</v>
      </c>
      <c r="I28" s="64">
        <f t="shared" si="2"/>
        <v>38.12342812923196</v>
      </c>
      <c r="J28" s="63">
        <f>H28-'[4]Maijs'!H28</f>
        <v>3145</v>
      </c>
    </row>
    <row r="29" spans="1:10" ht="12.75">
      <c r="A29" s="66" t="s">
        <v>265</v>
      </c>
      <c r="B29" s="61">
        <v>80619197</v>
      </c>
      <c r="C29" s="61"/>
      <c r="D29" s="62">
        <f t="shared" si="0"/>
        <v>0</v>
      </c>
      <c r="E29" s="55">
        <f t="shared" si="1"/>
        <v>0</v>
      </c>
      <c r="F29" s="66" t="s">
        <v>265</v>
      </c>
      <c r="G29" s="63">
        <f t="shared" si="4"/>
        <v>80619</v>
      </c>
      <c r="H29" s="63">
        <v>38064</v>
      </c>
      <c r="I29" s="64">
        <f t="shared" si="2"/>
        <v>47.214676441037476</v>
      </c>
      <c r="J29" s="63">
        <f>H29-'[4]Maijs'!H29</f>
        <v>6622</v>
      </c>
    </row>
    <row r="30" spans="1:10" ht="12.75">
      <c r="A30" s="66" t="s">
        <v>266</v>
      </c>
      <c r="B30" s="61">
        <f>1678188+926917</f>
        <v>2605105</v>
      </c>
      <c r="C30" s="61"/>
      <c r="D30" s="62">
        <f t="shared" si="0"/>
        <v>0</v>
      </c>
      <c r="E30" s="55">
        <f t="shared" si="1"/>
        <v>0</v>
      </c>
      <c r="F30" s="66" t="s">
        <v>267</v>
      </c>
      <c r="G30" s="63">
        <f t="shared" si="4"/>
        <v>2605</v>
      </c>
      <c r="H30" s="63">
        <f>1034</f>
        <v>1034</v>
      </c>
      <c r="I30" s="64">
        <f t="shared" si="2"/>
        <v>39.69289827255278</v>
      </c>
      <c r="J30" s="63">
        <f>H30-'[4]Maijs'!H30</f>
        <v>143</v>
      </c>
    </row>
    <row r="31" spans="1:10" ht="12.75">
      <c r="A31" s="66" t="s">
        <v>268</v>
      </c>
      <c r="B31" s="61">
        <v>95019149</v>
      </c>
      <c r="C31" s="61"/>
      <c r="D31" s="62">
        <f t="shared" si="0"/>
        <v>0</v>
      </c>
      <c r="E31" s="55">
        <f t="shared" si="1"/>
        <v>0</v>
      </c>
      <c r="F31" s="66" t="s">
        <v>268</v>
      </c>
      <c r="G31" s="63">
        <f t="shared" si="4"/>
        <v>95019</v>
      </c>
      <c r="H31" s="63">
        <v>49895</v>
      </c>
      <c r="I31" s="64">
        <f t="shared" si="2"/>
        <v>52.510550521474656</v>
      </c>
      <c r="J31" s="63">
        <f>H31-'[4]Maijs'!H31</f>
        <v>7836</v>
      </c>
    </row>
    <row r="32" spans="1:10" ht="12.75">
      <c r="A32" s="75" t="s">
        <v>269</v>
      </c>
      <c r="B32" s="61">
        <v>63744052</v>
      </c>
      <c r="C32" s="61"/>
      <c r="D32" s="62">
        <f t="shared" si="0"/>
        <v>0</v>
      </c>
      <c r="E32" s="55">
        <f t="shared" si="1"/>
        <v>0</v>
      </c>
      <c r="F32" s="75" t="s">
        <v>269</v>
      </c>
      <c r="G32" s="71">
        <f t="shared" si="4"/>
        <v>63744</v>
      </c>
      <c r="H32" s="71">
        <f>991+644+28959+3174</f>
        <v>33768</v>
      </c>
      <c r="I32" s="73">
        <f t="shared" si="2"/>
        <v>52.97439759036144</v>
      </c>
      <c r="J32" s="71">
        <f>H32-'[4]Maijs'!H32</f>
        <v>5424</v>
      </c>
    </row>
    <row r="33" spans="1:10" ht="12.75" customHeight="1">
      <c r="A33" s="59" t="s">
        <v>270</v>
      </c>
      <c r="B33" s="55">
        <f>SUM(B25-B32)</f>
        <v>661774649</v>
      </c>
      <c r="C33" s="55">
        <f>SUM(C25-C32)</f>
        <v>0</v>
      </c>
      <c r="D33" s="56">
        <f t="shared" si="0"/>
        <v>0</v>
      </c>
      <c r="E33" s="55">
        <f t="shared" si="1"/>
        <v>0</v>
      </c>
      <c r="F33" s="59" t="s">
        <v>270</v>
      </c>
      <c r="G33" s="57">
        <f>SUM(G25-G32)</f>
        <v>661774</v>
      </c>
      <c r="H33" s="57">
        <f>SUM(H25-H32)</f>
        <v>309011</v>
      </c>
      <c r="I33" s="58">
        <f t="shared" si="2"/>
        <v>46.69433975949494</v>
      </c>
      <c r="J33" s="57">
        <f>H33-'[4]Maijs'!H33</f>
        <v>49992</v>
      </c>
    </row>
    <row r="34" spans="1:10" ht="15" customHeight="1">
      <c r="A34" s="76" t="s">
        <v>271</v>
      </c>
      <c r="B34" s="55">
        <f>SUM(B35:B37)</f>
        <v>1522764836</v>
      </c>
      <c r="C34" s="55">
        <f>SUM(C35:C37)</f>
        <v>0</v>
      </c>
      <c r="D34" s="56">
        <f t="shared" si="0"/>
        <v>0</v>
      </c>
      <c r="E34" s="55">
        <f t="shared" si="1"/>
        <v>0</v>
      </c>
      <c r="F34" s="76" t="s">
        <v>271</v>
      </c>
      <c r="G34" s="57">
        <f>SUM(G35:G37)</f>
        <v>1522764</v>
      </c>
      <c r="H34" s="57">
        <f>SUM(H35:H37)</f>
        <v>702202</v>
      </c>
      <c r="I34" s="58">
        <f t="shared" si="2"/>
        <v>46.11364597534484</v>
      </c>
      <c r="J34" s="57">
        <f>H34-'[4]Maijs'!H34</f>
        <v>123101</v>
      </c>
    </row>
    <row r="35" spans="1:10" ht="38.25">
      <c r="A35" s="76" t="s">
        <v>272</v>
      </c>
      <c r="B35" s="55">
        <f>SUM(B52+B69)</f>
        <v>1411058420</v>
      </c>
      <c r="C35" s="55">
        <f>SUM(C52+C69)</f>
        <v>0</v>
      </c>
      <c r="D35" s="56">
        <f t="shared" si="0"/>
        <v>0</v>
      </c>
      <c r="E35" s="55">
        <f t="shared" si="1"/>
        <v>0</v>
      </c>
      <c r="F35" s="76" t="s">
        <v>272</v>
      </c>
      <c r="G35" s="57">
        <f>SUM(G52+G69)</f>
        <v>1411058</v>
      </c>
      <c r="H35" s="57">
        <f>SUM(H52+H69)</f>
        <v>669917</v>
      </c>
      <c r="I35" s="58">
        <f t="shared" si="2"/>
        <v>47.47621997111388</v>
      </c>
      <c r="J35" s="57">
        <f>H35-'[4]Maijs'!H35</f>
        <v>116073</v>
      </c>
    </row>
    <row r="36" spans="1:10" ht="25.5">
      <c r="A36" s="76" t="s">
        <v>273</v>
      </c>
      <c r="B36" s="55">
        <f>SUM(B54+B71)</f>
        <v>37213049</v>
      </c>
      <c r="C36" s="55">
        <f>SUM(C54+C71)</f>
        <v>0</v>
      </c>
      <c r="D36" s="56">
        <f t="shared" si="0"/>
        <v>0</v>
      </c>
      <c r="E36" s="55">
        <f t="shared" si="1"/>
        <v>0</v>
      </c>
      <c r="F36" s="76" t="s">
        <v>273</v>
      </c>
      <c r="G36" s="57">
        <f>SUM(G54+G71)</f>
        <v>37213</v>
      </c>
      <c r="H36" s="57">
        <f>SUM(H54+H71)</f>
        <v>13486</v>
      </c>
      <c r="I36" s="58">
        <f t="shared" si="2"/>
        <v>36.24002364765001</v>
      </c>
      <c r="J36" s="57">
        <f>H36-'[4]Maijs'!H36</f>
        <v>1725</v>
      </c>
    </row>
    <row r="37" spans="1:10" ht="38.25">
      <c r="A37" s="76" t="s">
        <v>274</v>
      </c>
      <c r="B37" s="55">
        <f>SUM(B57+B73)</f>
        <v>74493367</v>
      </c>
      <c r="C37" s="55">
        <f>SUM(C57+C73)</f>
        <v>0</v>
      </c>
      <c r="D37" s="56">
        <f t="shared" si="0"/>
        <v>0</v>
      </c>
      <c r="E37" s="55">
        <f t="shared" si="1"/>
        <v>0</v>
      </c>
      <c r="F37" s="76" t="s">
        <v>274</v>
      </c>
      <c r="G37" s="57">
        <f>SUM(G57+G73)</f>
        <v>74493</v>
      </c>
      <c r="H37" s="57">
        <f>SUM(H57+H73)</f>
        <v>18799</v>
      </c>
      <c r="I37" s="58">
        <f t="shared" si="2"/>
        <v>25.235928208019548</v>
      </c>
      <c r="J37" s="57">
        <f>H37-'[4]Maijs'!H37</f>
        <v>5303</v>
      </c>
    </row>
    <row r="38" spans="1:10" ht="26.25" customHeight="1">
      <c r="A38" s="76" t="s">
        <v>275</v>
      </c>
      <c r="B38" s="55">
        <f>SUM(B10-B34)</f>
        <v>-66808356</v>
      </c>
      <c r="C38" s="55">
        <f>SUM(C10-C34)</f>
        <v>0</v>
      </c>
      <c r="D38" s="56">
        <f t="shared" si="0"/>
        <v>0</v>
      </c>
      <c r="E38" s="55">
        <f t="shared" si="1"/>
        <v>0</v>
      </c>
      <c r="F38" s="76" t="s">
        <v>275</v>
      </c>
      <c r="G38" s="57">
        <f>SUM(G10-G34)</f>
        <v>-66808</v>
      </c>
      <c r="H38" s="57">
        <f>SUM(H10-H34)</f>
        <v>-26263</v>
      </c>
      <c r="I38" s="58">
        <f t="shared" si="2"/>
        <v>39.311160340079034</v>
      </c>
      <c r="J38" s="57">
        <f>H38-'[4]Maijs'!H38</f>
        <v>-2984</v>
      </c>
    </row>
    <row r="39" spans="1:10" ht="15" customHeight="1">
      <c r="A39" s="76" t="s">
        <v>276</v>
      </c>
      <c r="B39" s="55">
        <f>SUM(B59+B75)</f>
        <v>12372983</v>
      </c>
      <c r="C39" s="55">
        <f>SUM(C59+C75)</f>
        <v>0</v>
      </c>
      <c r="D39" s="56">
        <f t="shared" si="0"/>
        <v>0</v>
      </c>
      <c r="E39" s="55">
        <f t="shared" si="1"/>
        <v>0</v>
      </c>
      <c r="F39" s="76" t="s">
        <v>276</v>
      </c>
      <c r="G39" s="57">
        <f>SUM(G59+G75)</f>
        <v>12373</v>
      </c>
      <c r="H39" s="57">
        <f>SUM(H59+H75)</f>
        <v>-3132</v>
      </c>
      <c r="I39" s="58">
        <f t="shared" si="2"/>
        <v>-25.31318192839247</v>
      </c>
      <c r="J39" s="57">
        <f>H39-'[4]Maijs'!H39</f>
        <v>-3944</v>
      </c>
    </row>
    <row r="40" spans="1:10" ht="27" customHeight="1">
      <c r="A40" s="76" t="s">
        <v>277</v>
      </c>
      <c r="B40" s="55">
        <f>SUM(B34+B39)</f>
        <v>1535137819</v>
      </c>
      <c r="C40" s="55">
        <f>SUM(C34+C39)</f>
        <v>0</v>
      </c>
      <c r="D40" s="56">
        <f t="shared" si="0"/>
        <v>0</v>
      </c>
      <c r="E40" s="55">
        <f t="shared" si="1"/>
        <v>0</v>
      </c>
      <c r="F40" s="76" t="s">
        <v>277</v>
      </c>
      <c r="G40" s="57">
        <f>SUM(G34+G39)</f>
        <v>1535137</v>
      </c>
      <c r="H40" s="57">
        <f>SUM(H34+H39)</f>
        <v>699070</v>
      </c>
      <c r="I40" s="58">
        <f t="shared" si="2"/>
        <v>45.53795524438535</v>
      </c>
      <c r="J40" s="57">
        <f>H40-'[4]Maijs'!H40</f>
        <v>119157</v>
      </c>
    </row>
    <row r="41" spans="1:10" ht="25.5">
      <c r="A41" s="76" t="s">
        <v>278</v>
      </c>
      <c r="B41" s="55">
        <f>IF((B38-B39=B10-B40)=TRUE,B38-B39,9)</f>
        <v>-79181339</v>
      </c>
      <c r="C41" s="57">
        <f>C38-C39</f>
        <v>0</v>
      </c>
      <c r="D41" s="56">
        <f t="shared" si="0"/>
        <v>0</v>
      </c>
      <c r="E41" s="55">
        <f t="shared" si="1"/>
        <v>0</v>
      </c>
      <c r="F41" s="76" t="s">
        <v>278</v>
      </c>
      <c r="G41" s="57">
        <f>IF((G38-G39=G10-G40)=TRUE,G38-G39,9)</f>
        <v>-79181</v>
      </c>
      <c r="H41" s="57">
        <f>IF((H38-H39=H10-H40)=TRUE,H38-H39,9)</f>
        <v>-23131</v>
      </c>
      <c r="I41" s="58">
        <f t="shared" si="2"/>
        <v>29.21281620590798</v>
      </c>
      <c r="J41" s="57">
        <f>H41-'[4]Maijs'!H41</f>
        <v>960</v>
      </c>
    </row>
    <row r="42" spans="1:10" ht="12.75">
      <c r="A42" s="76"/>
      <c r="B42" s="55"/>
      <c r="C42" s="57"/>
      <c r="D42" s="56"/>
      <c r="E42" s="55"/>
      <c r="F42" s="77" t="s">
        <v>279</v>
      </c>
      <c r="G42" s="57"/>
      <c r="H42" s="57"/>
      <c r="I42" s="58"/>
      <c r="J42" s="57">
        <f>H42-'[4]Maijs'!H42</f>
        <v>0</v>
      </c>
    </row>
    <row r="43" spans="1:10" ht="25.5">
      <c r="A43" s="76"/>
      <c r="B43" s="55"/>
      <c r="C43" s="57"/>
      <c r="D43" s="56"/>
      <c r="E43" s="55"/>
      <c r="F43" s="77" t="s">
        <v>280</v>
      </c>
      <c r="G43" s="78">
        <v>15000</v>
      </c>
      <c r="H43" s="78">
        <v>3485</v>
      </c>
      <c r="I43" s="79">
        <f t="shared" si="2"/>
        <v>23.233333333333334</v>
      </c>
      <c r="J43" s="78">
        <f>H43-'[4]Maijs'!H43</f>
        <v>42</v>
      </c>
    </row>
    <row r="44" spans="1:10" ht="12.75">
      <c r="A44" s="76"/>
      <c r="B44" s="55"/>
      <c r="C44" s="57"/>
      <c r="D44" s="56"/>
      <c r="E44" s="55"/>
      <c r="F44" s="77" t="s">
        <v>281</v>
      </c>
      <c r="G44" s="78">
        <v>300</v>
      </c>
      <c r="H44" s="78">
        <v>305</v>
      </c>
      <c r="I44" s="79">
        <f t="shared" si="2"/>
        <v>101.66666666666666</v>
      </c>
      <c r="J44" s="78">
        <f>H44-'[4]Maijs'!H44</f>
        <v>0</v>
      </c>
    </row>
    <row r="45" spans="1:10" ht="12.75">
      <c r="A45" s="76"/>
      <c r="B45" s="55"/>
      <c r="C45" s="57"/>
      <c r="D45" s="56"/>
      <c r="E45" s="55"/>
      <c r="F45" s="77" t="s">
        <v>282</v>
      </c>
      <c r="G45" s="78">
        <v>63881</v>
      </c>
      <c r="H45" s="78">
        <v>58794</v>
      </c>
      <c r="I45" s="79">
        <f t="shared" si="2"/>
        <v>92.03675584289537</v>
      </c>
      <c r="J45" s="78">
        <f>H45-'[4]Maijs'!H45</f>
        <v>-8119</v>
      </c>
    </row>
    <row r="46" spans="1:10" ht="12.75">
      <c r="A46" s="76"/>
      <c r="B46" s="55"/>
      <c r="C46" s="57"/>
      <c r="D46" s="56"/>
      <c r="E46" s="55"/>
      <c r="F46" s="77" t="s">
        <v>283</v>
      </c>
      <c r="G46" s="80" t="s">
        <v>199</v>
      </c>
      <c r="H46" s="78">
        <v>-39453</v>
      </c>
      <c r="I46" s="78"/>
      <c r="J46" s="78">
        <f>H46-'[4]Maijs'!H46</f>
        <v>7117</v>
      </c>
    </row>
    <row r="47" spans="1:10" ht="12.75">
      <c r="A47" s="59" t="s">
        <v>284</v>
      </c>
      <c r="B47" s="55">
        <f>B50+B53+B55</f>
        <v>822563488</v>
      </c>
      <c r="C47" s="55">
        <f>C50+C53+C55</f>
        <v>0</v>
      </c>
      <c r="D47" s="56">
        <f t="shared" si="0"/>
        <v>0</v>
      </c>
      <c r="E47" s="55">
        <f t="shared" si="1"/>
        <v>0</v>
      </c>
      <c r="F47" s="59" t="s">
        <v>284</v>
      </c>
      <c r="G47" s="57">
        <f>G50+G53+G55</f>
        <v>822563</v>
      </c>
      <c r="H47" s="57">
        <f>H50+H53+H55</f>
        <v>383388</v>
      </c>
      <c r="I47" s="58">
        <f t="shared" si="2"/>
        <v>46.60895274890799</v>
      </c>
      <c r="J47" s="57">
        <f>H47-'[4]Maijs'!H47</f>
        <v>73187</v>
      </c>
    </row>
    <row r="48" spans="1:10" ht="12.75">
      <c r="A48" s="81" t="s">
        <v>285</v>
      </c>
      <c r="B48" s="61">
        <f>B51+B56</f>
        <v>63744052</v>
      </c>
      <c r="C48" s="61">
        <f>C51+C56</f>
        <v>0</v>
      </c>
      <c r="D48" s="62">
        <f t="shared" si="0"/>
        <v>0</v>
      </c>
      <c r="E48" s="55">
        <f t="shared" si="1"/>
        <v>0</v>
      </c>
      <c r="F48" s="81" t="s">
        <v>285</v>
      </c>
      <c r="G48" s="71">
        <f>G51+G56</f>
        <v>63744</v>
      </c>
      <c r="H48" s="71">
        <f>H51+H56</f>
        <v>33768</v>
      </c>
      <c r="I48" s="73">
        <f t="shared" si="2"/>
        <v>52.97439759036144</v>
      </c>
      <c r="J48" s="71">
        <f>H48-'[4]Maijs'!H48</f>
        <v>5423</v>
      </c>
    </row>
    <row r="49" spans="1:10" ht="13.5" customHeight="1">
      <c r="A49" s="59" t="s">
        <v>286</v>
      </c>
      <c r="B49" s="55">
        <f>SUM(B47-B48)</f>
        <v>758819436</v>
      </c>
      <c r="C49" s="55">
        <f>SUM(C47-C48)</f>
        <v>0</v>
      </c>
      <c r="D49" s="56">
        <f t="shared" si="0"/>
        <v>0</v>
      </c>
      <c r="E49" s="55">
        <f t="shared" si="1"/>
        <v>0</v>
      </c>
      <c r="F49" s="59" t="s">
        <v>286</v>
      </c>
      <c r="G49" s="57">
        <f>SUM(G47-G48)</f>
        <v>758819</v>
      </c>
      <c r="H49" s="57">
        <f>SUM(H47-H48)</f>
        <v>349620</v>
      </c>
      <c r="I49" s="58">
        <f t="shared" si="2"/>
        <v>46.074228505084875</v>
      </c>
      <c r="J49" s="57">
        <f>H49-'[4]Maijs'!H49</f>
        <v>67764</v>
      </c>
    </row>
    <row r="50" spans="1:10" ht="12.75">
      <c r="A50" s="60" t="s">
        <v>287</v>
      </c>
      <c r="B50" s="61">
        <f>736101793+7241586</f>
        <v>743343379</v>
      </c>
      <c r="C50" s="61"/>
      <c r="D50" s="62">
        <f t="shared" si="0"/>
        <v>0</v>
      </c>
      <c r="E50" s="55">
        <f t="shared" si="1"/>
        <v>0</v>
      </c>
      <c r="F50" s="60" t="s">
        <v>287</v>
      </c>
      <c r="G50" s="61">
        <f>ROUND(B50/1000,0)</f>
        <v>743343</v>
      </c>
      <c r="H50" s="61">
        <v>359225</v>
      </c>
      <c r="I50" s="64">
        <f t="shared" si="2"/>
        <v>48.325604734288206</v>
      </c>
      <c r="J50" s="61">
        <f>H50-'[4]Maijs'!H50</f>
        <v>68134</v>
      </c>
    </row>
    <row r="51" spans="1:10" ht="12.75">
      <c r="A51" s="75" t="s">
        <v>288</v>
      </c>
      <c r="B51" s="61">
        <v>62992652</v>
      </c>
      <c r="C51" s="61"/>
      <c r="D51" s="62">
        <f t="shared" si="0"/>
        <v>0</v>
      </c>
      <c r="E51" s="55">
        <f t="shared" si="1"/>
        <v>0</v>
      </c>
      <c r="F51" s="75" t="s">
        <v>288</v>
      </c>
      <c r="G51" s="71">
        <f>ROUND(B51/1000,0)</f>
        <v>62993</v>
      </c>
      <c r="H51" s="71">
        <v>33153</v>
      </c>
      <c r="I51" s="73">
        <f t="shared" si="2"/>
        <v>52.62965726350547</v>
      </c>
      <c r="J51" s="71">
        <f>H51-'[4]Maijs'!H51</f>
        <v>5299</v>
      </c>
    </row>
    <row r="52" spans="1:10" ht="13.5" customHeight="1">
      <c r="A52" s="59" t="s">
        <v>289</v>
      </c>
      <c r="B52" s="55">
        <f>SUM(B50-B51)</f>
        <v>680350727</v>
      </c>
      <c r="C52" s="55">
        <f>SUM(C50-C51)</f>
        <v>0</v>
      </c>
      <c r="D52" s="56">
        <f t="shared" si="0"/>
        <v>0</v>
      </c>
      <c r="E52" s="55">
        <f t="shared" si="1"/>
        <v>0</v>
      </c>
      <c r="F52" s="59" t="s">
        <v>289</v>
      </c>
      <c r="G52" s="57">
        <f>SUM(G50-G51)</f>
        <v>680350</v>
      </c>
      <c r="H52" s="57">
        <f>SUM(H50-H51)</f>
        <v>326072</v>
      </c>
      <c r="I52" s="58">
        <f t="shared" si="2"/>
        <v>47.927096347468215</v>
      </c>
      <c r="J52" s="57">
        <f>H52-'[4]Maijs'!H52</f>
        <v>62835</v>
      </c>
    </row>
    <row r="53" spans="1:10" ht="12.75">
      <c r="A53" s="60" t="s">
        <v>290</v>
      </c>
      <c r="B53" s="61">
        <f>22316983+2357780</f>
        <v>24674763</v>
      </c>
      <c r="C53" s="61"/>
      <c r="D53" s="62">
        <f t="shared" si="0"/>
        <v>0</v>
      </c>
      <c r="E53" s="55">
        <f t="shared" si="1"/>
        <v>0</v>
      </c>
      <c r="F53" s="60" t="s">
        <v>290</v>
      </c>
      <c r="G53" s="61">
        <f>ROUND(B53/1000,0)</f>
        <v>24675</v>
      </c>
      <c r="H53" s="61">
        <v>8325</v>
      </c>
      <c r="I53" s="64">
        <f t="shared" si="2"/>
        <v>33.73860182370821</v>
      </c>
      <c r="J53" s="61">
        <f>H53-'[4]Maijs'!H53</f>
        <v>1384</v>
      </c>
    </row>
    <row r="54" spans="1:10" ht="15" customHeight="1">
      <c r="A54" s="59" t="s">
        <v>291</v>
      </c>
      <c r="B54" s="55">
        <f>SUM(B53)</f>
        <v>24674763</v>
      </c>
      <c r="C54" s="55">
        <f>SUM(C53)</f>
        <v>0</v>
      </c>
      <c r="D54" s="56">
        <f t="shared" si="0"/>
        <v>0</v>
      </c>
      <c r="E54" s="55">
        <f t="shared" si="1"/>
        <v>0</v>
      </c>
      <c r="F54" s="59" t="s">
        <v>291</v>
      </c>
      <c r="G54" s="57">
        <f>SUM(G53)</f>
        <v>24675</v>
      </c>
      <c r="H54" s="57">
        <f>SUM(H53)</f>
        <v>8325</v>
      </c>
      <c r="I54" s="58">
        <f t="shared" si="2"/>
        <v>33.73860182370821</v>
      </c>
      <c r="J54" s="57">
        <f>H54-'[4]Maijs'!H54</f>
        <v>1384</v>
      </c>
    </row>
    <row r="55" spans="1:10" ht="12.75">
      <c r="A55" s="60" t="s">
        <v>292</v>
      </c>
      <c r="B55" s="61">
        <f>53585996+959350</f>
        <v>54545346</v>
      </c>
      <c r="C55" s="61"/>
      <c r="D55" s="62">
        <f t="shared" si="0"/>
        <v>0</v>
      </c>
      <c r="E55" s="55">
        <f t="shared" si="1"/>
        <v>0</v>
      </c>
      <c r="F55" s="60" t="s">
        <v>292</v>
      </c>
      <c r="G55" s="61">
        <f>ROUND(B55/1000,0)</f>
        <v>54545</v>
      </c>
      <c r="H55" s="61">
        <v>15838</v>
      </c>
      <c r="I55" s="64">
        <f t="shared" si="2"/>
        <v>29.036575304794205</v>
      </c>
      <c r="J55" s="61">
        <f>H55-'[4]Maijs'!H55</f>
        <v>3669</v>
      </c>
    </row>
    <row r="56" spans="1:10" ht="12.75">
      <c r="A56" s="75" t="s">
        <v>293</v>
      </c>
      <c r="B56" s="61">
        <v>751400</v>
      </c>
      <c r="C56" s="61"/>
      <c r="D56" s="62">
        <f t="shared" si="0"/>
        <v>0</v>
      </c>
      <c r="E56" s="55">
        <f t="shared" si="1"/>
        <v>0</v>
      </c>
      <c r="F56" s="75" t="s">
        <v>293</v>
      </c>
      <c r="G56" s="71">
        <f>ROUND(B56/1000,0)</f>
        <v>751</v>
      </c>
      <c r="H56" s="71">
        <v>615</v>
      </c>
      <c r="I56" s="73">
        <f t="shared" si="2"/>
        <v>81.89081225033289</v>
      </c>
      <c r="J56" s="71">
        <f>H56-'[4]Maijs'!H56</f>
        <v>124</v>
      </c>
    </row>
    <row r="57" spans="1:10" ht="14.25" customHeight="1">
      <c r="A57" s="59" t="s">
        <v>294</v>
      </c>
      <c r="B57" s="55">
        <f>SUM(B55-B56)</f>
        <v>53793946</v>
      </c>
      <c r="C57" s="55">
        <f>SUM(C55-C56)</f>
        <v>0</v>
      </c>
      <c r="D57" s="56">
        <f t="shared" si="0"/>
        <v>0</v>
      </c>
      <c r="E57" s="55">
        <f t="shared" si="1"/>
        <v>0</v>
      </c>
      <c r="F57" s="59" t="s">
        <v>294</v>
      </c>
      <c r="G57" s="57">
        <f>SUM(G55-G56)</f>
        <v>53794</v>
      </c>
      <c r="H57" s="57">
        <f>SUM(H55-H56)</f>
        <v>15223</v>
      </c>
      <c r="I57" s="58">
        <f t="shared" si="2"/>
        <v>28.298695021749637</v>
      </c>
      <c r="J57" s="57">
        <f>H57-'[4]Maijs'!H57</f>
        <v>3545</v>
      </c>
    </row>
    <row r="58" spans="1:10" ht="27" customHeight="1">
      <c r="A58" s="76" t="s">
        <v>295</v>
      </c>
      <c r="B58" s="55">
        <f>SUM(B11-B47)</f>
        <v>-27180457</v>
      </c>
      <c r="C58" s="55">
        <f>SUM(C11-C47)</f>
        <v>0</v>
      </c>
      <c r="D58" s="56">
        <f t="shared" si="0"/>
        <v>0</v>
      </c>
      <c r="E58" s="55">
        <f t="shared" si="1"/>
        <v>0</v>
      </c>
      <c r="F58" s="76" t="s">
        <v>295</v>
      </c>
      <c r="G58" s="57">
        <f>SUM(G11-G47)</f>
        <v>-27180</v>
      </c>
      <c r="H58" s="57">
        <f>SUM(H11-H47)</f>
        <v>-15859</v>
      </c>
      <c r="I58" s="58">
        <f t="shared" si="2"/>
        <v>58.348050036791754</v>
      </c>
      <c r="J58" s="57">
        <f>H58-'[4]Maijs'!H58</f>
        <v>-2962</v>
      </c>
    </row>
    <row r="59" spans="1:10" ht="14.25" customHeight="1">
      <c r="A59" s="59" t="s">
        <v>296</v>
      </c>
      <c r="B59" s="55">
        <f>B62</f>
        <v>5673780</v>
      </c>
      <c r="C59" s="55"/>
      <c r="D59" s="56">
        <f t="shared" si="0"/>
        <v>0</v>
      </c>
      <c r="E59" s="55">
        <f t="shared" si="1"/>
        <v>0</v>
      </c>
      <c r="F59" s="59" t="s">
        <v>296</v>
      </c>
      <c r="G59" s="57">
        <f>G62</f>
        <v>5674</v>
      </c>
      <c r="H59" s="57">
        <f>H62</f>
        <v>-6636</v>
      </c>
      <c r="I59" s="58">
        <f t="shared" si="2"/>
        <v>-116.95452943249911</v>
      </c>
      <c r="J59" s="57">
        <f>H59-'[4]Maijs'!H59</f>
        <v>-4286</v>
      </c>
    </row>
    <row r="60" spans="1:10" ht="12.75">
      <c r="A60" s="60" t="s">
        <v>297</v>
      </c>
      <c r="B60" s="61">
        <v>48898920</v>
      </c>
      <c r="C60" s="61"/>
      <c r="D60" s="62">
        <f t="shared" si="0"/>
        <v>0</v>
      </c>
      <c r="E60" s="55">
        <f t="shared" si="1"/>
        <v>0</v>
      </c>
      <c r="F60" s="60" t="s">
        <v>298</v>
      </c>
      <c r="G60" s="63">
        <f>ROUND(B60/1000,0)</f>
        <v>48899</v>
      </c>
      <c r="H60" s="63">
        <v>12771</v>
      </c>
      <c r="I60" s="64">
        <f t="shared" si="2"/>
        <v>26.117098509171967</v>
      </c>
      <c r="J60" s="63">
        <f>H60-'[4]Maijs'!H60</f>
        <v>-4443</v>
      </c>
    </row>
    <row r="61" spans="1:10" ht="12.75" customHeight="1">
      <c r="A61" s="75" t="s">
        <v>293</v>
      </c>
      <c r="B61" s="61">
        <v>43225140</v>
      </c>
      <c r="C61" s="61"/>
      <c r="D61" s="62">
        <f t="shared" si="0"/>
        <v>0</v>
      </c>
      <c r="E61" s="55">
        <f t="shared" si="1"/>
        <v>0</v>
      </c>
      <c r="F61" s="75" t="s">
        <v>293</v>
      </c>
      <c r="G61" s="71">
        <f>ROUND(B61/1000,0)</f>
        <v>43225</v>
      </c>
      <c r="H61" s="71">
        <v>19407</v>
      </c>
      <c r="I61" s="73">
        <f t="shared" si="2"/>
        <v>44.89762868710237</v>
      </c>
      <c r="J61" s="71">
        <f>H61-'[4]Maijs'!H61</f>
        <v>-157</v>
      </c>
    </row>
    <row r="62" spans="1:10" ht="12.75">
      <c r="A62" s="60" t="s">
        <v>299</v>
      </c>
      <c r="B62" s="61">
        <f>B60-B61</f>
        <v>5673780</v>
      </c>
      <c r="C62" s="61"/>
      <c r="D62" s="62">
        <f t="shared" si="0"/>
        <v>0</v>
      </c>
      <c r="E62" s="55">
        <f t="shared" si="1"/>
        <v>0</v>
      </c>
      <c r="F62" s="60" t="s">
        <v>299</v>
      </c>
      <c r="G62" s="63">
        <f>G60-G61</f>
        <v>5674</v>
      </c>
      <c r="H62" s="63">
        <f>SUM(H60-H61)</f>
        <v>-6636</v>
      </c>
      <c r="I62" s="64">
        <f t="shared" si="2"/>
        <v>-116.95452943249911</v>
      </c>
      <c r="J62" s="63">
        <f>H62-'[4]Maijs'!H62</f>
        <v>-4286</v>
      </c>
    </row>
    <row r="63" spans="1:10" ht="26.25" customHeight="1">
      <c r="A63" s="76" t="s">
        <v>300</v>
      </c>
      <c r="B63" s="55">
        <f>B58-B60</f>
        <v>-76079377</v>
      </c>
      <c r="C63" s="55">
        <f>C58-C60</f>
        <v>0</v>
      </c>
      <c r="D63" s="56">
        <f t="shared" si="0"/>
        <v>0</v>
      </c>
      <c r="E63" s="55">
        <f t="shared" si="1"/>
        <v>0</v>
      </c>
      <c r="F63" s="76" t="s">
        <v>301</v>
      </c>
      <c r="G63" s="57">
        <f>G58-G60</f>
        <v>-76079</v>
      </c>
      <c r="H63" s="57">
        <f>H58-H60</f>
        <v>-28630</v>
      </c>
      <c r="I63" s="58">
        <f t="shared" si="2"/>
        <v>37.63193522522641</v>
      </c>
      <c r="J63" s="57">
        <f>H63-'[4]Maijs'!H63</f>
        <v>1481</v>
      </c>
    </row>
    <row r="64" spans="1:10" ht="14.25" customHeight="1">
      <c r="A64" s="59" t="s">
        <v>302</v>
      </c>
      <c r="B64" s="55">
        <f>B67+B70+B72</f>
        <v>765146600</v>
      </c>
      <c r="C64" s="55">
        <f>C67+C70+C72</f>
        <v>0</v>
      </c>
      <c r="D64" s="56">
        <f t="shared" si="0"/>
        <v>0</v>
      </c>
      <c r="E64" s="55">
        <f t="shared" si="1"/>
        <v>0</v>
      </c>
      <c r="F64" s="59" t="s">
        <v>302</v>
      </c>
      <c r="G64" s="57">
        <f>G67+G70+G72</f>
        <v>765146</v>
      </c>
      <c r="H64" s="57">
        <f>H67+H70+H72</f>
        <v>353183</v>
      </c>
      <c r="I64" s="58">
        <f t="shared" si="2"/>
        <v>46.15890300674643</v>
      </c>
      <c r="J64" s="57">
        <f>H64-'[4]Maijs'!H64</f>
        <v>55437</v>
      </c>
    </row>
    <row r="65" spans="1:10" ht="12.75">
      <c r="A65" s="75" t="s">
        <v>303</v>
      </c>
      <c r="B65" s="61">
        <f>B68</f>
        <v>1201200</v>
      </c>
      <c r="C65" s="61">
        <f>C23</f>
        <v>0</v>
      </c>
      <c r="D65" s="62">
        <f t="shared" si="0"/>
        <v>0</v>
      </c>
      <c r="E65" s="55">
        <f t="shared" si="1"/>
        <v>0</v>
      </c>
      <c r="F65" s="75" t="s">
        <v>303</v>
      </c>
      <c r="G65" s="71">
        <f>G68</f>
        <v>1201</v>
      </c>
      <c r="H65" s="71">
        <f>H68</f>
        <v>601</v>
      </c>
      <c r="I65" s="73">
        <f t="shared" si="2"/>
        <v>50.041631973355535</v>
      </c>
      <c r="J65" s="71">
        <f>H65-'[4]Maijs'!H65</f>
        <v>100</v>
      </c>
    </row>
    <row r="66" spans="1:10" ht="14.25" customHeight="1">
      <c r="A66" s="59" t="s">
        <v>304</v>
      </c>
      <c r="B66" s="55">
        <f>SUM(B64-B65)</f>
        <v>763945400</v>
      </c>
      <c r="C66" s="55">
        <f>SUM(C64-C65)</f>
        <v>0</v>
      </c>
      <c r="D66" s="56">
        <f t="shared" si="0"/>
        <v>0</v>
      </c>
      <c r="E66" s="55">
        <f t="shared" si="1"/>
        <v>0</v>
      </c>
      <c r="F66" s="59" t="s">
        <v>304</v>
      </c>
      <c r="G66" s="57">
        <f>SUM(G64-G65)</f>
        <v>763945</v>
      </c>
      <c r="H66" s="57">
        <f>SUM(H64-H65)</f>
        <v>352582</v>
      </c>
      <c r="I66" s="58">
        <f t="shared" si="2"/>
        <v>46.15279895804017</v>
      </c>
      <c r="J66" s="57">
        <f>H66-'[4]Maijs'!H66</f>
        <v>55337</v>
      </c>
    </row>
    <row r="67" spans="1:10" ht="12.75">
      <c r="A67" s="60" t="s">
        <v>305</v>
      </c>
      <c r="B67" s="61">
        <f>731791976+116917</f>
        <v>731908893</v>
      </c>
      <c r="C67" s="61"/>
      <c r="D67" s="62">
        <f t="shared" si="0"/>
        <v>0</v>
      </c>
      <c r="E67" s="55">
        <f t="shared" si="1"/>
        <v>0</v>
      </c>
      <c r="F67" s="60" t="s">
        <v>305</v>
      </c>
      <c r="G67" s="63">
        <f>ROUND(B67/1000,0)</f>
        <v>731909</v>
      </c>
      <c r="H67" s="63">
        <v>344446</v>
      </c>
      <c r="I67" s="64">
        <f t="shared" si="2"/>
        <v>47.06131499954229</v>
      </c>
      <c r="J67" s="63">
        <f>H67-'[4]Maijs'!H67</f>
        <v>53338</v>
      </c>
    </row>
    <row r="68" spans="1:10" ht="12.75">
      <c r="A68" s="75" t="s">
        <v>306</v>
      </c>
      <c r="B68" s="61">
        <v>1201200</v>
      </c>
      <c r="C68" s="61">
        <f>C23</f>
        <v>0</v>
      </c>
      <c r="D68" s="62">
        <f t="shared" si="0"/>
        <v>0</v>
      </c>
      <c r="E68" s="55">
        <f t="shared" si="1"/>
        <v>0</v>
      </c>
      <c r="F68" s="75" t="s">
        <v>306</v>
      </c>
      <c r="G68" s="71">
        <f>ROUND(B68/1000,0)</f>
        <v>1201</v>
      </c>
      <c r="H68" s="72">
        <v>601</v>
      </c>
      <c r="I68" s="73">
        <f t="shared" si="2"/>
        <v>50.041631973355535</v>
      </c>
      <c r="J68" s="72">
        <f>H68-'[4]Maijs'!H68</f>
        <v>100</v>
      </c>
    </row>
    <row r="69" spans="1:10" ht="15" customHeight="1">
      <c r="A69" s="59" t="s">
        <v>307</v>
      </c>
      <c r="B69" s="55">
        <f>SUM(B67-B68)</f>
        <v>730707693</v>
      </c>
      <c r="C69" s="55">
        <f>SUM(C67-C68)</f>
        <v>0</v>
      </c>
      <c r="D69" s="56">
        <f t="shared" si="0"/>
        <v>0</v>
      </c>
      <c r="E69" s="55">
        <f t="shared" si="1"/>
        <v>0</v>
      </c>
      <c r="F69" s="59" t="s">
        <v>307</v>
      </c>
      <c r="G69" s="57">
        <f>SUM(G67-G68)</f>
        <v>730708</v>
      </c>
      <c r="H69" s="57">
        <f>SUM(H67-H68)</f>
        <v>343845</v>
      </c>
      <c r="I69" s="58">
        <f t="shared" si="2"/>
        <v>47.056416516583916</v>
      </c>
      <c r="J69" s="57">
        <f>H69-'[4]Maijs'!H69</f>
        <v>53238</v>
      </c>
    </row>
    <row r="70" spans="1:10" ht="12.75">
      <c r="A70" s="60" t="s">
        <v>308</v>
      </c>
      <c r="B70" s="61">
        <f>11728286+810000</f>
        <v>12538286</v>
      </c>
      <c r="C70" s="61"/>
      <c r="D70" s="62">
        <f t="shared" si="0"/>
        <v>0</v>
      </c>
      <c r="E70" s="55">
        <f t="shared" si="1"/>
        <v>0</v>
      </c>
      <c r="F70" s="60" t="s">
        <v>308</v>
      </c>
      <c r="G70" s="63">
        <f>ROUND(B70/1000,0)</f>
        <v>12538</v>
      </c>
      <c r="H70" s="63">
        <v>5161</v>
      </c>
      <c r="I70" s="64">
        <f t="shared" si="2"/>
        <v>41.16286489073217</v>
      </c>
      <c r="J70" s="63">
        <f>H70-'[4]Maijs'!H70</f>
        <v>341</v>
      </c>
    </row>
    <row r="71" spans="1:10" ht="15" customHeight="1">
      <c r="A71" s="59" t="s">
        <v>326</v>
      </c>
      <c r="B71" s="55">
        <f>SUM(B70)</f>
        <v>12538286</v>
      </c>
      <c r="C71" s="55">
        <f>SUM(C70)</f>
        <v>0</v>
      </c>
      <c r="D71" s="56">
        <f t="shared" si="0"/>
        <v>0</v>
      </c>
      <c r="E71" s="55">
        <f t="shared" si="1"/>
        <v>0</v>
      </c>
      <c r="F71" s="59" t="s">
        <v>326</v>
      </c>
      <c r="G71" s="57">
        <f>SUM(G70)</f>
        <v>12538</v>
      </c>
      <c r="H71" s="57">
        <f>SUM(H70)</f>
        <v>5161</v>
      </c>
      <c r="I71" s="58">
        <f t="shared" si="2"/>
        <v>41.16286489073217</v>
      </c>
      <c r="J71" s="57">
        <f>H71-'[4]Maijs'!H71</f>
        <v>341</v>
      </c>
    </row>
    <row r="72" spans="1:10" ht="12.75">
      <c r="A72" s="60" t="s">
        <v>327</v>
      </c>
      <c r="B72" s="61">
        <v>20699421</v>
      </c>
      <c r="C72" s="61"/>
      <c r="D72" s="62">
        <f t="shared" si="0"/>
        <v>0</v>
      </c>
      <c r="E72" s="55">
        <f t="shared" si="1"/>
        <v>0</v>
      </c>
      <c r="F72" s="60" t="s">
        <v>327</v>
      </c>
      <c r="G72" s="63">
        <f>ROUND(B72/1000,0)</f>
        <v>20699</v>
      </c>
      <c r="H72" s="63">
        <v>3576</v>
      </c>
      <c r="I72" s="64">
        <f t="shared" si="2"/>
        <v>17.276196917725496</v>
      </c>
      <c r="J72" s="63">
        <f>H72-'[4]Maijs'!H72</f>
        <v>1758</v>
      </c>
    </row>
    <row r="73" spans="1:10" ht="14.25" customHeight="1">
      <c r="A73" s="59" t="s">
        <v>328</v>
      </c>
      <c r="B73" s="55">
        <f>SUM(B72)</f>
        <v>20699421</v>
      </c>
      <c r="C73" s="55">
        <f>SUM(C72)</f>
        <v>0</v>
      </c>
      <c r="D73" s="56">
        <f t="shared" si="0"/>
        <v>0</v>
      </c>
      <c r="E73" s="55">
        <f t="shared" si="1"/>
        <v>0</v>
      </c>
      <c r="F73" s="59" t="s">
        <v>328</v>
      </c>
      <c r="G73" s="57">
        <f>SUM(G72)</f>
        <v>20699</v>
      </c>
      <c r="H73" s="57">
        <f>SUM(H72)</f>
        <v>3576</v>
      </c>
      <c r="I73" s="58">
        <f t="shared" si="2"/>
        <v>17.276196917725496</v>
      </c>
      <c r="J73" s="57">
        <f>H73-'[4]Maijs'!H73</f>
        <v>1758</v>
      </c>
    </row>
    <row r="74" spans="1:10" ht="27" customHeight="1">
      <c r="A74" s="76" t="s">
        <v>329</v>
      </c>
      <c r="B74" s="55">
        <f>SUM(B25-B64)</f>
        <v>-39627899</v>
      </c>
      <c r="C74" s="55">
        <f>SUM(C25-C64)</f>
        <v>0</v>
      </c>
      <c r="D74" s="56">
        <f t="shared" si="0"/>
        <v>0</v>
      </c>
      <c r="E74" s="55">
        <f t="shared" si="1"/>
        <v>0</v>
      </c>
      <c r="F74" s="76" t="s">
        <v>329</v>
      </c>
      <c r="G74" s="57">
        <f>SUM(G25-G64)</f>
        <v>-39628</v>
      </c>
      <c r="H74" s="57">
        <f>SUM(H25-H64)</f>
        <v>-10404</v>
      </c>
      <c r="I74" s="58">
        <f t="shared" si="2"/>
        <v>26.254163722620373</v>
      </c>
      <c r="J74" s="57">
        <f>H74-'[4]Maijs'!H74</f>
        <v>-21</v>
      </c>
    </row>
    <row r="75" spans="1:10" ht="13.5" customHeight="1">
      <c r="A75" s="59" t="s">
        <v>330</v>
      </c>
      <c r="B75" s="55">
        <f>SUM(B76)</f>
        <v>6699203</v>
      </c>
      <c r="C75" s="55"/>
      <c r="D75" s="56">
        <f>IF(ISERROR(C75/B75)," ",(C75/B75))</f>
        <v>0</v>
      </c>
      <c r="E75" s="55">
        <f t="shared" si="1"/>
        <v>0</v>
      </c>
      <c r="F75" s="59" t="s">
        <v>330</v>
      </c>
      <c r="G75" s="57">
        <f>SUM(G76)</f>
        <v>6699</v>
      </c>
      <c r="H75" s="57">
        <f>SUM(H76)</f>
        <v>3504</v>
      </c>
      <c r="I75" s="58">
        <f t="shared" si="2"/>
        <v>52.3063143752799</v>
      </c>
      <c r="J75" s="57">
        <f>H75-'[4]Maijs'!H75</f>
        <v>342</v>
      </c>
    </row>
    <row r="76" spans="1:10" ht="12.75">
      <c r="A76" s="60" t="s">
        <v>331</v>
      </c>
      <c r="B76" s="61">
        <v>6699203</v>
      </c>
      <c r="C76" s="61"/>
      <c r="D76" s="62">
        <f>IF(ISERROR(C76/B76)," ",(C76/B76))</f>
        <v>0</v>
      </c>
      <c r="E76" s="55">
        <f>C76</f>
        <v>0</v>
      </c>
      <c r="F76" s="60" t="s">
        <v>331</v>
      </c>
      <c r="G76" s="61">
        <f>ROUND(B76/1000,0)</f>
        <v>6699</v>
      </c>
      <c r="H76" s="61">
        <v>3504</v>
      </c>
      <c r="I76" s="82">
        <f t="shared" si="2"/>
        <v>52.3063143752799</v>
      </c>
      <c r="J76" s="61">
        <f>H76-'[4]Maijs'!H76</f>
        <v>342</v>
      </c>
    </row>
    <row r="77" spans="1:10" ht="12.75">
      <c r="A77" s="60" t="s">
        <v>332</v>
      </c>
      <c r="B77" s="61">
        <f>SUM(B76)</f>
        <v>6699203</v>
      </c>
      <c r="C77" s="61">
        <f>SUM(C76)</f>
        <v>0</v>
      </c>
      <c r="D77" s="62">
        <f>IF(ISERROR(C77/B77)," ",(C77/B77))</f>
        <v>0</v>
      </c>
      <c r="E77" s="55">
        <f>C77</f>
        <v>0</v>
      </c>
      <c r="F77" s="60" t="s">
        <v>332</v>
      </c>
      <c r="G77" s="61">
        <f>SUM(G76)</f>
        <v>6699</v>
      </c>
      <c r="H77" s="61">
        <f>SUM(H76)</f>
        <v>3504</v>
      </c>
      <c r="I77" s="82">
        <f t="shared" si="2"/>
        <v>52.3063143752799</v>
      </c>
      <c r="J77" s="61">
        <f>H77-'[4]Maijs'!H77</f>
        <v>342</v>
      </c>
    </row>
    <row r="78" spans="1:10" ht="27" customHeight="1">
      <c r="A78" s="76" t="s">
        <v>333</v>
      </c>
      <c r="B78" s="55">
        <f>SUM(B74-B75)</f>
        <v>-46327102</v>
      </c>
      <c r="C78" s="55">
        <f>SUM(C74-C75)</f>
        <v>0</v>
      </c>
      <c r="D78" s="56">
        <f>IF(ISERROR(C78/B78)," ",(C78/B78))</f>
        <v>0</v>
      </c>
      <c r="E78" s="55">
        <f>C78</f>
        <v>0</v>
      </c>
      <c r="F78" s="76" t="s">
        <v>333</v>
      </c>
      <c r="G78" s="57">
        <f>SUM(G74-G75)</f>
        <v>-46327</v>
      </c>
      <c r="H78" s="57">
        <f>SUM(H74-H75)</f>
        <v>-13908</v>
      </c>
      <c r="I78" s="58">
        <f t="shared" si="2"/>
        <v>30.021369827530382</v>
      </c>
      <c r="J78" s="57">
        <f>H78-'[4]Maijs'!H78</f>
        <v>-363</v>
      </c>
    </row>
    <row r="79" spans="1:10" ht="12.75">
      <c r="A79" s="83"/>
      <c r="B79" s="84"/>
      <c r="C79" s="85"/>
      <c r="D79" s="85"/>
      <c r="E79" s="85"/>
      <c r="F79" s="33"/>
      <c r="G79" s="84"/>
      <c r="H79" s="85"/>
      <c r="I79" s="85"/>
      <c r="J79" s="85"/>
    </row>
    <row r="80" spans="1:10" ht="12.75">
      <c r="A80" s="83"/>
      <c r="B80" s="84"/>
      <c r="C80" s="85"/>
      <c r="D80" s="85"/>
      <c r="E80" s="85"/>
      <c r="F80" s="86"/>
      <c r="G80" s="84"/>
      <c r="H80" s="85"/>
      <c r="I80" s="85"/>
      <c r="J80" s="85"/>
    </row>
    <row r="81" spans="1:10" ht="12.75">
      <c r="A81" s="87"/>
      <c r="F81" s="87"/>
      <c r="G81" s="50"/>
      <c r="H81" s="49"/>
      <c r="I81" s="49"/>
      <c r="J81" s="49"/>
    </row>
    <row r="82" spans="1:10" ht="12.75">
      <c r="A82" s="87"/>
      <c r="F82" s="87"/>
      <c r="G82" s="50"/>
      <c r="H82" s="49"/>
      <c r="I82" s="49"/>
      <c r="J82" s="49"/>
    </row>
    <row r="83" spans="1:10" ht="12.75">
      <c r="A83" s="85"/>
      <c r="F83" s="88" t="s">
        <v>314</v>
      </c>
      <c r="G83" s="52"/>
      <c r="H83" s="89"/>
      <c r="I83" s="49"/>
      <c r="J83" s="49"/>
    </row>
    <row r="84" spans="1:10" ht="12.75">
      <c r="A84" s="88"/>
      <c r="B84" s="52"/>
      <c r="C84" s="89"/>
      <c r="D84" s="89"/>
      <c r="E84" s="89"/>
      <c r="F84" s="88"/>
      <c r="G84" s="52"/>
      <c r="H84" s="89"/>
      <c r="I84" s="89"/>
      <c r="J84" s="89"/>
    </row>
    <row r="85" spans="1:10" ht="12.75">
      <c r="A85" s="1"/>
      <c r="F85" s="1"/>
      <c r="G85" s="50"/>
      <c r="H85" s="49"/>
      <c r="I85" s="49"/>
      <c r="J85" s="49"/>
    </row>
    <row r="86" spans="1:10" ht="12.75">
      <c r="A86" s="1"/>
      <c r="C86" s="38"/>
      <c r="D86" s="38"/>
      <c r="E86" s="38"/>
      <c r="F86" s="1"/>
      <c r="G86" s="50"/>
      <c r="H86" s="38"/>
      <c r="I86" s="38"/>
      <c r="J86" s="38"/>
    </row>
    <row r="87" spans="7:10" ht="12.75">
      <c r="G87" s="50"/>
      <c r="H87" s="49"/>
      <c r="I87" s="49"/>
      <c r="J87" s="49"/>
    </row>
    <row r="88" spans="7:10" ht="12.75">
      <c r="G88" s="50"/>
      <c r="H88" s="49"/>
      <c r="I88" s="49"/>
      <c r="J88" s="49"/>
    </row>
    <row r="89" spans="9:10" ht="12.75">
      <c r="I89" s="49"/>
      <c r="J89" s="49"/>
    </row>
    <row r="90" spans="1:10" ht="12.75">
      <c r="A90" s="1" t="s">
        <v>334</v>
      </c>
      <c r="G90" s="52"/>
      <c r="H90" s="89"/>
      <c r="I90" s="49"/>
      <c r="J90" s="49"/>
    </row>
    <row r="91" spans="1:10" ht="12.75">
      <c r="A91" s="1" t="s">
        <v>335</v>
      </c>
      <c r="F91" s="1" t="s">
        <v>334</v>
      </c>
      <c r="G91" s="50"/>
      <c r="H91" s="49"/>
      <c r="I91" s="49"/>
      <c r="J91" s="49"/>
    </row>
    <row r="92" spans="6:10" ht="12.75">
      <c r="F92" s="1" t="s">
        <v>530</v>
      </c>
      <c r="G92" s="50"/>
      <c r="H92" s="49"/>
      <c r="I92" s="49"/>
      <c r="J92" s="49"/>
    </row>
    <row r="93" spans="1:8" ht="15" customHeight="1">
      <c r="A93"/>
      <c r="B93"/>
      <c r="C93"/>
      <c r="D93"/>
      <c r="E93"/>
      <c r="F93" s="88"/>
      <c r="G93" s="52"/>
      <c r="H93" s="89"/>
    </row>
    <row r="94" spans="1:5" ht="16.5" customHeight="1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</sheetData>
  <mergeCells count="2">
    <mergeCell ref="F4:J4"/>
    <mergeCell ref="F5:J5"/>
  </mergeCells>
  <printOptions/>
  <pageMargins left="0.75" right="0.27" top="1" bottom="1" header="0.5" footer="0.5"/>
  <pageSetup firstPageNumber="5" useFirstPageNumber="1" horizontalDpi="600" verticalDpi="600" orientation="portrait" paperSize="9" r:id="rId1"/>
  <headerFooter alignWithMargins="0">
    <oddFooter>&amp;R&amp;9&amp;P</oddFooter>
  </headerFooter>
  <rowBreaks count="2" manualBreakCount="2">
    <brk id="42" max="9" man="1"/>
    <brk id="88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C1">
      <selection activeCell="H18" sqref="H18"/>
    </sheetView>
  </sheetViews>
  <sheetFormatPr defaultColWidth="9.140625" defaultRowHeight="17.25" customHeight="1"/>
  <cols>
    <col min="1" max="1" width="16.28125" style="762" customWidth="1"/>
    <col min="2" max="2" width="7.8515625" style="764" customWidth="1"/>
    <col min="3" max="3" width="7.7109375" style="764" customWidth="1"/>
    <col min="4" max="4" width="6.7109375" style="764" customWidth="1"/>
    <col min="5" max="5" width="8.28125" style="764" customWidth="1"/>
    <col min="6" max="6" width="7.8515625" style="764" customWidth="1"/>
    <col min="7" max="7" width="6.421875" style="764" customWidth="1"/>
    <col min="8" max="9" width="7.7109375" style="764" customWidth="1"/>
    <col min="10" max="10" width="8.28125" style="764" customWidth="1"/>
    <col min="11" max="11" width="6.421875" style="764" customWidth="1"/>
    <col min="12" max="12" width="6.421875" style="764" hidden="1" customWidth="1"/>
    <col min="13" max="13" width="8.28125" style="764" customWidth="1"/>
    <col min="14" max="14" width="7.00390625" style="764" customWidth="1"/>
    <col min="15" max="15" width="9.28125" style="764" customWidth="1"/>
    <col min="16" max="16" width="9.00390625" style="764" customWidth="1"/>
    <col min="17" max="17" width="6.57421875" style="764" customWidth="1"/>
    <col min="18" max="18" width="8.7109375" style="764" customWidth="1"/>
    <col min="19" max="19" width="8.421875" style="764" customWidth="1"/>
    <col min="20" max="16384" width="9.140625" style="764" customWidth="1"/>
  </cols>
  <sheetData>
    <row r="1" spans="2:19" ht="17.25" customHeight="1">
      <c r="B1" s="763"/>
      <c r="C1" s="763"/>
      <c r="D1" s="763"/>
      <c r="E1" s="763"/>
      <c r="F1" s="763"/>
      <c r="I1" s="763"/>
      <c r="J1" s="763"/>
      <c r="K1" s="763"/>
      <c r="L1" s="763"/>
      <c r="M1" s="763"/>
      <c r="N1" s="763"/>
      <c r="O1" s="763"/>
      <c r="P1" s="763"/>
      <c r="Q1" s="765"/>
      <c r="R1" s="765"/>
      <c r="S1" s="765" t="s">
        <v>920</v>
      </c>
    </row>
    <row r="2" spans="7:18" ht="17.25" customHeight="1">
      <c r="G2" s="763" t="s">
        <v>921</v>
      </c>
      <c r="H2" s="763"/>
      <c r="Q2" s="766"/>
      <c r="R2" s="767"/>
    </row>
    <row r="3" spans="1:19" s="763" customFormat="1" ht="17.25" customHeight="1">
      <c r="A3" s="762"/>
      <c r="Q3" s="765"/>
      <c r="R3" s="765"/>
      <c r="S3" s="765"/>
    </row>
    <row r="4" spans="1:19" s="768" customFormat="1" ht="17.25" customHeight="1">
      <c r="A4" s="859" t="s">
        <v>922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  <c r="Q4" s="859"/>
      <c r="R4" s="859"/>
      <c r="S4" s="859"/>
    </row>
    <row r="5" spans="1:19" s="769" customFormat="1" ht="17.25" customHeight="1">
      <c r="A5" s="860" t="s">
        <v>525</v>
      </c>
      <c r="B5" s="860"/>
      <c r="C5" s="860"/>
      <c r="D5" s="860"/>
      <c r="E5" s="860"/>
      <c r="F5" s="860"/>
      <c r="G5" s="860"/>
      <c r="H5" s="860"/>
      <c r="I5" s="860"/>
      <c r="J5" s="860"/>
      <c r="K5" s="860"/>
      <c r="L5" s="860"/>
      <c r="M5" s="860"/>
      <c r="N5" s="860"/>
      <c r="O5" s="860"/>
      <c r="P5" s="860"/>
      <c r="Q5" s="860"/>
      <c r="R5" s="860"/>
      <c r="S5" s="860"/>
    </row>
    <row r="6" spans="1:19" s="769" customFormat="1" ht="17.25" customHeight="1">
      <c r="A6" s="770"/>
      <c r="B6" s="771"/>
      <c r="C6" s="771"/>
      <c r="D6" s="771"/>
      <c r="E6" s="771"/>
      <c r="F6" s="772"/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771"/>
      <c r="S6" s="771"/>
    </row>
    <row r="7" spans="1:19" s="775" customFormat="1" ht="17.25" customHeight="1">
      <c r="A7" s="773"/>
      <c r="B7" s="774"/>
      <c r="C7" s="774"/>
      <c r="D7" s="774"/>
      <c r="E7" s="774"/>
      <c r="F7" s="774"/>
      <c r="G7" s="774"/>
      <c r="H7" s="774"/>
      <c r="I7" s="774"/>
      <c r="J7" s="774"/>
      <c r="K7" s="774"/>
      <c r="L7" s="774"/>
      <c r="M7" s="774"/>
      <c r="N7" s="774"/>
      <c r="O7" s="774"/>
      <c r="Q7" s="774"/>
      <c r="S7" s="776" t="s">
        <v>517</v>
      </c>
    </row>
    <row r="8" spans="1:19" s="763" customFormat="1" ht="17.25" customHeight="1">
      <c r="A8" s="856" t="s">
        <v>923</v>
      </c>
      <c r="B8" s="777" t="s">
        <v>559</v>
      </c>
      <c r="C8" s="777"/>
      <c r="D8" s="777"/>
      <c r="E8" s="777"/>
      <c r="F8" s="777" t="s">
        <v>924</v>
      </c>
      <c r="G8" s="777"/>
      <c r="H8" s="777"/>
      <c r="I8" s="777"/>
      <c r="J8" s="856" t="s">
        <v>925</v>
      </c>
      <c r="K8" s="856" t="s">
        <v>926</v>
      </c>
      <c r="L8" s="778"/>
      <c r="M8" s="779" t="s">
        <v>927</v>
      </c>
      <c r="N8" s="777"/>
      <c r="O8" s="777"/>
      <c r="P8" s="780"/>
      <c r="Q8" s="777"/>
      <c r="R8" s="781"/>
      <c r="S8" s="856" t="s">
        <v>928</v>
      </c>
    </row>
    <row r="9" spans="1:19" ht="17.25" customHeight="1">
      <c r="A9" s="861"/>
      <c r="B9" s="856" t="s">
        <v>929</v>
      </c>
      <c r="C9" s="856" t="s">
        <v>930</v>
      </c>
      <c r="D9" s="854" t="s">
        <v>931</v>
      </c>
      <c r="E9" s="856" t="s">
        <v>932</v>
      </c>
      <c r="F9" s="856" t="s">
        <v>933</v>
      </c>
      <c r="G9" s="856" t="s">
        <v>934</v>
      </c>
      <c r="H9" s="854" t="s">
        <v>935</v>
      </c>
      <c r="I9" s="856" t="s">
        <v>936</v>
      </c>
      <c r="J9" s="863"/>
      <c r="K9" s="863"/>
      <c r="L9" s="782"/>
      <c r="M9" s="783"/>
      <c r="N9" s="783"/>
      <c r="O9" s="777" t="s">
        <v>937</v>
      </c>
      <c r="P9" s="777"/>
      <c r="Q9" s="783"/>
      <c r="R9" s="783"/>
      <c r="S9" s="863"/>
    </row>
    <row r="10" spans="1:19" s="787" customFormat="1" ht="45.75" customHeight="1">
      <c r="A10" s="862"/>
      <c r="B10" s="862"/>
      <c r="C10" s="857"/>
      <c r="D10" s="855"/>
      <c r="E10" s="857"/>
      <c r="F10" s="857"/>
      <c r="G10" s="857"/>
      <c r="H10" s="855"/>
      <c r="I10" s="857"/>
      <c r="J10" s="864"/>
      <c r="K10" s="864"/>
      <c r="L10" s="784" t="s">
        <v>152</v>
      </c>
      <c r="M10" s="785" t="s">
        <v>217</v>
      </c>
      <c r="N10" s="785" t="s">
        <v>938</v>
      </c>
      <c r="O10" s="785" t="s">
        <v>939</v>
      </c>
      <c r="P10" s="785" t="s">
        <v>940</v>
      </c>
      <c r="Q10" s="785" t="s">
        <v>941</v>
      </c>
      <c r="R10" s="786" t="s">
        <v>229</v>
      </c>
      <c r="S10" s="864"/>
    </row>
    <row r="11" spans="1:19" s="775" customFormat="1" ht="11.25">
      <c r="A11" s="788">
        <v>1</v>
      </c>
      <c r="B11" s="789">
        <v>2</v>
      </c>
      <c r="C11" s="789">
        <v>3</v>
      </c>
      <c r="D11" s="789">
        <v>4</v>
      </c>
      <c r="E11" s="789">
        <v>5</v>
      </c>
      <c r="F11" s="789">
        <v>6</v>
      </c>
      <c r="G11" s="789">
        <v>7</v>
      </c>
      <c r="H11" s="789">
        <v>8</v>
      </c>
      <c r="I11" s="789">
        <v>9</v>
      </c>
      <c r="J11" s="789">
        <v>10</v>
      </c>
      <c r="K11" s="789">
        <v>11</v>
      </c>
      <c r="L11" s="789"/>
      <c r="M11" s="789">
        <v>12</v>
      </c>
      <c r="N11" s="789">
        <v>13</v>
      </c>
      <c r="O11" s="789">
        <v>14</v>
      </c>
      <c r="P11" s="789">
        <v>15</v>
      </c>
      <c r="Q11" s="789">
        <v>16</v>
      </c>
      <c r="R11" s="789">
        <v>17</v>
      </c>
      <c r="S11" s="789">
        <v>18</v>
      </c>
    </row>
    <row r="12" spans="1:19" ht="12" customHeight="1">
      <c r="A12" s="790" t="s">
        <v>942</v>
      </c>
      <c r="B12" s="791"/>
      <c r="C12" s="791"/>
      <c r="D12" s="791"/>
      <c r="E12" s="586"/>
      <c r="F12" s="791"/>
      <c r="G12" s="791"/>
      <c r="H12" s="791"/>
      <c r="I12" s="586"/>
      <c r="J12" s="586"/>
      <c r="K12" s="586"/>
      <c r="L12" s="791"/>
      <c r="M12" s="791"/>
      <c r="N12" s="586"/>
      <c r="O12" s="791"/>
      <c r="P12" s="791"/>
      <c r="Q12" s="791"/>
      <c r="R12" s="791"/>
      <c r="S12" s="791"/>
    </row>
    <row r="13" spans="1:19" ht="12" customHeight="1">
      <c r="A13" s="792" t="s">
        <v>943</v>
      </c>
      <c r="B13" s="791">
        <v>64535</v>
      </c>
      <c r="C13" s="791">
        <v>14937</v>
      </c>
      <c r="D13" s="586"/>
      <c r="E13" s="586">
        <f aca="true" t="shared" si="0" ref="E13:E19">SUM(B13:C13)</f>
        <v>79472</v>
      </c>
      <c r="F13" s="791">
        <v>82357</v>
      </c>
      <c r="G13" s="791">
        <v>9626</v>
      </c>
      <c r="H13" s="791">
        <v>9626</v>
      </c>
      <c r="I13" s="586">
        <f>SUM(F13:G13)</f>
        <v>91983</v>
      </c>
      <c r="J13" s="586">
        <f aca="true" t="shared" si="1" ref="J13:J19">E13-I13</f>
        <v>-12511</v>
      </c>
      <c r="K13" s="586">
        <f aca="true" t="shared" si="2" ref="K13:K20">-J13</f>
        <v>12511</v>
      </c>
      <c r="L13" s="586">
        <f>SUM(M13,N13,Q13,R13,S13)</f>
        <v>12511</v>
      </c>
      <c r="M13" s="586">
        <v>-2000</v>
      </c>
      <c r="N13" s="586">
        <f aca="true" t="shared" si="3" ref="N13:N19">O13-P13</f>
        <v>-949</v>
      </c>
      <c r="O13" s="586">
        <v>4422</v>
      </c>
      <c r="P13" s="586">
        <v>5371</v>
      </c>
      <c r="Q13" s="586"/>
      <c r="R13" s="586">
        <v>15958</v>
      </c>
      <c r="S13" s="586">
        <v>-498</v>
      </c>
    </row>
    <row r="14" spans="1:19" ht="12" customHeight="1">
      <c r="A14" s="792" t="s">
        <v>944</v>
      </c>
      <c r="B14" s="586">
        <v>4591</v>
      </c>
      <c r="C14" s="586">
        <v>3454</v>
      </c>
      <c r="D14" s="586">
        <v>699</v>
      </c>
      <c r="E14" s="586">
        <f t="shared" si="0"/>
        <v>8045</v>
      </c>
      <c r="F14" s="586">
        <v>7980</v>
      </c>
      <c r="G14" s="586">
        <v>11</v>
      </c>
      <c r="H14" s="586"/>
      <c r="I14" s="586">
        <f>SUM(F14:G14)</f>
        <v>7991</v>
      </c>
      <c r="J14" s="586">
        <f t="shared" si="1"/>
        <v>54</v>
      </c>
      <c r="K14" s="586">
        <f t="shared" si="2"/>
        <v>-54</v>
      </c>
      <c r="L14" s="586">
        <f>SUM(M14,N14,Q14,R14,S14)</f>
        <v>-54</v>
      </c>
      <c r="M14" s="586">
        <v>450</v>
      </c>
      <c r="N14" s="586">
        <f t="shared" si="3"/>
        <v>-332</v>
      </c>
      <c r="O14" s="586">
        <v>50</v>
      </c>
      <c r="P14" s="586">
        <v>382</v>
      </c>
      <c r="Q14" s="586">
        <v>-25</v>
      </c>
      <c r="R14" s="586">
        <v>-147</v>
      </c>
      <c r="S14" s="586"/>
    </row>
    <row r="15" spans="1:19" ht="12" customHeight="1">
      <c r="A15" s="792" t="s">
        <v>945</v>
      </c>
      <c r="B15" s="586">
        <v>3361</v>
      </c>
      <c r="C15" s="586">
        <v>1924</v>
      </c>
      <c r="D15" s="586"/>
      <c r="E15" s="586">
        <f t="shared" si="0"/>
        <v>5285</v>
      </c>
      <c r="F15" s="586">
        <v>4627</v>
      </c>
      <c r="G15" s="586">
        <v>90</v>
      </c>
      <c r="H15" s="586">
        <v>45</v>
      </c>
      <c r="I15" s="586">
        <f>SUM(F15:G15)</f>
        <v>4717</v>
      </c>
      <c r="J15" s="586">
        <f t="shared" si="1"/>
        <v>568</v>
      </c>
      <c r="K15" s="586">
        <f t="shared" si="2"/>
        <v>-568</v>
      </c>
      <c r="L15" s="586">
        <f>SUM(M15,N15,Q15,R15,S15)</f>
        <v>-568</v>
      </c>
      <c r="M15" s="586"/>
      <c r="N15" s="586">
        <f t="shared" si="3"/>
        <v>-255</v>
      </c>
      <c r="O15" s="586">
        <v>51</v>
      </c>
      <c r="P15" s="586">
        <v>306</v>
      </c>
      <c r="Q15" s="586"/>
      <c r="R15" s="586">
        <v>40</v>
      </c>
      <c r="S15" s="586">
        <v>-353</v>
      </c>
    </row>
    <row r="16" spans="1:19" ht="12" customHeight="1">
      <c r="A16" s="792" t="s">
        <v>946</v>
      </c>
      <c r="B16" s="586">
        <v>4013</v>
      </c>
      <c r="C16" s="586">
        <v>1106</v>
      </c>
      <c r="D16" s="586"/>
      <c r="E16" s="586">
        <f t="shared" si="0"/>
        <v>5119</v>
      </c>
      <c r="F16" s="586">
        <v>4321</v>
      </c>
      <c r="G16" s="586">
        <v>429</v>
      </c>
      <c r="H16" s="586">
        <v>422</v>
      </c>
      <c r="I16" s="586">
        <f>SUM(F16:G16)</f>
        <v>4750</v>
      </c>
      <c r="J16" s="586">
        <f t="shared" si="1"/>
        <v>369</v>
      </c>
      <c r="K16" s="586">
        <f t="shared" si="2"/>
        <v>-369</v>
      </c>
      <c r="L16" s="586">
        <f>SUM(M16,N16,Q16,R16,S16)</f>
        <v>-369</v>
      </c>
      <c r="M16" s="586">
        <v>-470</v>
      </c>
      <c r="N16" s="586">
        <f t="shared" si="3"/>
        <v>101</v>
      </c>
      <c r="O16" s="586">
        <v>201</v>
      </c>
      <c r="P16" s="586">
        <v>100</v>
      </c>
      <c r="Q16" s="586"/>
      <c r="R16" s="586"/>
      <c r="S16" s="586"/>
    </row>
    <row r="17" spans="1:19" ht="12" customHeight="1">
      <c r="A17" s="792" t="s">
        <v>947</v>
      </c>
      <c r="B17" s="586">
        <v>4685</v>
      </c>
      <c r="C17" s="586">
        <v>2260</v>
      </c>
      <c r="D17" s="586"/>
      <c r="E17" s="586">
        <f t="shared" si="0"/>
        <v>6945</v>
      </c>
      <c r="F17" s="586">
        <v>6614</v>
      </c>
      <c r="G17" s="586">
        <v>20</v>
      </c>
      <c r="H17" s="586"/>
      <c r="I17" s="586">
        <f>SUM(F17+G17)</f>
        <v>6634</v>
      </c>
      <c r="J17" s="586">
        <f t="shared" si="1"/>
        <v>311</v>
      </c>
      <c r="K17" s="586">
        <f t="shared" si="2"/>
        <v>-311</v>
      </c>
      <c r="L17" s="586">
        <f>SUM(M17,N17,Q17,R17,S17)</f>
        <v>-311</v>
      </c>
      <c r="M17" s="586"/>
      <c r="N17" s="586">
        <f t="shared" si="3"/>
        <v>-311</v>
      </c>
      <c r="O17" s="586">
        <v>381</v>
      </c>
      <c r="P17" s="586">
        <v>692</v>
      </c>
      <c r="Q17" s="586"/>
      <c r="R17" s="586"/>
      <c r="S17" s="586"/>
    </row>
    <row r="18" spans="1:19" ht="12" customHeight="1">
      <c r="A18" s="792" t="s">
        <v>948</v>
      </c>
      <c r="B18" s="586">
        <v>1849</v>
      </c>
      <c r="C18" s="586">
        <v>1057</v>
      </c>
      <c r="D18" s="586">
        <v>10</v>
      </c>
      <c r="E18" s="586">
        <f t="shared" si="0"/>
        <v>2906</v>
      </c>
      <c r="F18" s="586">
        <v>2822</v>
      </c>
      <c r="G18" s="586">
        <v>7</v>
      </c>
      <c r="H18" s="586"/>
      <c r="I18" s="586">
        <f>SUM(F18+G18)</f>
        <v>2829</v>
      </c>
      <c r="J18" s="586">
        <f t="shared" si="1"/>
        <v>77</v>
      </c>
      <c r="K18" s="586">
        <f t="shared" si="2"/>
        <v>-77</v>
      </c>
      <c r="L18" s="586">
        <f>SUM(Q18:S18,N18,M18)</f>
        <v>-77</v>
      </c>
      <c r="M18" s="586">
        <v>-110</v>
      </c>
      <c r="N18" s="586">
        <f t="shared" si="3"/>
        <v>33</v>
      </c>
      <c r="O18" s="586">
        <v>68</v>
      </c>
      <c r="P18" s="586">
        <v>35</v>
      </c>
      <c r="Q18" s="586"/>
      <c r="R18" s="586"/>
      <c r="S18" s="586"/>
    </row>
    <row r="19" spans="1:19" ht="12" customHeight="1">
      <c r="A19" s="792" t="s">
        <v>949</v>
      </c>
      <c r="B19" s="586">
        <v>5575</v>
      </c>
      <c r="C19" s="586">
        <v>798</v>
      </c>
      <c r="D19" s="586"/>
      <c r="E19" s="586">
        <f t="shared" si="0"/>
        <v>6373</v>
      </c>
      <c r="F19" s="586">
        <v>4504</v>
      </c>
      <c r="G19" s="586">
        <v>1263</v>
      </c>
      <c r="H19" s="586">
        <v>1263</v>
      </c>
      <c r="I19" s="586">
        <f>SUM(F19+G19)</f>
        <v>5767</v>
      </c>
      <c r="J19" s="586">
        <f t="shared" si="1"/>
        <v>606</v>
      </c>
      <c r="K19" s="586">
        <f t="shared" si="2"/>
        <v>-606</v>
      </c>
      <c r="L19" s="586">
        <f>SUM(Q19:S19,N19,M19)</f>
        <v>-606</v>
      </c>
      <c r="M19" s="586"/>
      <c r="N19" s="586">
        <f t="shared" si="3"/>
        <v>-606</v>
      </c>
      <c r="O19" s="586">
        <v>1118</v>
      </c>
      <c r="P19" s="586">
        <v>1724</v>
      </c>
      <c r="Q19" s="586"/>
      <c r="R19" s="586"/>
      <c r="S19" s="586"/>
    </row>
    <row r="20" spans="1:19" ht="12" customHeight="1">
      <c r="A20" s="790" t="s">
        <v>950</v>
      </c>
      <c r="B20" s="586">
        <f>SUM(B12:B19)</f>
        <v>88609</v>
      </c>
      <c r="C20" s="586">
        <f>SUM(C12:C19)</f>
        <v>25536</v>
      </c>
      <c r="D20" s="586">
        <f aca="true" t="shared" si="4" ref="D20:J20">SUM(D13:D19)</f>
        <v>709</v>
      </c>
      <c r="E20" s="586">
        <f t="shared" si="4"/>
        <v>114145</v>
      </c>
      <c r="F20" s="586">
        <f t="shared" si="4"/>
        <v>113225</v>
      </c>
      <c r="G20" s="586">
        <f t="shared" si="4"/>
        <v>11446</v>
      </c>
      <c r="H20" s="586">
        <f t="shared" si="4"/>
        <v>11356</v>
      </c>
      <c r="I20" s="586">
        <f t="shared" si="4"/>
        <v>124671</v>
      </c>
      <c r="J20" s="586">
        <f t="shared" si="4"/>
        <v>-10526</v>
      </c>
      <c r="K20" s="586">
        <f t="shared" si="2"/>
        <v>10526</v>
      </c>
      <c r="L20" s="586">
        <f>SUM(Q20:S20,N20,M20)</f>
        <v>10526</v>
      </c>
      <c r="M20" s="586">
        <f aca="true" t="shared" si="5" ref="M20:S20">SUM(M13:M19)</f>
        <v>-2130</v>
      </c>
      <c r="N20" s="586">
        <f t="shared" si="5"/>
        <v>-2319</v>
      </c>
      <c r="O20" s="586">
        <f t="shared" si="5"/>
        <v>6291</v>
      </c>
      <c r="P20" s="586">
        <f t="shared" si="5"/>
        <v>8610</v>
      </c>
      <c r="Q20" s="586">
        <f t="shared" si="5"/>
        <v>-25</v>
      </c>
      <c r="R20" s="586">
        <f t="shared" si="5"/>
        <v>15851</v>
      </c>
      <c r="S20" s="586">
        <f t="shared" si="5"/>
        <v>-851</v>
      </c>
    </row>
    <row r="21" spans="1:19" s="793" customFormat="1" ht="12" customHeight="1">
      <c r="A21" s="790" t="s">
        <v>951</v>
      </c>
      <c r="B21" s="587"/>
      <c r="C21" s="587"/>
      <c r="D21" s="587"/>
      <c r="E21" s="587"/>
      <c r="F21" s="587"/>
      <c r="G21" s="587"/>
      <c r="H21" s="587"/>
      <c r="I21" s="587"/>
      <c r="J21" s="587"/>
      <c r="K21" s="587"/>
      <c r="L21" s="586"/>
      <c r="M21" s="587"/>
      <c r="N21" s="587"/>
      <c r="O21" s="587"/>
      <c r="P21" s="587"/>
      <c r="Q21" s="587"/>
      <c r="R21" s="587"/>
      <c r="S21" s="587"/>
    </row>
    <row r="22" spans="1:19" ht="12" customHeight="1">
      <c r="A22" s="792" t="s">
        <v>952</v>
      </c>
      <c r="B22" s="586">
        <v>2062</v>
      </c>
      <c r="C22" s="586">
        <v>2262</v>
      </c>
      <c r="D22" s="586">
        <v>454</v>
      </c>
      <c r="E22" s="586">
        <f aca="true" t="shared" si="6" ref="E22:E47">SUM(B22:C22)</f>
        <v>4324</v>
      </c>
      <c r="F22" s="586">
        <v>3767</v>
      </c>
      <c r="G22" s="586">
        <v>244</v>
      </c>
      <c r="H22" s="586">
        <v>136</v>
      </c>
      <c r="I22" s="586">
        <f aca="true" t="shared" si="7" ref="I22:I27">SUM(F22:G22)</f>
        <v>4011</v>
      </c>
      <c r="J22" s="586">
        <f aca="true" t="shared" si="8" ref="J22:J47">E22-I22</f>
        <v>313</v>
      </c>
      <c r="K22" s="586">
        <f aca="true" t="shared" si="9" ref="K22:K47">-J22</f>
        <v>-313</v>
      </c>
      <c r="L22" s="586">
        <f aca="true" t="shared" si="10" ref="L22:L49">SUM(Q22:S22,N22,M22)</f>
        <v>-313</v>
      </c>
      <c r="M22" s="586">
        <v>-31</v>
      </c>
      <c r="N22" s="586">
        <f aca="true" t="shared" si="11" ref="N22:N47">O22-P22</f>
        <v>-240</v>
      </c>
      <c r="O22" s="586">
        <v>363</v>
      </c>
      <c r="P22" s="586">
        <v>603</v>
      </c>
      <c r="Q22" s="586">
        <v>-7</v>
      </c>
      <c r="R22" s="586">
        <v>-7</v>
      </c>
      <c r="S22" s="586">
        <v>-28</v>
      </c>
    </row>
    <row r="23" spans="1:19" ht="12" customHeight="1">
      <c r="A23" s="792" t="s">
        <v>953</v>
      </c>
      <c r="B23" s="586">
        <v>1032</v>
      </c>
      <c r="C23" s="586">
        <v>1496</v>
      </c>
      <c r="D23" s="586">
        <v>448</v>
      </c>
      <c r="E23" s="586">
        <f t="shared" si="6"/>
        <v>2528</v>
      </c>
      <c r="F23" s="586">
        <v>2365</v>
      </c>
      <c r="G23" s="586">
        <v>66</v>
      </c>
      <c r="H23" s="586"/>
      <c r="I23" s="586">
        <f t="shared" si="7"/>
        <v>2431</v>
      </c>
      <c r="J23" s="586">
        <f t="shared" si="8"/>
        <v>97</v>
      </c>
      <c r="K23" s="586">
        <f t="shared" si="9"/>
        <v>-97</v>
      </c>
      <c r="L23" s="794">
        <f t="shared" si="10"/>
        <v>-97</v>
      </c>
      <c r="M23" s="586">
        <v>-7</v>
      </c>
      <c r="N23" s="586">
        <f t="shared" si="11"/>
        <v>-89</v>
      </c>
      <c r="O23" s="586">
        <v>85</v>
      </c>
      <c r="P23" s="586">
        <v>174</v>
      </c>
      <c r="Q23" s="586"/>
      <c r="R23" s="586">
        <v>1</v>
      </c>
      <c r="S23" s="586">
        <v>-2</v>
      </c>
    </row>
    <row r="24" spans="1:19" ht="12" customHeight="1">
      <c r="A24" s="792" t="s">
        <v>954</v>
      </c>
      <c r="B24" s="586">
        <v>953</v>
      </c>
      <c r="C24" s="586">
        <v>2041</v>
      </c>
      <c r="D24" s="586">
        <v>701</v>
      </c>
      <c r="E24" s="586">
        <f t="shared" si="6"/>
        <v>2994</v>
      </c>
      <c r="F24" s="586">
        <v>2849</v>
      </c>
      <c r="G24" s="586">
        <v>94</v>
      </c>
      <c r="H24" s="586"/>
      <c r="I24" s="586">
        <f t="shared" si="7"/>
        <v>2943</v>
      </c>
      <c r="J24" s="586">
        <f t="shared" si="8"/>
        <v>51</v>
      </c>
      <c r="K24" s="586">
        <f t="shared" si="9"/>
        <v>-51</v>
      </c>
      <c r="L24" s="586">
        <f t="shared" si="10"/>
        <v>-51</v>
      </c>
      <c r="M24" s="586">
        <v>-4</v>
      </c>
      <c r="N24" s="586">
        <f t="shared" si="11"/>
        <v>-130</v>
      </c>
      <c r="O24" s="586">
        <v>61</v>
      </c>
      <c r="P24" s="586">
        <v>191</v>
      </c>
      <c r="Q24" s="586"/>
      <c r="R24" s="586">
        <v>-2</v>
      </c>
      <c r="S24" s="586">
        <v>85</v>
      </c>
    </row>
    <row r="25" spans="1:19" ht="12" customHeight="1">
      <c r="A25" s="792" t="s">
        <v>955</v>
      </c>
      <c r="B25" s="586">
        <v>2068</v>
      </c>
      <c r="C25" s="586">
        <v>2804</v>
      </c>
      <c r="D25" s="586">
        <v>676</v>
      </c>
      <c r="E25" s="586">
        <f t="shared" si="6"/>
        <v>4872</v>
      </c>
      <c r="F25" s="586">
        <v>4328</v>
      </c>
      <c r="G25" s="586">
        <v>262</v>
      </c>
      <c r="H25" s="586"/>
      <c r="I25" s="586">
        <f t="shared" si="7"/>
        <v>4590</v>
      </c>
      <c r="J25" s="586">
        <f t="shared" si="8"/>
        <v>282</v>
      </c>
      <c r="K25" s="586">
        <f t="shared" si="9"/>
        <v>-282</v>
      </c>
      <c r="L25" s="586">
        <f t="shared" si="10"/>
        <v>-282</v>
      </c>
      <c r="M25" s="586">
        <v>-23</v>
      </c>
      <c r="N25" s="586">
        <f t="shared" si="11"/>
        <v>-244</v>
      </c>
      <c r="O25" s="586">
        <v>159</v>
      </c>
      <c r="P25" s="586">
        <v>403</v>
      </c>
      <c r="Q25" s="586">
        <v>-2</v>
      </c>
      <c r="R25" s="586">
        <v>-1</v>
      </c>
      <c r="S25" s="586">
        <v>-12</v>
      </c>
    </row>
    <row r="26" spans="1:19" ht="12" customHeight="1">
      <c r="A26" s="792" t="s">
        <v>956</v>
      </c>
      <c r="B26" s="586">
        <v>3314</v>
      </c>
      <c r="C26" s="586">
        <v>3239</v>
      </c>
      <c r="D26" s="586">
        <v>836</v>
      </c>
      <c r="E26" s="586">
        <f t="shared" si="6"/>
        <v>6553</v>
      </c>
      <c r="F26" s="586">
        <v>5873</v>
      </c>
      <c r="G26" s="586">
        <v>303</v>
      </c>
      <c r="H26" s="586">
        <v>69</v>
      </c>
      <c r="I26" s="586">
        <f t="shared" si="7"/>
        <v>6176</v>
      </c>
      <c r="J26" s="586">
        <f t="shared" si="8"/>
        <v>377</v>
      </c>
      <c r="K26" s="586">
        <f t="shared" si="9"/>
        <v>-377</v>
      </c>
      <c r="L26" s="586">
        <f t="shared" si="10"/>
        <v>-377</v>
      </c>
      <c r="M26" s="586">
        <v>-145</v>
      </c>
      <c r="N26" s="586">
        <f t="shared" si="11"/>
        <v>-207</v>
      </c>
      <c r="O26" s="586">
        <v>159</v>
      </c>
      <c r="P26" s="586">
        <v>366</v>
      </c>
      <c r="Q26" s="586">
        <v>-7</v>
      </c>
      <c r="R26" s="586"/>
      <c r="S26" s="586">
        <v>-18</v>
      </c>
    </row>
    <row r="27" spans="1:19" ht="12" customHeight="1">
      <c r="A27" s="792" t="s">
        <v>957</v>
      </c>
      <c r="B27" s="586">
        <v>1530</v>
      </c>
      <c r="C27" s="586">
        <v>2324</v>
      </c>
      <c r="D27" s="586">
        <v>906</v>
      </c>
      <c r="E27" s="586">
        <f t="shared" si="6"/>
        <v>3854</v>
      </c>
      <c r="F27" s="586">
        <v>3484</v>
      </c>
      <c r="G27" s="586">
        <v>146</v>
      </c>
      <c r="H27" s="586">
        <v>31</v>
      </c>
      <c r="I27" s="586">
        <f t="shared" si="7"/>
        <v>3630</v>
      </c>
      <c r="J27" s="586">
        <f t="shared" si="8"/>
        <v>224</v>
      </c>
      <c r="K27" s="586">
        <f t="shared" si="9"/>
        <v>-224</v>
      </c>
      <c r="L27" s="586">
        <f t="shared" si="10"/>
        <v>-224</v>
      </c>
      <c r="M27" s="586">
        <v>90</v>
      </c>
      <c r="N27" s="586">
        <f t="shared" si="11"/>
        <v>-266</v>
      </c>
      <c r="O27" s="586">
        <v>114</v>
      </c>
      <c r="P27" s="586">
        <v>380</v>
      </c>
      <c r="Q27" s="586">
        <v>-1</v>
      </c>
      <c r="R27" s="586">
        <v>-120</v>
      </c>
      <c r="S27" s="586">
        <v>73</v>
      </c>
    </row>
    <row r="28" spans="1:19" ht="12" customHeight="1">
      <c r="A28" s="792" t="s">
        <v>958</v>
      </c>
      <c r="B28" s="586">
        <v>1782</v>
      </c>
      <c r="C28" s="586">
        <v>2000</v>
      </c>
      <c r="D28" s="586">
        <v>599</v>
      </c>
      <c r="E28" s="586">
        <f t="shared" si="6"/>
        <v>3782</v>
      </c>
      <c r="F28" s="586">
        <v>3409</v>
      </c>
      <c r="G28" s="586">
        <v>194</v>
      </c>
      <c r="H28" s="586">
        <v>62</v>
      </c>
      <c r="I28" s="586">
        <f aca="true" t="shared" si="12" ref="I28:I47">SUM(F28:H28)-H28</f>
        <v>3603</v>
      </c>
      <c r="J28" s="586">
        <f t="shared" si="8"/>
        <v>179</v>
      </c>
      <c r="K28" s="586">
        <f t="shared" si="9"/>
        <v>-179</v>
      </c>
      <c r="L28" s="586">
        <f t="shared" si="10"/>
        <v>-179</v>
      </c>
      <c r="M28" s="586">
        <v>-61</v>
      </c>
      <c r="N28" s="586">
        <f t="shared" si="11"/>
        <v>-120</v>
      </c>
      <c r="O28" s="586">
        <v>198</v>
      </c>
      <c r="P28" s="586">
        <v>318</v>
      </c>
      <c r="Q28" s="586"/>
      <c r="R28" s="586"/>
      <c r="S28" s="586">
        <v>2</v>
      </c>
    </row>
    <row r="29" spans="1:19" ht="12" customHeight="1">
      <c r="A29" s="792" t="s">
        <v>959</v>
      </c>
      <c r="B29" s="586">
        <v>1220</v>
      </c>
      <c r="C29" s="586">
        <v>1365</v>
      </c>
      <c r="D29" s="586">
        <v>360</v>
      </c>
      <c r="E29" s="586">
        <f t="shared" si="6"/>
        <v>2585</v>
      </c>
      <c r="F29" s="586">
        <v>2434</v>
      </c>
      <c r="G29" s="586">
        <v>70</v>
      </c>
      <c r="H29" s="586"/>
      <c r="I29" s="586">
        <f t="shared" si="12"/>
        <v>2504</v>
      </c>
      <c r="J29" s="586">
        <f t="shared" si="8"/>
        <v>81</v>
      </c>
      <c r="K29" s="586">
        <f t="shared" si="9"/>
        <v>-81</v>
      </c>
      <c r="L29" s="586">
        <f t="shared" si="10"/>
        <v>-81</v>
      </c>
      <c r="M29" s="586">
        <v>-23</v>
      </c>
      <c r="N29" s="586">
        <f t="shared" si="11"/>
        <v>-10</v>
      </c>
      <c r="O29" s="586">
        <v>270</v>
      </c>
      <c r="P29" s="586">
        <v>280</v>
      </c>
      <c r="Q29" s="586"/>
      <c r="R29" s="586"/>
      <c r="S29" s="586">
        <v>-48</v>
      </c>
    </row>
    <row r="30" spans="1:19" ht="12" customHeight="1">
      <c r="A30" s="792" t="s">
        <v>960</v>
      </c>
      <c r="B30" s="586">
        <v>1394</v>
      </c>
      <c r="C30" s="586">
        <v>1882</v>
      </c>
      <c r="D30" s="586">
        <v>602</v>
      </c>
      <c r="E30" s="586">
        <f t="shared" si="6"/>
        <v>3276</v>
      </c>
      <c r="F30" s="586">
        <v>3043</v>
      </c>
      <c r="G30" s="586">
        <v>158</v>
      </c>
      <c r="H30" s="586"/>
      <c r="I30" s="586">
        <f t="shared" si="12"/>
        <v>3201</v>
      </c>
      <c r="J30" s="586">
        <f t="shared" si="8"/>
        <v>75</v>
      </c>
      <c r="K30" s="586">
        <f t="shared" si="9"/>
        <v>-75</v>
      </c>
      <c r="L30" s="586">
        <f t="shared" si="10"/>
        <v>-75</v>
      </c>
      <c r="M30" s="586">
        <v>-29</v>
      </c>
      <c r="N30" s="586">
        <f t="shared" si="11"/>
        <v>-46</v>
      </c>
      <c r="O30" s="586">
        <v>126</v>
      </c>
      <c r="P30" s="586">
        <v>172</v>
      </c>
      <c r="Q30" s="586"/>
      <c r="R30" s="586"/>
      <c r="S30" s="586"/>
    </row>
    <row r="31" spans="1:19" ht="12" customHeight="1">
      <c r="A31" s="792" t="s">
        <v>961</v>
      </c>
      <c r="B31" s="586">
        <v>2017</v>
      </c>
      <c r="C31" s="586">
        <v>2743</v>
      </c>
      <c r="D31" s="586">
        <v>918</v>
      </c>
      <c r="E31" s="586">
        <f t="shared" si="6"/>
        <v>4760</v>
      </c>
      <c r="F31" s="586">
        <v>4687</v>
      </c>
      <c r="G31" s="586">
        <v>126</v>
      </c>
      <c r="H31" s="586"/>
      <c r="I31" s="586">
        <f t="shared" si="12"/>
        <v>4813</v>
      </c>
      <c r="J31" s="586">
        <f t="shared" si="8"/>
        <v>-53</v>
      </c>
      <c r="K31" s="586">
        <f t="shared" si="9"/>
        <v>53</v>
      </c>
      <c r="L31" s="586">
        <f t="shared" si="10"/>
        <v>53</v>
      </c>
      <c r="M31" s="586">
        <v>-104</v>
      </c>
      <c r="N31" s="586">
        <f t="shared" si="11"/>
        <v>14</v>
      </c>
      <c r="O31" s="586">
        <v>272</v>
      </c>
      <c r="P31" s="586">
        <v>258</v>
      </c>
      <c r="Q31" s="586"/>
      <c r="R31" s="586">
        <v>1</v>
      </c>
      <c r="S31" s="586">
        <v>142</v>
      </c>
    </row>
    <row r="32" spans="1:19" ht="12" customHeight="1">
      <c r="A32" s="792" t="s">
        <v>962</v>
      </c>
      <c r="B32" s="586">
        <v>1001</v>
      </c>
      <c r="C32" s="586">
        <v>1842</v>
      </c>
      <c r="D32" s="586">
        <v>734</v>
      </c>
      <c r="E32" s="586">
        <f t="shared" si="6"/>
        <v>2843</v>
      </c>
      <c r="F32" s="586">
        <v>2568</v>
      </c>
      <c r="G32" s="586">
        <v>90</v>
      </c>
      <c r="H32" s="586"/>
      <c r="I32" s="586">
        <f t="shared" si="12"/>
        <v>2658</v>
      </c>
      <c r="J32" s="586">
        <f t="shared" si="8"/>
        <v>185</v>
      </c>
      <c r="K32" s="586">
        <f t="shared" si="9"/>
        <v>-185</v>
      </c>
      <c r="L32" s="586">
        <f t="shared" si="10"/>
        <v>-185</v>
      </c>
      <c r="M32" s="586">
        <v>-89</v>
      </c>
      <c r="N32" s="586">
        <f t="shared" si="11"/>
        <v>-109</v>
      </c>
      <c r="O32" s="586">
        <v>67</v>
      </c>
      <c r="P32" s="586">
        <v>176</v>
      </c>
      <c r="Q32" s="586"/>
      <c r="R32" s="586">
        <v>13</v>
      </c>
      <c r="S32" s="586"/>
    </row>
    <row r="33" spans="1:19" ht="12" customHeight="1">
      <c r="A33" s="792" t="s">
        <v>963</v>
      </c>
      <c r="B33" s="586">
        <v>1823</v>
      </c>
      <c r="C33" s="586">
        <v>2511</v>
      </c>
      <c r="D33" s="586">
        <v>495</v>
      </c>
      <c r="E33" s="586">
        <f t="shared" si="6"/>
        <v>4334</v>
      </c>
      <c r="F33" s="586">
        <v>3866</v>
      </c>
      <c r="G33" s="586">
        <v>121</v>
      </c>
      <c r="H33" s="586"/>
      <c r="I33" s="586">
        <f t="shared" si="12"/>
        <v>3987</v>
      </c>
      <c r="J33" s="586">
        <f t="shared" si="8"/>
        <v>347</v>
      </c>
      <c r="K33" s="586">
        <f t="shared" si="9"/>
        <v>-347</v>
      </c>
      <c r="L33" s="586">
        <f t="shared" si="10"/>
        <v>-347</v>
      </c>
      <c r="M33" s="586">
        <v>-7</v>
      </c>
      <c r="N33" s="586">
        <f t="shared" si="11"/>
        <v>-318</v>
      </c>
      <c r="O33" s="586">
        <v>462</v>
      </c>
      <c r="P33" s="586">
        <v>780</v>
      </c>
      <c r="Q33" s="586"/>
      <c r="R33" s="586"/>
      <c r="S33" s="586">
        <v>-22</v>
      </c>
    </row>
    <row r="34" spans="1:19" ht="12" customHeight="1">
      <c r="A34" s="792" t="s">
        <v>964</v>
      </c>
      <c r="B34" s="586">
        <v>1938</v>
      </c>
      <c r="C34" s="586">
        <v>2215</v>
      </c>
      <c r="D34" s="586">
        <v>603</v>
      </c>
      <c r="E34" s="586">
        <f t="shared" si="6"/>
        <v>4153</v>
      </c>
      <c r="F34" s="586">
        <v>3966</v>
      </c>
      <c r="G34" s="586">
        <v>100</v>
      </c>
      <c r="H34" s="586">
        <v>9</v>
      </c>
      <c r="I34" s="586">
        <f t="shared" si="12"/>
        <v>4066</v>
      </c>
      <c r="J34" s="586">
        <f t="shared" si="8"/>
        <v>87</v>
      </c>
      <c r="K34" s="586">
        <f t="shared" si="9"/>
        <v>-87</v>
      </c>
      <c r="L34" s="586">
        <f t="shared" si="10"/>
        <v>-87</v>
      </c>
      <c r="M34" s="586">
        <v>-69</v>
      </c>
      <c r="N34" s="586">
        <f t="shared" si="11"/>
        <v>-70</v>
      </c>
      <c r="O34" s="586">
        <v>136</v>
      </c>
      <c r="P34" s="586">
        <v>206</v>
      </c>
      <c r="Q34" s="586"/>
      <c r="R34" s="586">
        <v>9</v>
      </c>
      <c r="S34" s="586">
        <v>43</v>
      </c>
    </row>
    <row r="35" spans="1:19" ht="12" customHeight="1">
      <c r="A35" s="792" t="s">
        <v>965</v>
      </c>
      <c r="B35" s="586">
        <v>1972</v>
      </c>
      <c r="C35" s="586">
        <v>1784</v>
      </c>
      <c r="D35" s="586">
        <v>571</v>
      </c>
      <c r="E35" s="586">
        <f t="shared" si="6"/>
        <v>3756</v>
      </c>
      <c r="F35" s="586">
        <v>3450</v>
      </c>
      <c r="G35" s="586">
        <v>284</v>
      </c>
      <c r="H35" s="586">
        <v>89</v>
      </c>
      <c r="I35" s="586">
        <f t="shared" si="12"/>
        <v>3734</v>
      </c>
      <c r="J35" s="586">
        <f t="shared" si="8"/>
        <v>22</v>
      </c>
      <c r="K35" s="586">
        <f t="shared" si="9"/>
        <v>-22</v>
      </c>
      <c r="L35" s="586">
        <f t="shared" si="10"/>
        <v>-22</v>
      </c>
      <c r="M35" s="586">
        <v>-148</v>
      </c>
      <c r="N35" s="586">
        <f t="shared" si="11"/>
        <v>29</v>
      </c>
      <c r="O35" s="586">
        <v>209</v>
      </c>
      <c r="P35" s="586">
        <v>180</v>
      </c>
      <c r="Q35" s="586">
        <v>-7</v>
      </c>
      <c r="R35" s="586">
        <v>105</v>
      </c>
      <c r="S35" s="586">
        <v>-1</v>
      </c>
    </row>
    <row r="36" spans="1:19" ht="12" customHeight="1">
      <c r="A36" s="792" t="s">
        <v>966</v>
      </c>
      <c r="B36" s="586">
        <v>1032</v>
      </c>
      <c r="C36" s="586">
        <v>1813</v>
      </c>
      <c r="D36" s="586">
        <v>641</v>
      </c>
      <c r="E36" s="586">
        <f t="shared" si="6"/>
        <v>2845</v>
      </c>
      <c r="F36" s="586">
        <v>2494</v>
      </c>
      <c r="G36" s="586">
        <v>91</v>
      </c>
      <c r="H36" s="586"/>
      <c r="I36" s="586">
        <f t="shared" si="12"/>
        <v>2585</v>
      </c>
      <c r="J36" s="586">
        <f t="shared" si="8"/>
        <v>260</v>
      </c>
      <c r="K36" s="586">
        <f t="shared" si="9"/>
        <v>-260</v>
      </c>
      <c r="L36" s="586">
        <f t="shared" si="10"/>
        <v>-260</v>
      </c>
      <c r="M36" s="586">
        <v>-35</v>
      </c>
      <c r="N36" s="586">
        <f t="shared" si="11"/>
        <v>-246</v>
      </c>
      <c r="O36" s="586">
        <v>59</v>
      </c>
      <c r="P36" s="586">
        <v>305</v>
      </c>
      <c r="Q36" s="586">
        <v>-11</v>
      </c>
      <c r="R36" s="586"/>
      <c r="S36" s="586">
        <v>32</v>
      </c>
    </row>
    <row r="37" spans="1:19" ht="12" customHeight="1">
      <c r="A37" s="792" t="s">
        <v>967</v>
      </c>
      <c r="B37" s="586">
        <v>1878</v>
      </c>
      <c r="C37" s="586">
        <v>2806</v>
      </c>
      <c r="D37" s="586">
        <v>742</v>
      </c>
      <c r="E37" s="586">
        <f t="shared" si="6"/>
        <v>4684</v>
      </c>
      <c r="F37" s="586">
        <v>4215</v>
      </c>
      <c r="G37" s="586">
        <v>226</v>
      </c>
      <c r="H37" s="586">
        <v>27</v>
      </c>
      <c r="I37" s="586">
        <f t="shared" si="12"/>
        <v>4441</v>
      </c>
      <c r="J37" s="586">
        <f t="shared" si="8"/>
        <v>243</v>
      </c>
      <c r="K37" s="586">
        <f t="shared" si="9"/>
        <v>-243</v>
      </c>
      <c r="L37" s="586">
        <f t="shared" si="10"/>
        <v>-243</v>
      </c>
      <c r="M37" s="586">
        <v>42</v>
      </c>
      <c r="N37" s="586">
        <f t="shared" si="11"/>
        <v>-321</v>
      </c>
      <c r="O37" s="586">
        <v>190</v>
      </c>
      <c r="P37" s="586">
        <v>511</v>
      </c>
      <c r="Q37" s="586"/>
      <c r="R37" s="586">
        <v>36</v>
      </c>
      <c r="S37" s="586"/>
    </row>
    <row r="38" spans="1:19" ht="12" customHeight="1">
      <c r="A38" s="792" t="s">
        <v>968</v>
      </c>
      <c r="B38" s="586">
        <v>3427</v>
      </c>
      <c r="C38" s="586">
        <v>2297</v>
      </c>
      <c r="D38" s="586">
        <v>516</v>
      </c>
      <c r="E38" s="586">
        <f t="shared" si="6"/>
        <v>5724</v>
      </c>
      <c r="F38" s="586">
        <v>5055</v>
      </c>
      <c r="G38" s="586">
        <v>370</v>
      </c>
      <c r="H38" s="586">
        <v>249</v>
      </c>
      <c r="I38" s="586">
        <f t="shared" si="12"/>
        <v>5425</v>
      </c>
      <c r="J38" s="586">
        <f t="shared" si="8"/>
        <v>299</v>
      </c>
      <c r="K38" s="586">
        <f t="shared" si="9"/>
        <v>-299</v>
      </c>
      <c r="L38" s="586">
        <f t="shared" si="10"/>
        <v>-299</v>
      </c>
      <c r="M38" s="586">
        <v>-84</v>
      </c>
      <c r="N38" s="586">
        <f t="shared" si="11"/>
        <v>-205</v>
      </c>
      <c r="O38" s="586">
        <v>312</v>
      </c>
      <c r="P38" s="586">
        <v>517</v>
      </c>
      <c r="Q38" s="586">
        <v>-5</v>
      </c>
      <c r="R38" s="586">
        <v>-4</v>
      </c>
      <c r="S38" s="586">
        <v>-1</v>
      </c>
    </row>
    <row r="39" spans="1:19" ht="12" customHeight="1">
      <c r="A39" s="792" t="s">
        <v>969</v>
      </c>
      <c r="B39" s="586">
        <v>1404</v>
      </c>
      <c r="C39" s="586">
        <v>2577</v>
      </c>
      <c r="D39" s="586">
        <v>824</v>
      </c>
      <c r="E39" s="586">
        <f t="shared" si="6"/>
        <v>3981</v>
      </c>
      <c r="F39" s="586">
        <v>3638</v>
      </c>
      <c r="G39" s="586">
        <v>63</v>
      </c>
      <c r="H39" s="586"/>
      <c r="I39" s="586">
        <f t="shared" si="12"/>
        <v>3701</v>
      </c>
      <c r="J39" s="586">
        <f t="shared" si="8"/>
        <v>280</v>
      </c>
      <c r="K39" s="586">
        <f t="shared" si="9"/>
        <v>-280</v>
      </c>
      <c r="L39" s="586">
        <f t="shared" si="10"/>
        <v>-280</v>
      </c>
      <c r="M39" s="586">
        <v>-103</v>
      </c>
      <c r="N39" s="586">
        <f t="shared" si="11"/>
        <v>-263</v>
      </c>
      <c r="O39" s="586">
        <v>148</v>
      </c>
      <c r="P39" s="586">
        <v>411</v>
      </c>
      <c r="Q39" s="586">
        <v>-18</v>
      </c>
      <c r="R39" s="586">
        <v>8</v>
      </c>
      <c r="S39" s="586">
        <v>96</v>
      </c>
    </row>
    <row r="40" spans="1:19" ht="12" customHeight="1">
      <c r="A40" s="792" t="s">
        <v>970</v>
      </c>
      <c r="B40" s="586">
        <v>1049</v>
      </c>
      <c r="C40" s="586">
        <v>2825</v>
      </c>
      <c r="D40" s="586">
        <v>1051</v>
      </c>
      <c r="E40" s="586">
        <f t="shared" si="6"/>
        <v>3874</v>
      </c>
      <c r="F40" s="586">
        <v>3510</v>
      </c>
      <c r="G40" s="586">
        <v>145</v>
      </c>
      <c r="H40" s="586"/>
      <c r="I40" s="586">
        <f t="shared" si="12"/>
        <v>3655</v>
      </c>
      <c r="J40" s="586">
        <f t="shared" si="8"/>
        <v>219</v>
      </c>
      <c r="K40" s="586">
        <f t="shared" si="9"/>
        <v>-219</v>
      </c>
      <c r="L40" s="586">
        <f t="shared" si="10"/>
        <v>-219</v>
      </c>
      <c r="M40" s="586">
        <v>-26</v>
      </c>
      <c r="N40" s="586">
        <f t="shared" si="11"/>
        <v>-209</v>
      </c>
      <c r="O40" s="586">
        <v>105</v>
      </c>
      <c r="P40" s="586">
        <v>314</v>
      </c>
      <c r="Q40" s="586"/>
      <c r="R40" s="586"/>
      <c r="S40" s="586">
        <v>16</v>
      </c>
    </row>
    <row r="41" spans="1:19" ht="12" customHeight="1">
      <c r="A41" s="792" t="s">
        <v>971</v>
      </c>
      <c r="B41" s="586">
        <v>10340</v>
      </c>
      <c r="C41" s="586">
        <v>5111</v>
      </c>
      <c r="D41" s="586">
        <v>736</v>
      </c>
      <c r="E41" s="586">
        <f t="shared" si="6"/>
        <v>15451</v>
      </c>
      <c r="F41" s="586">
        <v>13410</v>
      </c>
      <c r="G41" s="586">
        <v>1748</v>
      </c>
      <c r="H41" s="586">
        <v>1163</v>
      </c>
      <c r="I41" s="586">
        <f t="shared" si="12"/>
        <v>15158</v>
      </c>
      <c r="J41" s="586">
        <f t="shared" si="8"/>
        <v>293</v>
      </c>
      <c r="K41" s="586">
        <f t="shared" si="9"/>
        <v>-293</v>
      </c>
      <c r="L41" s="586">
        <f t="shared" si="10"/>
        <v>-293</v>
      </c>
      <c r="M41" s="586">
        <v>232</v>
      </c>
      <c r="N41" s="586">
        <f t="shared" si="11"/>
        <v>-520</v>
      </c>
      <c r="O41" s="586">
        <v>1098</v>
      </c>
      <c r="P41" s="586">
        <v>1618</v>
      </c>
      <c r="Q41" s="586">
        <v>12</v>
      </c>
      <c r="R41" s="586"/>
      <c r="S41" s="586">
        <v>-17</v>
      </c>
    </row>
    <row r="42" spans="1:19" ht="12" customHeight="1">
      <c r="A42" s="792" t="s">
        <v>972</v>
      </c>
      <c r="B42" s="586">
        <v>1735</v>
      </c>
      <c r="C42" s="586">
        <v>2390</v>
      </c>
      <c r="D42" s="586">
        <v>536</v>
      </c>
      <c r="E42" s="586">
        <f t="shared" si="6"/>
        <v>4125</v>
      </c>
      <c r="F42" s="586">
        <v>3790</v>
      </c>
      <c r="G42" s="586">
        <v>101</v>
      </c>
      <c r="H42" s="586">
        <v>12</v>
      </c>
      <c r="I42" s="586">
        <f t="shared" si="12"/>
        <v>3891</v>
      </c>
      <c r="J42" s="586">
        <f t="shared" si="8"/>
        <v>234</v>
      </c>
      <c r="K42" s="586">
        <f t="shared" si="9"/>
        <v>-234</v>
      </c>
      <c r="L42" s="586">
        <f t="shared" si="10"/>
        <v>-234</v>
      </c>
      <c r="M42" s="586">
        <v>124</v>
      </c>
      <c r="N42" s="586">
        <f t="shared" si="11"/>
        <v>-315</v>
      </c>
      <c r="O42" s="586">
        <v>246</v>
      </c>
      <c r="P42" s="586">
        <v>561</v>
      </c>
      <c r="Q42" s="586"/>
      <c r="R42" s="586"/>
      <c r="S42" s="586">
        <v>-43</v>
      </c>
    </row>
    <row r="43" spans="1:19" ht="12" customHeight="1">
      <c r="A43" s="792" t="s">
        <v>973</v>
      </c>
      <c r="B43" s="586">
        <v>2240</v>
      </c>
      <c r="C43" s="586">
        <v>2273</v>
      </c>
      <c r="D43" s="586">
        <v>646</v>
      </c>
      <c r="E43" s="586">
        <f t="shared" si="6"/>
        <v>4513</v>
      </c>
      <c r="F43" s="586">
        <v>4428</v>
      </c>
      <c r="G43" s="586">
        <v>82</v>
      </c>
      <c r="H43" s="586">
        <v>12</v>
      </c>
      <c r="I43" s="586">
        <f t="shared" si="12"/>
        <v>4510</v>
      </c>
      <c r="J43" s="586">
        <f t="shared" si="8"/>
        <v>3</v>
      </c>
      <c r="K43" s="586">
        <f t="shared" si="9"/>
        <v>-3</v>
      </c>
      <c r="L43" s="586">
        <f t="shared" si="10"/>
        <v>-3</v>
      </c>
      <c r="M43" s="586">
        <v>97</v>
      </c>
      <c r="N43" s="586">
        <f t="shared" si="11"/>
        <v>-92</v>
      </c>
      <c r="O43" s="586">
        <v>207</v>
      </c>
      <c r="P43" s="586">
        <v>299</v>
      </c>
      <c r="Q43" s="586"/>
      <c r="R43" s="586">
        <v>-11</v>
      </c>
      <c r="S43" s="586">
        <v>3</v>
      </c>
    </row>
    <row r="44" spans="1:19" ht="12" customHeight="1">
      <c r="A44" s="792" t="s">
        <v>974</v>
      </c>
      <c r="B44" s="586">
        <v>2787</v>
      </c>
      <c r="C44" s="586">
        <v>3581</v>
      </c>
      <c r="D44" s="586">
        <v>758</v>
      </c>
      <c r="E44" s="586">
        <f t="shared" si="6"/>
        <v>6368</v>
      </c>
      <c r="F44" s="586">
        <v>5445</v>
      </c>
      <c r="G44" s="586">
        <v>585</v>
      </c>
      <c r="H44" s="586">
        <v>12</v>
      </c>
      <c r="I44" s="586">
        <f t="shared" si="12"/>
        <v>6030</v>
      </c>
      <c r="J44" s="586">
        <f t="shared" si="8"/>
        <v>338</v>
      </c>
      <c r="K44" s="586">
        <f t="shared" si="9"/>
        <v>-338</v>
      </c>
      <c r="L44" s="586">
        <f t="shared" si="10"/>
        <v>-338</v>
      </c>
      <c r="M44" s="586">
        <v>-21</v>
      </c>
      <c r="N44" s="586">
        <f t="shared" si="11"/>
        <v>-319</v>
      </c>
      <c r="O44" s="586">
        <v>364</v>
      </c>
      <c r="P44" s="586">
        <v>683</v>
      </c>
      <c r="Q44" s="586">
        <v>-3</v>
      </c>
      <c r="R44" s="586">
        <v>3</v>
      </c>
      <c r="S44" s="586">
        <v>2</v>
      </c>
    </row>
    <row r="45" spans="1:19" ht="12" customHeight="1">
      <c r="A45" s="792" t="s">
        <v>975</v>
      </c>
      <c r="B45" s="586">
        <v>1703</v>
      </c>
      <c r="C45" s="586">
        <v>1497</v>
      </c>
      <c r="D45" s="586">
        <v>387</v>
      </c>
      <c r="E45" s="586">
        <f t="shared" si="6"/>
        <v>3200</v>
      </c>
      <c r="F45" s="586">
        <v>2695</v>
      </c>
      <c r="G45" s="586">
        <v>186</v>
      </c>
      <c r="H45" s="586">
        <v>35</v>
      </c>
      <c r="I45" s="586">
        <f t="shared" si="12"/>
        <v>2881</v>
      </c>
      <c r="J45" s="586">
        <f t="shared" si="8"/>
        <v>319</v>
      </c>
      <c r="K45" s="586">
        <f t="shared" si="9"/>
        <v>-319</v>
      </c>
      <c r="L45" s="586">
        <f t="shared" si="10"/>
        <v>-319</v>
      </c>
      <c r="M45" s="586">
        <v>-56</v>
      </c>
      <c r="N45" s="586">
        <f t="shared" si="11"/>
        <v>-208</v>
      </c>
      <c r="O45" s="586">
        <v>75</v>
      </c>
      <c r="P45" s="586">
        <v>283</v>
      </c>
      <c r="Q45" s="586">
        <v>-1</v>
      </c>
      <c r="R45" s="586"/>
      <c r="S45" s="586">
        <v>-54</v>
      </c>
    </row>
    <row r="46" spans="1:19" ht="12" customHeight="1">
      <c r="A46" s="792" t="s">
        <v>976</v>
      </c>
      <c r="B46" s="586">
        <v>4776</v>
      </c>
      <c r="C46" s="586">
        <v>3215</v>
      </c>
      <c r="D46" s="586">
        <v>638</v>
      </c>
      <c r="E46" s="586">
        <f t="shared" si="6"/>
        <v>7991</v>
      </c>
      <c r="F46" s="586">
        <v>7099</v>
      </c>
      <c r="G46" s="586">
        <v>454</v>
      </c>
      <c r="H46" s="586">
        <v>170</v>
      </c>
      <c r="I46" s="586">
        <f t="shared" si="12"/>
        <v>7553</v>
      </c>
      <c r="J46" s="586">
        <f t="shared" si="8"/>
        <v>438</v>
      </c>
      <c r="K46" s="586">
        <f t="shared" si="9"/>
        <v>-438</v>
      </c>
      <c r="L46" s="586">
        <f t="shared" si="10"/>
        <v>-438</v>
      </c>
      <c r="M46" s="586">
        <v>-169</v>
      </c>
      <c r="N46" s="586">
        <f t="shared" si="11"/>
        <v>-404</v>
      </c>
      <c r="O46" s="586">
        <v>292</v>
      </c>
      <c r="P46" s="586">
        <v>696</v>
      </c>
      <c r="Q46" s="586">
        <v>-34</v>
      </c>
      <c r="R46" s="586">
        <v>-7</v>
      </c>
      <c r="S46" s="586">
        <v>176</v>
      </c>
    </row>
    <row r="47" spans="1:19" ht="12" customHeight="1">
      <c r="A47" s="792" t="s">
        <v>977</v>
      </c>
      <c r="B47" s="586">
        <v>760</v>
      </c>
      <c r="C47" s="586">
        <v>639</v>
      </c>
      <c r="D47" s="586">
        <v>94</v>
      </c>
      <c r="E47" s="795">
        <f t="shared" si="6"/>
        <v>1399</v>
      </c>
      <c r="F47" s="586">
        <v>1320</v>
      </c>
      <c r="G47" s="586">
        <v>61</v>
      </c>
      <c r="H47" s="586">
        <v>15</v>
      </c>
      <c r="I47" s="586">
        <f t="shared" si="12"/>
        <v>1381</v>
      </c>
      <c r="J47" s="586">
        <f t="shared" si="8"/>
        <v>18</v>
      </c>
      <c r="K47" s="586">
        <f t="shared" si="9"/>
        <v>-18</v>
      </c>
      <c r="L47" s="586">
        <f t="shared" si="10"/>
        <v>-18</v>
      </c>
      <c r="M47" s="586">
        <v>-1</v>
      </c>
      <c r="N47" s="586">
        <f t="shared" si="11"/>
        <v>-39</v>
      </c>
      <c r="O47" s="586">
        <v>60</v>
      </c>
      <c r="P47" s="586">
        <v>99</v>
      </c>
      <c r="Q47" s="586"/>
      <c r="R47" s="586"/>
      <c r="S47" s="586">
        <v>22</v>
      </c>
    </row>
    <row r="48" spans="1:19" ht="12" customHeight="1">
      <c r="A48" s="790" t="s">
        <v>978</v>
      </c>
      <c r="B48" s="586">
        <f aca="true" t="shared" si="13" ref="B48:K48">SUM(B22:B47)</f>
        <v>57237</v>
      </c>
      <c r="C48" s="586">
        <f t="shared" si="13"/>
        <v>61532</v>
      </c>
      <c r="D48" s="586">
        <f t="shared" si="13"/>
        <v>16472</v>
      </c>
      <c r="E48" s="795">
        <f t="shared" si="13"/>
        <v>118769</v>
      </c>
      <c r="F48" s="586">
        <f t="shared" si="13"/>
        <v>107188</v>
      </c>
      <c r="G48" s="586">
        <f t="shared" si="13"/>
        <v>6370</v>
      </c>
      <c r="H48" s="586">
        <f t="shared" si="13"/>
        <v>2091</v>
      </c>
      <c r="I48" s="586">
        <f t="shared" si="13"/>
        <v>113558</v>
      </c>
      <c r="J48" s="586">
        <f t="shared" si="13"/>
        <v>5211</v>
      </c>
      <c r="K48" s="586">
        <f t="shared" si="13"/>
        <v>-5211</v>
      </c>
      <c r="L48" s="586">
        <f t="shared" si="10"/>
        <v>-5211</v>
      </c>
      <c r="M48" s="586">
        <f aca="true" t="shared" si="14" ref="M48:S48">SUM(M22:M47)</f>
        <v>-650</v>
      </c>
      <c r="N48" s="586">
        <f t="shared" si="14"/>
        <v>-4947</v>
      </c>
      <c r="O48" s="586">
        <f t="shared" si="14"/>
        <v>5837</v>
      </c>
      <c r="P48" s="586">
        <f t="shared" si="14"/>
        <v>10784</v>
      </c>
      <c r="Q48" s="586">
        <f t="shared" si="14"/>
        <v>-84</v>
      </c>
      <c r="R48" s="586">
        <f t="shared" si="14"/>
        <v>24</v>
      </c>
      <c r="S48" s="586">
        <f t="shared" si="14"/>
        <v>446</v>
      </c>
    </row>
    <row r="49" spans="1:19" ht="12" customHeight="1">
      <c r="A49" s="796" t="s">
        <v>979</v>
      </c>
      <c r="B49" s="586">
        <f aca="true" t="shared" si="15" ref="B49:K49">B48+B20</f>
        <v>145846</v>
      </c>
      <c r="C49" s="586">
        <f t="shared" si="15"/>
        <v>87068</v>
      </c>
      <c r="D49" s="586">
        <f t="shared" si="15"/>
        <v>17181</v>
      </c>
      <c r="E49" s="586">
        <f t="shared" si="15"/>
        <v>232914</v>
      </c>
      <c r="F49" s="586">
        <f t="shared" si="15"/>
        <v>220413</v>
      </c>
      <c r="G49" s="586">
        <f t="shared" si="15"/>
        <v>17816</v>
      </c>
      <c r="H49" s="586">
        <f t="shared" si="15"/>
        <v>13447</v>
      </c>
      <c r="I49" s="586">
        <f t="shared" si="15"/>
        <v>238229</v>
      </c>
      <c r="J49" s="586">
        <f t="shared" si="15"/>
        <v>-5315</v>
      </c>
      <c r="K49" s="586">
        <f t="shared" si="15"/>
        <v>5315</v>
      </c>
      <c r="L49" s="586">
        <f t="shared" si="10"/>
        <v>5315</v>
      </c>
      <c r="M49" s="586">
        <f>M48+M20</f>
        <v>-2780</v>
      </c>
      <c r="N49" s="586">
        <f>O49-P49</f>
        <v>-7266</v>
      </c>
      <c r="O49" s="586">
        <f>O48+O20</f>
        <v>12128</v>
      </c>
      <c r="P49" s="586">
        <f>P48+P20</f>
        <v>19394</v>
      </c>
      <c r="Q49" s="586">
        <f>Q48+Q20</f>
        <v>-109</v>
      </c>
      <c r="R49" s="586">
        <f>R48+R20</f>
        <v>15875</v>
      </c>
      <c r="S49" s="586">
        <f>S48+S20</f>
        <v>-405</v>
      </c>
    </row>
    <row r="50" s="797" customFormat="1" ht="12" customHeight="1"/>
    <row r="51" spans="1:9" s="799" customFormat="1" ht="17.25" customHeight="1">
      <c r="A51" s="798" t="s">
        <v>980</v>
      </c>
      <c r="I51" s="799" t="s">
        <v>981</v>
      </c>
    </row>
    <row r="52" s="799" customFormat="1" ht="17.25" customHeight="1">
      <c r="A52" s="798"/>
    </row>
    <row r="54" spans="1:10" ht="17.25" customHeight="1">
      <c r="A54" s="800" t="s">
        <v>188</v>
      </c>
      <c r="B54" s="801"/>
      <c r="C54" s="801"/>
      <c r="D54" s="802"/>
      <c r="E54" s="803"/>
      <c r="F54" s="802"/>
      <c r="G54" s="801"/>
      <c r="H54" s="802"/>
      <c r="J54" s="763" t="s">
        <v>376</v>
      </c>
    </row>
    <row r="55" ht="17.25" customHeight="1">
      <c r="A55" s="804"/>
    </row>
    <row r="58" spans="1:5" ht="17.25" customHeight="1">
      <c r="A58" s="858" t="s">
        <v>982</v>
      </c>
      <c r="B58" s="858"/>
      <c r="C58" s="858"/>
      <c r="D58" s="858"/>
      <c r="E58" s="858"/>
    </row>
    <row r="59" spans="1:3" ht="17.25" customHeight="1">
      <c r="A59" s="858" t="s">
        <v>530</v>
      </c>
      <c r="B59" s="858"/>
      <c r="C59" s="858"/>
    </row>
    <row r="68" s="775" customFormat="1" ht="17.25" customHeight="1">
      <c r="A68" s="804"/>
    </row>
  </sheetData>
  <mergeCells count="16">
    <mergeCell ref="A4:S4"/>
    <mergeCell ref="A5:S5"/>
    <mergeCell ref="A8:A10"/>
    <mergeCell ref="J8:J10"/>
    <mergeCell ref="K8:K10"/>
    <mergeCell ref="S8:S10"/>
    <mergeCell ref="B9:B10"/>
    <mergeCell ref="C9:C10"/>
    <mergeCell ref="D9:D10"/>
    <mergeCell ref="E9:E10"/>
    <mergeCell ref="H9:H10"/>
    <mergeCell ref="I9:I10"/>
    <mergeCell ref="A58:E58"/>
    <mergeCell ref="A59:C59"/>
    <mergeCell ref="F9:F10"/>
    <mergeCell ref="G9:G10"/>
  </mergeCells>
  <printOptions/>
  <pageMargins left="0.25" right="0.25" top="1" bottom="1" header="0.5" footer="0.5"/>
  <pageSetup firstPageNumber="38" useFirstPageNumber="1" horizontalDpi="600" verticalDpi="600" orientation="landscape" paperSize="9" scale="96" r:id="rId1"/>
  <headerFooter alignWithMargins="0">
    <oddFooter>&amp;R&amp;9&amp;P</oddFooter>
  </headerFooter>
  <rowBreaks count="1" manualBreakCount="1">
    <brk id="32" max="1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selection activeCell="F4" sqref="F4"/>
    </sheetView>
  </sheetViews>
  <sheetFormatPr defaultColWidth="9.140625" defaultRowHeight="17.25" customHeight="1"/>
  <cols>
    <col min="1" max="1" width="18.57421875" style="512" customWidth="1"/>
    <col min="2" max="2" width="7.00390625" style="38" customWidth="1"/>
    <col min="3" max="3" width="6.28125" style="38" customWidth="1"/>
    <col min="4" max="4" width="5.8515625" style="38" customWidth="1"/>
    <col min="5" max="5" width="5.8515625" style="38" hidden="1" customWidth="1"/>
    <col min="6" max="6" width="5.57421875" style="38" customWidth="1"/>
    <col min="7" max="7" width="9.140625" style="38" customWidth="1"/>
    <col min="8" max="8" width="9.7109375" style="38" customWidth="1"/>
    <col min="9" max="9" width="10.7109375" style="38" customWidth="1"/>
    <col min="10" max="10" width="6.28125" style="38" customWidth="1"/>
    <col min="11" max="12" width="8.421875" style="38" customWidth="1"/>
    <col min="13" max="13" width="7.57421875" style="38" customWidth="1"/>
    <col min="14" max="14" width="10.421875" style="38" customWidth="1"/>
    <col min="15" max="15" width="7.57421875" style="38" customWidth="1"/>
    <col min="16" max="16" width="7.421875" style="38" customWidth="1"/>
    <col min="17" max="17" width="9.421875" style="38" customWidth="1"/>
    <col min="18" max="18" width="6.140625" style="38" customWidth="1"/>
  </cols>
  <sheetData>
    <row r="1" spans="1:17" ht="17.25" customHeight="1">
      <c r="A1" s="3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69" t="s">
        <v>983</v>
      </c>
    </row>
    <row r="2" spans="1:18" ht="17.25" customHeight="1">
      <c r="A2" s="51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269"/>
    </row>
    <row r="3" spans="1:18" ht="17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269"/>
    </row>
    <row r="4" spans="1:18" ht="16.5" customHeight="1">
      <c r="A4" s="589" t="s">
        <v>1</v>
      </c>
      <c r="B4" s="579"/>
      <c r="C4" s="579"/>
      <c r="D4" s="579"/>
      <c r="E4" s="579"/>
      <c r="F4" s="579"/>
      <c r="G4" s="579"/>
      <c r="H4" s="89"/>
      <c r="I4" s="89"/>
      <c r="J4" s="579"/>
      <c r="K4" s="579"/>
      <c r="L4" s="579"/>
      <c r="M4" s="579"/>
      <c r="N4" s="579"/>
      <c r="O4" s="579"/>
      <c r="P4" s="579"/>
      <c r="Q4" s="579"/>
      <c r="R4" s="579"/>
    </row>
    <row r="5" spans="1:18" ht="15" customHeight="1">
      <c r="A5" s="517" t="s">
        <v>525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</row>
    <row r="6" spans="1:18" ht="12.75" customHeight="1">
      <c r="A6" s="580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R6" s="2" t="s">
        <v>517</v>
      </c>
    </row>
    <row r="7" spans="1:18" ht="17.25" customHeight="1">
      <c r="A7" s="865" t="s">
        <v>2</v>
      </c>
      <c r="B7" s="865" t="s">
        <v>385</v>
      </c>
      <c r="C7" s="868" t="s">
        <v>933</v>
      </c>
      <c r="D7" s="868"/>
      <c r="E7" s="868"/>
      <c r="F7" s="868"/>
      <c r="G7" s="868" t="s">
        <v>3</v>
      </c>
      <c r="H7" s="868" t="s">
        <v>4</v>
      </c>
      <c r="I7" s="865" t="s">
        <v>5</v>
      </c>
      <c r="J7" s="865" t="s">
        <v>6</v>
      </c>
      <c r="K7" s="590"/>
      <c r="L7" s="582" t="s">
        <v>7</v>
      </c>
      <c r="M7" s="581"/>
      <c r="N7" s="581"/>
      <c r="O7" s="583"/>
      <c r="P7" s="581"/>
      <c r="Q7" s="581"/>
      <c r="R7" s="865" t="s">
        <v>8</v>
      </c>
    </row>
    <row r="8" spans="1:18" ht="17.25" customHeight="1">
      <c r="A8" s="866"/>
      <c r="B8" s="866"/>
      <c r="C8" s="869"/>
      <c r="D8" s="869"/>
      <c r="E8" s="869"/>
      <c r="F8" s="869"/>
      <c r="G8" s="868"/>
      <c r="H8" s="868"/>
      <c r="I8" s="866"/>
      <c r="J8" s="866"/>
      <c r="K8" s="591"/>
      <c r="L8" s="872" t="s">
        <v>937</v>
      </c>
      <c r="M8" s="873"/>
      <c r="N8" s="873"/>
      <c r="O8" s="873"/>
      <c r="P8" s="873"/>
      <c r="Q8" s="874"/>
      <c r="R8" s="870"/>
    </row>
    <row r="9" spans="1:18" ht="45">
      <c r="A9" s="867"/>
      <c r="B9" s="867"/>
      <c r="C9" s="9" t="s">
        <v>9</v>
      </c>
      <c r="D9" s="8" t="s">
        <v>10</v>
      </c>
      <c r="E9" s="9" t="s">
        <v>11</v>
      </c>
      <c r="F9" s="8" t="s">
        <v>12</v>
      </c>
      <c r="G9" s="868"/>
      <c r="H9" s="868"/>
      <c r="I9" s="867"/>
      <c r="J9" s="867"/>
      <c r="K9" s="592"/>
      <c r="L9" s="593" t="s">
        <v>217</v>
      </c>
      <c r="M9" s="593" t="s">
        <v>13</v>
      </c>
      <c r="N9" s="593" t="s">
        <v>939</v>
      </c>
      <c r="O9" s="593" t="s">
        <v>940</v>
      </c>
      <c r="P9" s="9" t="s">
        <v>14</v>
      </c>
      <c r="Q9" s="9" t="s">
        <v>229</v>
      </c>
      <c r="R9" s="871"/>
    </row>
    <row r="10" spans="1:18" ht="12.75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10</v>
      </c>
      <c r="M10" s="8">
        <v>11</v>
      </c>
      <c r="N10" s="8">
        <v>12</v>
      </c>
      <c r="O10" s="8">
        <v>13</v>
      </c>
      <c r="P10" s="8">
        <v>14</v>
      </c>
      <c r="Q10" s="8">
        <v>15</v>
      </c>
      <c r="R10" s="8">
        <v>16</v>
      </c>
    </row>
    <row r="11" spans="1:18" ht="12" customHeight="1">
      <c r="A11" s="594" t="s">
        <v>943</v>
      </c>
      <c r="B11" s="585">
        <v>6402</v>
      </c>
      <c r="C11" s="760">
        <v>3176</v>
      </c>
      <c r="D11" s="760">
        <v>1155</v>
      </c>
      <c r="E11" s="760"/>
      <c r="F11" s="761">
        <f aca="true" t="shared" si="0" ref="F11:F17">SUM(C11:E11)</f>
        <v>4331</v>
      </c>
      <c r="G11" s="761">
        <f aca="true" t="shared" si="1" ref="G11:G45">B11-F11</f>
        <v>2071</v>
      </c>
      <c r="H11" s="761"/>
      <c r="I11" s="761">
        <f>G11-H11</f>
        <v>2071</v>
      </c>
      <c r="J11" s="761">
        <f aca="true" t="shared" si="2" ref="J11:J46">-I11</f>
        <v>-2071</v>
      </c>
      <c r="K11" s="761">
        <f aca="true" t="shared" si="3" ref="K11:K44">L11+M11+P11+Q11+R11</f>
        <v>-2071</v>
      </c>
      <c r="L11" s="761"/>
      <c r="M11" s="761">
        <f aca="true" t="shared" si="4" ref="M11:M44">N11-O11</f>
        <v>-2071</v>
      </c>
      <c r="N11" s="761">
        <v>10514</v>
      </c>
      <c r="O11" s="761">
        <v>12585</v>
      </c>
      <c r="P11" s="585"/>
      <c r="Q11" s="585"/>
      <c r="R11" s="585"/>
    </row>
    <row r="12" spans="1:18" ht="12" customHeight="1">
      <c r="A12" s="594" t="s">
        <v>944</v>
      </c>
      <c r="B12" s="585">
        <v>528</v>
      </c>
      <c r="C12" s="760">
        <v>239</v>
      </c>
      <c r="D12" s="760">
        <v>234</v>
      </c>
      <c r="E12" s="760"/>
      <c r="F12" s="761">
        <f t="shared" si="0"/>
        <v>473</v>
      </c>
      <c r="G12" s="761">
        <f t="shared" si="1"/>
        <v>55</v>
      </c>
      <c r="H12" s="761">
        <v>4</v>
      </c>
      <c r="I12" s="761">
        <f>G12-H12</f>
        <v>51</v>
      </c>
      <c r="J12" s="761">
        <f t="shared" si="2"/>
        <v>-51</v>
      </c>
      <c r="K12" s="761">
        <f t="shared" si="3"/>
        <v>-51</v>
      </c>
      <c r="L12" s="761"/>
      <c r="M12" s="761">
        <f t="shared" si="4"/>
        <v>-51</v>
      </c>
      <c r="N12" s="761">
        <v>98</v>
      </c>
      <c r="O12" s="761">
        <v>149</v>
      </c>
      <c r="P12" s="585"/>
      <c r="Q12" s="585"/>
      <c r="R12" s="585"/>
    </row>
    <row r="13" spans="1:18" ht="12" customHeight="1">
      <c r="A13" s="594" t="s">
        <v>945</v>
      </c>
      <c r="B13" s="585">
        <v>356</v>
      </c>
      <c r="C13" s="760">
        <v>301</v>
      </c>
      <c r="D13" s="760">
        <v>51</v>
      </c>
      <c r="E13" s="760"/>
      <c r="F13" s="761">
        <f t="shared" si="0"/>
        <v>352</v>
      </c>
      <c r="G13" s="761">
        <f t="shared" si="1"/>
        <v>4</v>
      </c>
      <c r="H13" s="761">
        <v>66</v>
      </c>
      <c r="I13" s="761">
        <f>G13-H13</f>
        <v>-62</v>
      </c>
      <c r="J13" s="761">
        <f t="shared" si="2"/>
        <v>62</v>
      </c>
      <c r="K13" s="761">
        <f t="shared" si="3"/>
        <v>62</v>
      </c>
      <c r="L13" s="761"/>
      <c r="M13" s="761">
        <f t="shared" si="4"/>
        <v>62</v>
      </c>
      <c r="N13" s="761">
        <v>165</v>
      </c>
      <c r="O13" s="761">
        <v>103</v>
      </c>
      <c r="P13" s="585"/>
      <c r="Q13" s="585"/>
      <c r="R13" s="585"/>
    </row>
    <row r="14" spans="1:18" ht="12" customHeight="1">
      <c r="A14" s="594" t="s">
        <v>946</v>
      </c>
      <c r="B14" s="585">
        <v>901</v>
      </c>
      <c r="C14" s="760">
        <v>561</v>
      </c>
      <c r="D14" s="760">
        <v>292</v>
      </c>
      <c r="E14" s="760"/>
      <c r="F14" s="761">
        <f t="shared" si="0"/>
        <v>853</v>
      </c>
      <c r="G14" s="761">
        <f t="shared" si="1"/>
        <v>48</v>
      </c>
      <c r="H14" s="761"/>
      <c r="I14" s="761">
        <f>G14-H14</f>
        <v>48</v>
      </c>
      <c r="J14" s="761">
        <f t="shared" si="2"/>
        <v>-48</v>
      </c>
      <c r="K14" s="761">
        <f t="shared" si="3"/>
        <v>-48</v>
      </c>
      <c r="L14" s="761"/>
      <c r="M14" s="761">
        <f t="shared" si="4"/>
        <v>-48</v>
      </c>
      <c r="N14" s="761">
        <v>74</v>
      </c>
      <c r="O14" s="761">
        <v>122</v>
      </c>
      <c r="P14" s="585"/>
      <c r="Q14" s="585"/>
      <c r="R14" s="585"/>
    </row>
    <row r="15" spans="1:18" ht="12" customHeight="1">
      <c r="A15" s="594" t="s">
        <v>947</v>
      </c>
      <c r="B15" s="585">
        <v>582</v>
      </c>
      <c r="C15" s="65">
        <v>190</v>
      </c>
      <c r="D15" s="65">
        <v>286</v>
      </c>
      <c r="E15" s="65"/>
      <c r="F15" s="585">
        <f t="shared" si="0"/>
        <v>476</v>
      </c>
      <c r="G15" s="585">
        <f t="shared" si="1"/>
        <v>106</v>
      </c>
      <c r="H15" s="585">
        <v>48</v>
      </c>
      <c r="I15" s="585">
        <f>G15-H15</f>
        <v>58</v>
      </c>
      <c r="J15" s="585">
        <f t="shared" si="2"/>
        <v>-58</v>
      </c>
      <c r="K15" s="585">
        <f t="shared" si="3"/>
        <v>-58</v>
      </c>
      <c r="L15" s="585"/>
      <c r="M15" s="585">
        <f t="shared" si="4"/>
        <v>-58</v>
      </c>
      <c r="N15" s="585">
        <v>646</v>
      </c>
      <c r="O15" s="585">
        <v>704</v>
      </c>
      <c r="P15" s="585"/>
      <c r="Q15" s="585"/>
      <c r="R15" s="585"/>
    </row>
    <row r="16" spans="1:18" ht="12" customHeight="1">
      <c r="A16" s="594" t="s">
        <v>948</v>
      </c>
      <c r="B16" s="585">
        <v>157</v>
      </c>
      <c r="C16" s="65">
        <v>145</v>
      </c>
      <c r="D16" s="65">
        <v>30</v>
      </c>
      <c r="E16" s="65"/>
      <c r="F16" s="585">
        <f t="shared" si="0"/>
        <v>175</v>
      </c>
      <c r="G16" s="585">
        <f t="shared" si="1"/>
        <v>-18</v>
      </c>
      <c r="H16" s="585"/>
      <c r="I16" s="585">
        <f>G16+H16</f>
        <v>-18</v>
      </c>
      <c r="J16" s="585">
        <f t="shared" si="2"/>
        <v>18</v>
      </c>
      <c r="K16" s="585">
        <f t="shared" si="3"/>
        <v>18</v>
      </c>
      <c r="L16" s="585"/>
      <c r="M16" s="585">
        <f t="shared" si="4"/>
        <v>18</v>
      </c>
      <c r="N16" s="585">
        <v>73</v>
      </c>
      <c r="O16" s="585">
        <v>55</v>
      </c>
      <c r="P16" s="585"/>
      <c r="Q16" s="585"/>
      <c r="R16" s="585"/>
    </row>
    <row r="17" spans="1:18" ht="12" customHeight="1">
      <c r="A17" s="595" t="s">
        <v>949</v>
      </c>
      <c r="B17" s="585">
        <v>1236</v>
      </c>
      <c r="C17" s="65">
        <v>294</v>
      </c>
      <c r="D17" s="65">
        <v>822</v>
      </c>
      <c r="E17" s="65"/>
      <c r="F17" s="585">
        <f t="shared" si="0"/>
        <v>1116</v>
      </c>
      <c r="G17" s="585">
        <f t="shared" si="1"/>
        <v>120</v>
      </c>
      <c r="H17" s="585">
        <v>-1851</v>
      </c>
      <c r="I17" s="585">
        <f>G17-H17</f>
        <v>1971</v>
      </c>
      <c r="J17" s="585">
        <f t="shared" si="2"/>
        <v>-1971</v>
      </c>
      <c r="K17" s="585">
        <f t="shared" si="3"/>
        <v>-1971</v>
      </c>
      <c r="L17" s="585"/>
      <c r="M17" s="585">
        <f t="shared" si="4"/>
        <v>-1971</v>
      </c>
      <c r="N17" s="585">
        <v>1125</v>
      </c>
      <c r="O17" s="585">
        <v>3096</v>
      </c>
      <c r="P17" s="585"/>
      <c r="Q17" s="585"/>
      <c r="R17" s="585"/>
    </row>
    <row r="18" spans="1:18" ht="12" customHeight="1">
      <c r="A18" s="596" t="s">
        <v>950</v>
      </c>
      <c r="B18" s="761">
        <f>SUM(B11:B17)</f>
        <v>10162</v>
      </c>
      <c r="C18" s="761">
        <f>SUM(C11:C17)</f>
        <v>4906</v>
      </c>
      <c r="D18" s="761">
        <f>SUM(D11:D17)</f>
        <v>2870</v>
      </c>
      <c r="E18" s="761">
        <f>SUM(E11:E17)</f>
        <v>0</v>
      </c>
      <c r="F18" s="761">
        <f>SUM(F11:F17)</f>
        <v>7776</v>
      </c>
      <c r="G18" s="761">
        <f t="shared" si="1"/>
        <v>2386</v>
      </c>
      <c r="H18" s="761">
        <f>SUM(H11:H17)</f>
        <v>-1733</v>
      </c>
      <c r="I18" s="761">
        <f>SUM(I11:I17)</f>
        <v>4119</v>
      </c>
      <c r="J18" s="761">
        <f t="shared" si="2"/>
        <v>-4119</v>
      </c>
      <c r="K18" s="761">
        <f t="shared" si="3"/>
        <v>-4119</v>
      </c>
      <c r="L18" s="761">
        <f>SUM(L11:L17)</f>
        <v>0</v>
      </c>
      <c r="M18" s="761">
        <f t="shared" si="4"/>
        <v>-4119</v>
      </c>
      <c r="N18" s="761">
        <f>SUM(N11:N17)</f>
        <v>12695</v>
      </c>
      <c r="O18" s="761">
        <f>SUM(O11:O17)</f>
        <v>16814</v>
      </c>
      <c r="P18" s="585">
        <f>SUM(P11:P17)</f>
        <v>0</v>
      </c>
      <c r="Q18" s="585">
        <f>SUM(Q11:Q17)</f>
        <v>0</v>
      </c>
      <c r="R18" s="585">
        <f>SUM(R11:R17)</f>
        <v>0</v>
      </c>
    </row>
    <row r="19" spans="1:18" ht="12.75">
      <c r="A19" s="597" t="s">
        <v>952</v>
      </c>
      <c r="B19" s="761">
        <v>228</v>
      </c>
      <c r="C19" s="760">
        <v>216</v>
      </c>
      <c r="D19" s="760">
        <v>13</v>
      </c>
      <c r="E19" s="760"/>
      <c r="F19" s="761">
        <f aca="true" t="shared" si="5" ref="F19:F44">SUM(C19:E19)</f>
        <v>229</v>
      </c>
      <c r="G19" s="761">
        <f t="shared" si="1"/>
        <v>-1</v>
      </c>
      <c r="H19" s="761">
        <v>1</v>
      </c>
      <c r="I19" s="761">
        <f aca="true" t="shared" si="6" ref="I19:I44">G19-H19</f>
        <v>-2</v>
      </c>
      <c r="J19" s="761">
        <f t="shared" si="2"/>
        <v>2</v>
      </c>
      <c r="K19" s="761">
        <f t="shared" si="3"/>
        <v>2</v>
      </c>
      <c r="L19" s="761"/>
      <c r="M19" s="761">
        <f t="shared" si="4"/>
        <v>2</v>
      </c>
      <c r="N19" s="761">
        <v>134</v>
      </c>
      <c r="O19" s="761">
        <v>132</v>
      </c>
      <c r="P19" s="585"/>
      <c r="Q19" s="585"/>
      <c r="R19" s="585"/>
    </row>
    <row r="20" spans="1:18" ht="12" customHeight="1">
      <c r="A20" s="594" t="s">
        <v>953</v>
      </c>
      <c r="B20" s="761">
        <v>201</v>
      </c>
      <c r="C20" s="760">
        <v>174</v>
      </c>
      <c r="D20" s="760">
        <v>1</v>
      </c>
      <c r="E20" s="760"/>
      <c r="F20" s="761">
        <f t="shared" si="5"/>
        <v>175</v>
      </c>
      <c r="G20" s="761">
        <f t="shared" si="1"/>
        <v>26</v>
      </c>
      <c r="H20" s="761">
        <v>-8</v>
      </c>
      <c r="I20" s="761">
        <f t="shared" si="6"/>
        <v>34</v>
      </c>
      <c r="J20" s="761">
        <f t="shared" si="2"/>
        <v>-34</v>
      </c>
      <c r="K20" s="761">
        <f t="shared" si="3"/>
        <v>-34</v>
      </c>
      <c r="L20" s="761">
        <v>-7</v>
      </c>
      <c r="M20" s="761">
        <f t="shared" si="4"/>
        <v>-25</v>
      </c>
      <c r="N20" s="761">
        <v>121</v>
      </c>
      <c r="O20" s="761">
        <v>146</v>
      </c>
      <c r="P20" s="585"/>
      <c r="Q20" s="585">
        <v>-2</v>
      </c>
      <c r="R20" s="585"/>
    </row>
    <row r="21" spans="1:18" ht="12" customHeight="1">
      <c r="A21" s="594" t="s">
        <v>954</v>
      </c>
      <c r="B21" s="761">
        <v>225</v>
      </c>
      <c r="C21" s="760">
        <v>201</v>
      </c>
      <c r="D21" s="760">
        <v>1</v>
      </c>
      <c r="E21" s="760"/>
      <c r="F21" s="761">
        <f t="shared" si="5"/>
        <v>202</v>
      </c>
      <c r="G21" s="761">
        <f t="shared" si="1"/>
        <v>23</v>
      </c>
      <c r="H21" s="761">
        <v>4</v>
      </c>
      <c r="I21" s="761">
        <f t="shared" si="6"/>
        <v>19</v>
      </c>
      <c r="J21" s="761">
        <f t="shared" si="2"/>
        <v>-19</v>
      </c>
      <c r="K21" s="761">
        <f t="shared" si="3"/>
        <v>-19</v>
      </c>
      <c r="L21" s="761"/>
      <c r="M21" s="761">
        <f t="shared" si="4"/>
        <v>-19</v>
      </c>
      <c r="N21" s="761">
        <v>86</v>
      </c>
      <c r="O21" s="761">
        <v>105</v>
      </c>
      <c r="P21" s="585"/>
      <c r="Q21" s="585"/>
      <c r="R21" s="585"/>
    </row>
    <row r="22" spans="1:18" ht="12" customHeight="1">
      <c r="A22" s="594" t="s">
        <v>955</v>
      </c>
      <c r="B22" s="761">
        <v>311</v>
      </c>
      <c r="C22" s="760">
        <v>276</v>
      </c>
      <c r="D22" s="760">
        <v>11</v>
      </c>
      <c r="E22" s="760"/>
      <c r="F22" s="761">
        <f t="shared" si="5"/>
        <v>287</v>
      </c>
      <c r="G22" s="761">
        <f t="shared" si="1"/>
        <v>24</v>
      </c>
      <c r="H22" s="761">
        <v>-6</v>
      </c>
      <c r="I22" s="761">
        <f t="shared" si="6"/>
        <v>30</v>
      </c>
      <c r="J22" s="761">
        <f t="shared" si="2"/>
        <v>-30</v>
      </c>
      <c r="K22" s="761">
        <f t="shared" si="3"/>
        <v>-30</v>
      </c>
      <c r="L22" s="761"/>
      <c r="M22" s="761">
        <f t="shared" si="4"/>
        <v>-30</v>
      </c>
      <c r="N22" s="761">
        <v>174</v>
      </c>
      <c r="O22" s="761">
        <v>204</v>
      </c>
      <c r="P22" s="585"/>
      <c r="Q22" s="585"/>
      <c r="R22" s="585"/>
    </row>
    <row r="23" spans="1:18" ht="12" customHeight="1">
      <c r="A23" s="594" t="s">
        <v>956</v>
      </c>
      <c r="B23" s="761">
        <v>528</v>
      </c>
      <c r="C23" s="760">
        <v>451</v>
      </c>
      <c r="D23" s="760">
        <v>82</v>
      </c>
      <c r="E23" s="760"/>
      <c r="F23" s="761">
        <f t="shared" si="5"/>
        <v>533</v>
      </c>
      <c r="G23" s="761">
        <f t="shared" si="1"/>
        <v>-5</v>
      </c>
      <c r="H23" s="761">
        <v>-2</v>
      </c>
      <c r="I23" s="761">
        <f t="shared" si="6"/>
        <v>-3</v>
      </c>
      <c r="J23" s="761">
        <f t="shared" si="2"/>
        <v>3</v>
      </c>
      <c r="K23" s="761">
        <f t="shared" si="3"/>
        <v>3</v>
      </c>
      <c r="L23" s="761">
        <v>1</v>
      </c>
      <c r="M23" s="761">
        <f t="shared" si="4"/>
        <v>2</v>
      </c>
      <c r="N23" s="761">
        <v>144</v>
      </c>
      <c r="O23" s="761">
        <v>142</v>
      </c>
      <c r="P23" s="585"/>
      <c r="Q23" s="585"/>
      <c r="R23" s="585"/>
    </row>
    <row r="24" spans="1:18" ht="12.75">
      <c r="A24" s="594" t="s">
        <v>957</v>
      </c>
      <c r="B24" s="761">
        <v>361</v>
      </c>
      <c r="C24" s="760">
        <v>269</v>
      </c>
      <c r="D24" s="760">
        <v>81</v>
      </c>
      <c r="E24" s="760"/>
      <c r="F24" s="761">
        <f t="shared" si="5"/>
        <v>350</v>
      </c>
      <c r="G24" s="761">
        <f t="shared" si="1"/>
        <v>11</v>
      </c>
      <c r="H24" s="761"/>
      <c r="I24" s="761">
        <f t="shared" si="6"/>
        <v>11</v>
      </c>
      <c r="J24" s="761">
        <f t="shared" si="2"/>
        <v>-11</v>
      </c>
      <c r="K24" s="761">
        <f t="shared" si="3"/>
        <v>-11</v>
      </c>
      <c r="L24" s="761"/>
      <c r="M24" s="761">
        <f t="shared" si="4"/>
        <v>-11</v>
      </c>
      <c r="N24" s="761">
        <v>99</v>
      </c>
      <c r="O24" s="761">
        <v>110</v>
      </c>
      <c r="P24" s="585"/>
      <c r="Q24" s="585"/>
      <c r="R24" s="585"/>
    </row>
    <row r="25" spans="1:18" ht="12" customHeight="1">
      <c r="A25" s="594" t="s">
        <v>958</v>
      </c>
      <c r="B25" s="761">
        <v>202</v>
      </c>
      <c r="C25" s="760">
        <v>139</v>
      </c>
      <c r="D25" s="760">
        <v>116</v>
      </c>
      <c r="E25" s="760"/>
      <c r="F25" s="761">
        <f t="shared" si="5"/>
        <v>255</v>
      </c>
      <c r="G25" s="761">
        <f t="shared" si="1"/>
        <v>-53</v>
      </c>
      <c r="H25" s="761">
        <v>1</v>
      </c>
      <c r="I25" s="761">
        <f t="shared" si="6"/>
        <v>-54</v>
      </c>
      <c r="J25" s="761">
        <f t="shared" si="2"/>
        <v>54</v>
      </c>
      <c r="K25" s="761">
        <f t="shared" si="3"/>
        <v>54</v>
      </c>
      <c r="L25" s="761"/>
      <c r="M25" s="761">
        <f t="shared" si="4"/>
        <v>54</v>
      </c>
      <c r="N25" s="761">
        <v>227</v>
      </c>
      <c r="O25" s="761">
        <v>173</v>
      </c>
      <c r="P25" s="585"/>
      <c r="Q25" s="585"/>
      <c r="R25" s="585"/>
    </row>
    <row r="26" spans="1:18" ht="12" customHeight="1">
      <c r="A26" s="594" t="s">
        <v>959</v>
      </c>
      <c r="B26" s="761">
        <v>200</v>
      </c>
      <c r="C26" s="760">
        <v>236</v>
      </c>
      <c r="D26" s="760">
        <v>10</v>
      </c>
      <c r="E26" s="760"/>
      <c r="F26" s="761">
        <f t="shared" si="5"/>
        <v>246</v>
      </c>
      <c r="G26" s="761">
        <f t="shared" si="1"/>
        <v>-46</v>
      </c>
      <c r="H26" s="761">
        <v>-6</v>
      </c>
      <c r="I26" s="761">
        <f t="shared" si="6"/>
        <v>-40</v>
      </c>
      <c r="J26" s="761">
        <f t="shared" si="2"/>
        <v>40</v>
      </c>
      <c r="K26" s="761">
        <f t="shared" si="3"/>
        <v>40</v>
      </c>
      <c r="L26" s="761">
        <v>-1</v>
      </c>
      <c r="M26" s="761">
        <f t="shared" si="4"/>
        <v>41</v>
      </c>
      <c r="N26" s="761">
        <v>135</v>
      </c>
      <c r="O26" s="761">
        <v>94</v>
      </c>
      <c r="P26" s="585"/>
      <c r="Q26" s="585"/>
      <c r="R26" s="585"/>
    </row>
    <row r="27" spans="1:18" ht="12" customHeight="1">
      <c r="A27" s="594" t="s">
        <v>960</v>
      </c>
      <c r="B27" s="761">
        <v>231</v>
      </c>
      <c r="C27" s="760">
        <v>181</v>
      </c>
      <c r="D27" s="760">
        <v>3</v>
      </c>
      <c r="E27" s="760"/>
      <c r="F27" s="761">
        <f t="shared" si="5"/>
        <v>184</v>
      </c>
      <c r="G27" s="761">
        <f t="shared" si="1"/>
        <v>47</v>
      </c>
      <c r="H27" s="761">
        <v>-9</v>
      </c>
      <c r="I27" s="761">
        <f t="shared" si="6"/>
        <v>56</v>
      </c>
      <c r="J27" s="761">
        <f t="shared" si="2"/>
        <v>-56</v>
      </c>
      <c r="K27" s="761">
        <f t="shared" si="3"/>
        <v>-56</v>
      </c>
      <c r="L27" s="761"/>
      <c r="M27" s="761">
        <f t="shared" si="4"/>
        <v>-36</v>
      </c>
      <c r="N27" s="761">
        <v>112</v>
      </c>
      <c r="O27" s="761">
        <v>148</v>
      </c>
      <c r="P27" s="585">
        <v>-20</v>
      </c>
      <c r="Q27" s="585"/>
      <c r="R27" s="585"/>
    </row>
    <row r="28" spans="1:18" ht="12" customHeight="1">
      <c r="A28" s="594" t="s">
        <v>961</v>
      </c>
      <c r="B28" s="761">
        <v>376</v>
      </c>
      <c r="C28" s="760">
        <v>249</v>
      </c>
      <c r="D28" s="760">
        <v>70</v>
      </c>
      <c r="E28" s="760"/>
      <c r="F28" s="761">
        <f t="shared" si="5"/>
        <v>319</v>
      </c>
      <c r="G28" s="761">
        <f t="shared" si="1"/>
        <v>57</v>
      </c>
      <c r="H28" s="761">
        <v>-23</v>
      </c>
      <c r="I28" s="761">
        <f t="shared" si="6"/>
        <v>80</v>
      </c>
      <c r="J28" s="761">
        <f t="shared" si="2"/>
        <v>-80</v>
      </c>
      <c r="K28" s="761">
        <f t="shared" si="3"/>
        <v>-80</v>
      </c>
      <c r="L28" s="761"/>
      <c r="M28" s="761">
        <f t="shared" si="4"/>
        <v>-73</v>
      </c>
      <c r="N28" s="761">
        <v>112</v>
      </c>
      <c r="O28" s="761">
        <v>185</v>
      </c>
      <c r="P28" s="585">
        <v>-7</v>
      </c>
      <c r="Q28" s="585"/>
      <c r="R28" s="585"/>
    </row>
    <row r="29" spans="1:18" ht="12.75">
      <c r="A29" s="594" t="s">
        <v>962</v>
      </c>
      <c r="B29" s="761">
        <v>316</v>
      </c>
      <c r="C29" s="760">
        <v>295</v>
      </c>
      <c r="D29" s="760">
        <v>3</v>
      </c>
      <c r="E29" s="760"/>
      <c r="F29" s="761">
        <f t="shared" si="5"/>
        <v>298</v>
      </c>
      <c r="G29" s="761">
        <f t="shared" si="1"/>
        <v>18</v>
      </c>
      <c r="H29" s="761">
        <v>2</v>
      </c>
      <c r="I29" s="761">
        <f t="shared" si="6"/>
        <v>16</v>
      </c>
      <c r="J29" s="761">
        <f t="shared" si="2"/>
        <v>-16</v>
      </c>
      <c r="K29" s="761">
        <f t="shared" si="3"/>
        <v>-16</v>
      </c>
      <c r="L29" s="761">
        <v>-1</v>
      </c>
      <c r="M29" s="761">
        <f t="shared" si="4"/>
        <v>-15</v>
      </c>
      <c r="N29" s="761">
        <v>134</v>
      </c>
      <c r="O29" s="761">
        <v>149</v>
      </c>
      <c r="P29" s="585"/>
      <c r="Q29" s="585"/>
      <c r="R29" s="585"/>
    </row>
    <row r="30" spans="1:18" ht="12" customHeight="1">
      <c r="A30" s="594" t="s">
        <v>963</v>
      </c>
      <c r="B30" s="761">
        <v>306</v>
      </c>
      <c r="C30" s="760">
        <v>289</v>
      </c>
      <c r="D30" s="760">
        <v>84</v>
      </c>
      <c r="E30" s="760"/>
      <c r="F30" s="761">
        <f t="shared" si="5"/>
        <v>373</v>
      </c>
      <c r="G30" s="761">
        <f t="shared" si="1"/>
        <v>-67</v>
      </c>
      <c r="H30" s="761">
        <v>26</v>
      </c>
      <c r="I30" s="761">
        <f t="shared" si="6"/>
        <v>-93</v>
      </c>
      <c r="J30" s="761">
        <f t="shared" si="2"/>
        <v>93</v>
      </c>
      <c r="K30" s="761">
        <f t="shared" si="3"/>
        <v>93</v>
      </c>
      <c r="L30" s="761">
        <v>-18</v>
      </c>
      <c r="M30" s="761">
        <f t="shared" si="4"/>
        <v>111</v>
      </c>
      <c r="N30" s="761">
        <v>287</v>
      </c>
      <c r="O30" s="761">
        <v>176</v>
      </c>
      <c r="P30" s="585"/>
      <c r="Q30" s="585"/>
      <c r="R30" s="585"/>
    </row>
    <row r="31" spans="1:18" ht="12" customHeight="1">
      <c r="A31" s="594" t="s">
        <v>964</v>
      </c>
      <c r="B31" s="761">
        <v>359</v>
      </c>
      <c r="C31" s="760">
        <v>341</v>
      </c>
      <c r="D31" s="760">
        <v>29</v>
      </c>
      <c r="E31" s="760"/>
      <c r="F31" s="761">
        <f t="shared" si="5"/>
        <v>370</v>
      </c>
      <c r="G31" s="761">
        <f t="shared" si="1"/>
        <v>-11</v>
      </c>
      <c r="H31" s="761">
        <v>22</v>
      </c>
      <c r="I31" s="761">
        <f t="shared" si="6"/>
        <v>-33</v>
      </c>
      <c r="J31" s="761">
        <f t="shared" si="2"/>
        <v>33</v>
      </c>
      <c r="K31" s="761">
        <f t="shared" si="3"/>
        <v>33</v>
      </c>
      <c r="L31" s="761">
        <v>2</v>
      </c>
      <c r="M31" s="761">
        <f t="shared" si="4"/>
        <v>31</v>
      </c>
      <c r="N31" s="761">
        <v>228</v>
      </c>
      <c r="O31" s="761">
        <v>197</v>
      </c>
      <c r="P31" s="585"/>
      <c r="Q31" s="585"/>
      <c r="R31" s="585"/>
    </row>
    <row r="32" spans="1:18" ht="12" customHeight="1">
      <c r="A32" s="594" t="s">
        <v>965</v>
      </c>
      <c r="B32" s="761">
        <v>430</v>
      </c>
      <c r="C32" s="760">
        <v>363</v>
      </c>
      <c r="D32" s="760">
        <v>23</v>
      </c>
      <c r="E32" s="760"/>
      <c r="F32" s="761">
        <f t="shared" si="5"/>
        <v>386</v>
      </c>
      <c r="G32" s="761">
        <f t="shared" si="1"/>
        <v>44</v>
      </c>
      <c r="H32" s="761">
        <v>11</v>
      </c>
      <c r="I32" s="761">
        <f t="shared" si="6"/>
        <v>33</v>
      </c>
      <c r="J32" s="761">
        <f t="shared" si="2"/>
        <v>-33</v>
      </c>
      <c r="K32" s="761">
        <f t="shared" si="3"/>
        <v>-33</v>
      </c>
      <c r="L32" s="761">
        <v>1</v>
      </c>
      <c r="M32" s="761">
        <f t="shared" si="4"/>
        <v>-34</v>
      </c>
      <c r="N32" s="761">
        <v>145</v>
      </c>
      <c r="O32" s="761">
        <v>179</v>
      </c>
      <c r="P32" s="585"/>
      <c r="Q32" s="585"/>
      <c r="R32" s="585"/>
    </row>
    <row r="33" spans="1:18" ht="12" customHeight="1">
      <c r="A33" s="594" t="s">
        <v>966</v>
      </c>
      <c r="B33" s="761">
        <v>285</v>
      </c>
      <c r="C33" s="760">
        <v>258</v>
      </c>
      <c r="D33" s="760">
        <v>5</v>
      </c>
      <c r="E33" s="760"/>
      <c r="F33" s="761">
        <f t="shared" si="5"/>
        <v>263</v>
      </c>
      <c r="G33" s="761">
        <f t="shared" si="1"/>
        <v>22</v>
      </c>
      <c r="H33" s="761">
        <v>3</v>
      </c>
      <c r="I33" s="761">
        <f t="shared" si="6"/>
        <v>19</v>
      </c>
      <c r="J33" s="761">
        <f t="shared" si="2"/>
        <v>-19</v>
      </c>
      <c r="K33" s="761">
        <f t="shared" si="3"/>
        <v>-19</v>
      </c>
      <c r="L33" s="761">
        <v>1</v>
      </c>
      <c r="M33" s="761">
        <f t="shared" si="4"/>
        <v>-20</v>
      </c>
      <c r="N33" s="761">
        <v>134</v>
      </c>
      <c r="O33" s="761">
        <v>154</v>
      </c>
      <c r="P33" s="585"/>
      <c r="Q33" s="585"/>
      <c r="R33" s="585"/>
    </row>
    <row r="34" spans="1:18" ht="12" customHeight="1">
      <c r="A34" s="594" t="s">
        <v>967</v>
      </c>
      <c r="B34" s="585">
        <v>349</v>
      </c>
      <c r="C34" s="760">
        <v>311</v>
      </c>
      <c r="D34" s="760">
        <v>10</v>
      </c>
      <c r="E34" s="760"/>
      <c r="F34" s="761">
        <f t="shared" si="5"/>
        <v>321</v>
      </c>
      <c r="G34" s="761">
        <f t="shared" si="1"/>
        <v>28</v>
      </c>
      <c r="H34" s="761">
        <v>3</v>
      </c>
      <c r="I34" s="761">
        <f t="shared" si="6"/>
        <v>25</v>
      </c>
      <c r="J34" s="761">
        <f t="shared" si="2"/>
        <v>-25</v>
      </c>
      <c r="K34" s="761">
        <f t="shared" si="3"/>
        <v>-25</v>
      </c>
      <c r="L34" s="761"/>
      <c r="M34" s="761">
        <f t="shared" si="4"/>
        <v>-25</v>
      </c>
      <c r="N34" s="761">
        <v>130</v>
      </c>
      <c r="O34" s="761">
        <v>155</v>
      </c>
      <c r="P34" s="585"/>
      <c r="Q34" s="585"/>
      <c r="R34" s="585"/>
    </row>
    <row r="35" spans="1:18" ht="12" customHeight="1">
      <c r="A35" s="594" t="s">
        <v>968</v>
      </c>
      <c r="B35" s="585">
        <v>320</v>
      </c>
      <c r="C35" s="760">
        <v>300</v>
      </c>
      <c r="D35" s="760">
        <v>33</v>
      </c>
      <c r="E35" s="760"/>
      <c r="F35" s="761">
        <f t="shared" si="5"/>
        <v>333</v>
      </c>
      <c r="G35" s="761">
        <f t="shared" si="1"/>
        <v>-13</v>
      </c>
      <c r="H35" s="761"/>
      <c r="I35" s="761">
        <f t="shared" si="6"/>
        <v>-13</v>
      </c>
      <c r="J35" s="761">
        <f t="shared" si="2"/>
        <v>13</v>
      </c>
      <c r="K35" s="761">
        <f t="shared" si="3"/>
        <v>13</v>
      </c>
      <c r="L35" s="761"/>
      <c r="M35" s="761">
        <f t="shared" si="4"/>
        <v>9</v>
      </c>
      <c r="N35" s="761">
        <v>213</v>
      </c>
      <c r="O35" s="761">
        <v>204</v>
      </c>
      <c r="P35" s="585"/>
      <c r="Q35" s="585">
        <v>4</v>
      </c>
      <c r="R35" s="585"/>
    </row>
    <row r="36" spans="1:18" ht="12" customHeight="1">
      <c r="A36" s="594" t="s">
        <v>969</v>
      </c>
      <c r="B36" s="585">
        <v>522</v>
      </c>
      <c r="C36" s="760">
        <v>473</v>
      </c>
      <c r="D36" s="760">
        <v>110</v>
      </c>
      <c r="E36" s="760"/>
      <c r="F36" s="761">
        <f t="shared" si="5"/>
        <v>583</v>
      </c>
      <c r="G36" s="761">
        <f t="shared" si="1"/>
        <v>-61</v>
      </c>
      <c r="H36" s="761">
        <v>-3</v>
      </c>
      <c r="I36" s="761">
        <f t="shared" si="6"/>
        <v>-58</v>
      </c>
      <c r="J36" s="761">
        <f t="shared" si="2"/>
        <v>58</v>
      </c>
      <c r="K36" s="761">
        <f t="shared" si="3"/>
        <v>58</v>
      </c>
      <c r="L36" s="761">
        <v>-11</v>
      </c>
      <c r="M36" s="761">
        <f t="shared" si="4"/>
        <v>69</v>
      </c>
      <c r="N36" s="761">
        <v>191</v>
      </c>
      <c r="O36" s="761">
        <v>122</v>
      </c>
      <c r="P36" s="585"/>
      <c r="Q36" s="585"/>
      <c r="R36" s="585"/>
    </row>
    <row r="37" spans="1:18" ht="12" customHeight="1">
      <c r="A37" s="594" t="s">
        <v>970</v>
      </c>
      <c r="B37" s="585">
        <v>277</v>
      </c>
      <c r="C37" s="760">
        <v>244</v>
      </c>
      <c r="D37" s="760">
        <v>20</v>
      </c>
      <c r="E37" s="760"/>
      <c r="F37" s="761">
        <f t="shared" si="5"/>
        <v>264</v>
      </c>
      <c r="G37" s="761">
        <f t="shared" si="1"/>
        <v>13</v>
      </c>
      <c r="H37" s="761"/>
      <c r="I37" s="761">
        <f t="shared" si="6"/>
        <v>13</v>
      </c>
      <c r="J37" s="761">
        <f t="shared" si="2"/>
        <v>-13</v>
      </c>
      <c r="K37" s="761">
        <f t="shared" si="3"/>
        <v>-13</v>
      </c>
      <c r="L37" s="761"/>
      <c r="M37" s="761">
        <f t="shared" si="4"/>
        <v>-13</v>
      </c>
      <c r="N37" s="761">
        <v>128</v>
      </c>
      <c r="O37" s="761">
        <v>141</v>
      </c>
      <c r="P37" s="585"/>
      <c r="Q37" s="585"/>
      <c r="R37" s="585"/>
    </row>
    <row r="38" spans="1:18" ht="12" customHeight="1">
      <c r="A38" s="594" t="s">
        <v>971</v>
      </c>
      <c r="B38" s="585">
        <v>1030</v>
      </c>
      <c r="C38" s="760">
        <v>874</v>
      </c>
      <c r="D38" s="760">
        <v>51</v>
      </c>
      <c r="E38" s="760"/>
      <c r="F38" s="761">
        <f t="shared" si="5"/>
        <v>925</v>
      </c>
      <c r="G38" s="761">
        <f t="shared" si="1"/>
        <v>105</v>
      </c>
      <c r="H38" s="761">
        <v>-17</v>
      </c>
      <c r="I38" s="761">
        <f t="shared" si="6"/>
        <v>122</v>
      </c>
      <c r="J38" s="761">
        <f t="shared" si="2"/>
        <v>-122</v>
      </c>
      <c r="K38" s="761">
        <f t="shared" si="3"/>
        <v>-122</v>
      </c>
      <c r="L38" s="761"/>
      <c r="M38" s="761">
        <f t="shared" si="4"/>
        <v>-122</v>
      </c>
      <c r="N38" s="761">
        <v>363</v>
      </c>
      <c r="O38" s="761">
        <v>485</v>
      </c>
      <c r="P38" s="585"/>
      <c r="Q38" s="585"/>
      <c r="R38" s="585"/>
    </row>
    <row r="39" spans="1:18" ht="12" customHeight="1">
      <c r="A39" s="594" t="s">
        <v>972</v>
      </c>
      <c r="B39" s="585">
        <v>184</v>
      </c>
      <c r="C39" s="760">
        <v>133</v>
      </c>
      <c r="D39" s="760">
        <v>34</v>
      </c>
      <c r="E39" s="760"/>
      <c r="F39" s="761">
        <f t="shared" si="5"/>
        <v>167</v>
      </c>
      <c r="G39" s="761">
        <f t="shared" si="1"/>
        <v>17</v>
      </c>
      <c r="H39" s="761">
        <v>11</v>
      </c>
      <c r="I39" s="761">
        <f t="shared" si="6"/>
        <v>6</v>
      </c>
      <c r="J39" s="761">
        <f t="shared" si="2"/>
        <v>-6</v>
      </c>
      <c r="K39" s="761">
        <f t="shared" si="3"/>
        <v>-6</v>
      </c>
      <c r="L39" s="761">
        <v>1</v>
      </c>
      <c r="M39" s="761">
        <f t="shared" si="4"/>
        <v>-7</v>
      </c>
      <c r="N39" s="761">
        <v>154</v>
      </c>
      <c r="O39" s="761">
        <v>161</v>
      </c>
      <c r="P39" s="585"/>
      <c r="Q39" s="585"/>
      <c r="R39" s="585"/>
    </row>
    <row r="40" spans="1:18" ht="12" customHeight="1">
      <c r="A40" s="594" t="s">
        <v>973</v>
      </c>
      <c r="B40" s="585">
        <v>262</v>
      </c>
      <c r="C40" s="760">
        <v>198</v>
      </c>
      <c r="D40" s="760">
        <v>22</v>
      </c>
      <c r="E40" s="760"/>
      <c r="F40" s="761">
        <f t="shared" si="5"/>
        <v>220</v>
      </c>
      <c r="G40" s="761">
        <f t="shared" si="1"/>
        <v>42</v>
      </c>
      <c r="H40" s="761">
        <v>19</v>
      </c>
      <c r="I40" s="761">
        <f t="shared" si="6"/>
        <v>23</v>
      </c>
      <c r="J40" s="761">
        <f t="shared" si="2"/>
        <v>-23</v>
      </c>
      <c r="K40" s="761">
        <f t="shared" si="3"/>
        <v>-23</v>
      </c>
      <c r="L40" s="761"/>
      <c r="M40" s="761">
        <f t="shared" si="4"/>
        <v>-23</v>
      </c>
      <c r="N40" s="761">
        <v>350</v>
      </c>
      <c r="O40" s="761">
        <v>373</v>
      </c>
      <c r="P40" s="585"/>
      <c r="Q40" s="585"/>
      <c r="R40" s="585"/>
    </row>
    <row r="41" spans="1:18" ht="12" customHeight="1">
      <c r="A41" s="594" t="s">
        <v>974</v>
      </c>
      <c r="B41" s="585">
        <v>269</v>
      </c>
      <c r="C41" s="65">
        <v>407</v>
      </c>
      <c r="D41" s="65">
        <v>62</v>
      </c>
      <c r="E41" s="65"/>
      <c r="F41" s="585">
        <f t="shared" si="5"/>
        <v>469</v>
      </c>
      <c r="G41" s="585">
        <f t="shared" si="1"/>
        <v>-200</v>
      </c>
      <c r="H41" s="585">
        <v>3</v>
      </c>
      <c r="I41" s="585">
        <f t="shared" si="6"/>
        <v>-203</v>
      </c>
      <c r="J41" s="585">
        <f t="shared" si="2"/>
        <v>203</v>
      </c>
      <c r="K41" s="585">
        <f t="shared" si="3"/>
        <v>203</v>
      </c>
      <c r="L41" s="585">
        <v>1</v>
      </c>
      <c r="M41" s="585">
        <f t="shared" si="4"/>
        <v>197</v>
      </c>
      <c r="N41" s="585">
        <v>448</v>
      </c>
      <c r="O41" s="585">
        <v>251</v>
      </c>
      <c r="P41" s="585"/>
      <c r="Q41" s="585">
        <v>5</v>
      </c>
      <c r="R41" s="585"/>
    </row>
    <row r="42" spans="1:18" ht="12" customHeight="1">
      <c r="A42" s="594" t="s">
        <v>975</v>
      </c>
      <c r="B42" s="585">
        <v>195</v>
      </c>
      <c r="C42" s="65">
        <v>133</v>
      </c>
      <c r="D42" s="65">
        <v>5</v>
      </c>
      <c r="E42" s="65"/>
      <c r="F42" s="585">
        <f t="shared" si="5"/>
        <v>138</v>
      </c>
      <c r="G42" s="585">
        <f t="shared" si="1"/>
        <v>57</v>
      </c>
      <c r="H42" s="585">
        <v>4</v>
      </c>
      <c r="I42" s="585">
        <f t="shared" si="6"/>
        <v>53</v>
      </c>
      <c r="J42" s="585">
        <f t="shared" si="2"/>
        <v>-53</v>
      </c>
      <c r="K42" s="585">
        <f t="shared" si="3"/>
        <v>-53</v>
      </c>
      <c r="L42" s="585"/>
      <c r="M42" s="585">
        <f t="shared" si="4"/>
        <v>-53</v>
      </c>
      <c r="N42" s="585">
        <v>82</v>
      </c>
      <c r="O42" s="585">
        <v>135</v>
      </c>
      <c r="P42" s="585"/>
      <c r="Q42" s="585"/>
      <c r="R42" s="585"/>
    </row>
    <row r="43" spans="1:18" ht="12" customHeight="1">
      <c r="A43" s="594" t="s">
        <v>976</v>
      </c>
      <c r="B43" s="585">
        <v>341</v>
      </c>
      <c r="C43" s="65">
        <v>156</v>
      </c>
      <c r="D43" s="65">
        <v>5</v>
      </c>
      <c r="E43" s="65"/>
      <c r="F43" s="585">
        <f t="shared" si="5"/>
        <v>161</v>
      </c>
      <c r="G43" s="585">
        <f t="shared" si="1"/>
        <v>180</v>
      </c>
      <c r="H43" s="585">
        <v>-9</v>
      </c>
      <c r="I43" s="585">
        <f t="shared" si="6"/>
        <v>189</v>
      </c>
      <c r="J43" s="585">
        <f t="shared" si="2"/>
        <v>-189</v>
      </c>
      <c r="K43" s="585">
        <f t="shared" si="3"/>
        <v>-189</v>
      </c>
      <c r="L43" s="585"/>
      <c r="M43" s="585">
        <f t="shared" si="4"/>
        <v>-189</v>
      </c>
      <c r="N43" s="585">
        <v>239</v>
      </c>
      <c r="O43" s="585">
        <v>428</v>
      </c>
      <c r="P43" s="585"/>
      <c r="Q43" s="585"/>
      <c r="R43" s="585"/>
    </row>
    <row r="44" spans="1:18" ht="12" customHeight="1">
      <c r="A44" s="594" t="s">
        <v>977</v>
      </c>
      <c r="B44" s="585">
        <v>179</v>
      </c>
      <c r="C44" s="65">
        <v>165</v>
      </c>
      <c r="D44" s="65">
        <v>17</v>
      </c>
      <c r="E44" s="65"/>
      <c r="F44" s="585">
        <f t="shared" si="5"/>
        <v>182</v>
      </c>
      <c r="G44" s="585">
        <f t="shared" si="1"/>
        <v>-3</v>
      </c>
      <c r="H44" s="585">
        <v>4</v>
      </c>
      <c r="I44" s="585">
        <f t="shared" si="6"/>
        <v>-7</v>
      </c>
      <c r="J44" s="585">
        <f t="shared" si="2"/>
        <v>7</v>
      </c>
      <c r="K44" s="585">
        <f t="shared" si="3"/>
        <v>7</v>
      </c>
      <c r="L44" s="585"/>
      <c r="M44" s="585">
        <f t="shared" si="4"/>
        <v>7</v>
      </c>
      <c r="N44" s="761">
        <v>150</v>
      </c>
      <c r="O44" s="585">
        <v>143</v>
      </c>
      <c r="P44" s="585"/>
      <c r="Q44" s="585"/>
      <c r="R44" s="585"/>
    </row>
    <row r="45" spans="1:18" ht="12" customHeight="1">
      <c r="A45" s="596" t="s">
        <v>978</v>
      </c>
      <c r="B45" s="585">
        <f>SUM(B19:B44)</f>
        <v>8487</v>
      </c>
      <c r="C45" s="585">
        <f>SUM(C19:C44)</f>
        <v>7332</v>
      </c>
      <c r="D45" s="585">
        <f>SUM(D19:D44)</f>
        <v>901</v>
      </c>
      <c r="E45" s="585">
        <f>SUM(E19:E44)</f>
        <v>0</v>
      </c>
      <c r="F45" s="585">
        <f>SUM(C45:D45)</f>
        <v>8233</v>
      </c>
      <c r="G45" s="585">
        <f t="shared" si="1"/>
        <v>254</v>
      </c>
      <c r="H45" s="585">
        <f>SUM(H19:H44)</f>
        <v>31</v>
      </c>
      <c r="I45" s="585">
        <f>SUM(I19:I44)</f>
        <v>223</v>
      </c>
      <c r="J45" s="585">
        <f t="shared" si="2"/>
        <v>-223</v>
      </c>
      <c r="K45" s="585">
        <f aca="true" t="shared" si="7" ref="K45:R45">SUM(K19:K44)</f>
        <v>-223</v>
      </c>
      <c r="L45" s="585">
        <f t="shared" si="7"/>
        <v>-31</v>
      </c>
      <c r="M45" s="585">
        <f t="shared" si="7"/>
        <v>-172</v>
      </c>
      <c r="N45" s="585">
        <f t="shared" si="7"/>
        <v>4720</v>
      </c>
      <c r="O45" s="585">
        <f t="shared" si="7"/>
        <v>4892</v>
      </c>
      <c r="P45" s="585">
        <f t="shared" si="7"/>
        <v>-27</v>
      </c>
      <c r="Q45" s="585">
        <f t="shared" si="7"/>
        <v>7</v>
      </c>
      <c r="R45" s="585">
        <f t="shared" si="7"/>
        <v>0</v>
      </c>
    </row>
    <row r="46" spans="1:18" ht="12" customHeight="1">
      <c r="A46" s="596" t="s">
        <v>979</v>
      </c>
      <c r="B46" s="585">
        <f aca="true" t="shared" si="8" ref="B46:H46">SUM(B18,B45)</f>
        <v>18649</v>
      </c>
      <c r="C46" s="585">
        <f t="shared" si="8"/>
        <v>12238</v>
      </c>
      <c r="D46" s="585">
        <f t="shared" si="8"/>
        <v>3771</v>
      </c>
      <c r="E46" s="585">
        <f t="shared" si="8"/>
        <v>0</v>
      </c>
      <c r="F46" s="585">
        <f t="shared" si="8"/>
        <v>16009</v>
      </c>
      <c r="G46" s="585">
        <f t="shared" si="8"/>
        <v>2640</v>
      </c>
      <c r="H46" s="585">
        <f t="shared" si="8"/>
        <v>-1702</v>
      </c>
      <c r="I46" s="585">
        <f>G46-H46</f>
        <v>4342</v>
      </c>
      <c r="J46" s="585">
        <f t="shared" si="2"/>
        <v>-4342</v>
      </c>
      <c r="K46" s="585">
        <f>SUM(K18,K45)</f>
        <v>-4342</v>
      </c>
      <c r="L46" s="585">
        <f>SUM(L18,L45)</f>
        <v>-31</v>
      </c>
      <c r="M46" s="585">
        <f>N46-O46</f>
        <v>-4291</v>
      </c>
      <c r="N46" s="585">
        <f>SUM(N18,N45)</f>
        <v>17415</v>
      </c>
      <c r="O46" s="585">
        <f>SUM(O18,O45)</f>
        <v>21706</v>
      </c>
      <c r="P46" s="585">
        <f>SUM(P18,P45)</f>
        <v>-27</v>
      </c>
      <c r="Q46" s="585">
        <f>SUM(Q18,Q45)</f>
        <v>7</v>
      </c>
      <c r="R46" s="585">
        <f>SUM(R18,R45)</f>
        <v>0</v>
      </c>
    </row>
    <row r="47" spans="1:18" ht="17.25" customHeight="1">
      <c r="A47" s="598"/>
      <c r="B47" s="599"/>
      <c r="C47" s="599"/>
      <c r="D47" s="599"/>
      <c r="E47" s="599"/>
      <c r="F47" s="599"/>
      <c r="G47" s="599"/>
      <c r="H47" s="599"/>
      <c r="I47" s="599"/>
      <c r="J47" s="599"/>
      <c r="K47" s="599"/>
      <c r="L47" s="599"/>
      <c r="M47" s="599"/>
      <c r="N47" s="599"/>
      <c r="O47" s="599"/>
      <c r="P47" s="599"/>
      <c r="Q47" s="599"/>
      <c r="R47" s="599"/>
    </row>
    <row r="48" spans="1:18" ht="17.25" customHeight="1">
      <c r="A48" s="588"/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</row>
    <row r="50" spans="1:12" ht="17.25" customHeight="1">
      <c r="A50" s="41" t="s">
        <v>188</v>
      </c>
      <c r="B50" s="3"/>
      <c r="C50" s="3"/>
      <c r="F50" s="600"/>
      <c r="H50" s="497"/>
      <c r="J50" s="497"/>
      <c r="K50" s="497"/>
      <c r="L50" s="39" t="s">
        <v>376</v>
      </c>
    </row>
    <row r="53" spans="1:18" ht="17.25" customHeight="1">
      <c r="A53" s="601"/>
      <c r="B53" s="497"/>
      <c r="C53" s="497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</row>
    <row r="54" spans="2:18" ht="17.25" customHeight="1">
      <c r="B54" s="602"/>
      <c r="H54" s="602"/>
      <c r="I54" s="602"/>
      <c r="J54" s="602"/>
      <c r="K54" s="602"/>
      <c r="L54" s="602"/>
      <c r="N54" s="603"/>
      <c r="O54" s="602"/>
      <c r="P54" s="602"/>
      <c r="Q54" s="602"/>
      <c r="R54" s="602"/>
    </row>
    <row r="55" spans="1:18" ht="17.25" customHeight="1">
      <c r="A55" s="522"/>
      <c r="B55" s="604"/>
      <c r="H55" s="603"/>
      <c r="I55" s="603"/>
      <c r="L55" s="603"/>
      <c r="M55" s="603"/>
      <c r="O55" s="497"/>
      <c r="P55" s="497"/>
      <c r="Q55" s="497"/>
      <c r="R55" s="497"/>
    </row>
    <row r="56" spans="1:18" ht="17.25" customHeight="1">
      <c r="A56" s="588"/>
      <c r="B56" s="604"/>
      <c r="H56" s="497"/>
      <c r="I56" s="497"/>
      <c r="J56" s="497"/>
      <c r="K56" s="497"/>
      <c r="L56" s="497"/>
      <c r="M56" s="602"/>
      <c r="N56" s="497"/>
      <c r="O56" s="497"/>
      <c r="P56" s="497"/>
      <c r="Q56" s="497"/>
      <c r="R56" s="497"/>
    </row>
    <row r="57" spans="1:18" ht="12.75">
      <c r="A57" s="269" t="s">
        <v>621</v>
      </c>
      <c r="B57" s="605"/>
      <c r="C57" s="605"/>
      <c r="D57" s="605"/>
      <c r="E57" s="497"/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497"/>
      <c r="R57" s="497"/>
    </row>
    <row r="58" spans="1:18" ht="12.75">
      <c r="A58" s="269" t="s">
        <v>530</v>
      </c>
      <c r="M58" s="497"/>
      <c r="N58" s="497"/>
      <c r="O58" s="497"/>
      <c r="P58" s="497"/>
      <c r="Q58" s="497"/>
      <c r="R58" s="497"/>
    </row>
    <row r="60" ht="17.25" customHeight="1">
      <c r="E60" s="605"/>
    </row>
    <row r="67" spans="2:18" ht="17.25" customHeight="1"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</row>
  </sheetData>
  <mergeCells count="9">
    <mergeCell ref="H7:H9"/>
    <mergeCell ref="I7:I9"/>
    <mergeCell ref="J7:J9"/>
    <mergeCell ref="R7:R9"/>
    <mergeCell ref="L8:Q8"/>
    <mergeCell ref="A7:A9"/>
    <mergeCell ref="B7:B9"/>
    <mergeCell ref="C7:F8"/>
    <mergeCell ref="G7:G9"/>
  </mergeCells>
  <printOptions/>
  <pageMargins left="0.75" right="0.25" top="1" bottom="1" header="0.5" footer="0.5"/>
  <pageSetup firstPageNumber="40" useFirstPageNumber="1" horizontalDpi="600" verticalDpi="600" orientation="landscape" paperSize="9" scale="93" r:id="rId1"/>
  <headerFooter alignWithMargins="0">
    <oddFooter>&amp;R&amp;9&amp;P</oddFooter>
  </headerFooter>
  <rowBreaks count="1" manualBreakCount="1">
    <brk id="30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B1">
      <selection activeCell="A5" sqref="A5:P5"/>
    </sheetView>
  </sheetViews>
  <sheetFormatPr defaultColWidth="9.140625" defaultRowHeight="17.25" customHeight="1"/>
  <cols>
    <col min="1" max="1" width="18.421875" style="514" customWidth="1"/>
    <col min="2" max="2" width="7.28125" style="493" customWidth="1"/>
    <col min="3" max="3" width="10.00390625" style="493" customWidth="1"/>
    <col min="4" max="4" width="6.7109375" style="493" customWidth="1"/>
    <col min="5" max="5" width="6.140625" style="493" customWidth="1"/>
    <col min="6" max="6" width="13.57421875" style="493" customWidth="1"/>
    <col min="7" max="7" width="7.8515625" style="493" customWidth="1"/>
    <col min="8" max="8" width="9.00390625" style="493" customWidth="1"/>
    <col min="9" max="9" width="6.28125" style="493" customWidth="1"/>
    <col min="10" max="10" width="10.57421875" style="493" customWidth="1"/>
    <col min="11" max="11" width="7.57421875" style="493" customWidth="1"/>
    <col min="12" max="13" width="7.28125" style="493" customWidth="1"/>
    <col min="14" max="14" width="8.00390625" style="493" customWidth="1"/>
    <col min="15" max="15" width="7.28125" style="493" customWidth="1"/>
    <col min="16" max="16" width="9.28125" style="493" customWidth="1"/>
    <col min="17" max="16384" width="9.140625" style="493" customWidth="1"/>
  </cols>
  <sheetData>
    <row r="1" spans="2:15" s="38" customFormat="1" ht="17.25" customHeight="1">
      <c r="B1" s="51"/>
      <c r="C1" s="51"/>
      <c r="D1" s="51"/>
      <c r="E1" s="51"/>
      <c r="F1" s="51"/>
      <c r="G1" s="51"/>
      <c r="H1" s="51"/>
      <c r="I1" s="51"/>
      <c r="J1" s="51"/>
      <c r="K1" s="89"/>
      <c r="O1" s="264" t="s">
        <v>15</v>
      </c>
    </row>
    <row r="2" spans="1:16" s="38" customFormat="1" ht="17.25" customHeight="1">
      <c r="A2" s="830" t="s">
        <v>0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</row>
    <row r="3" spans="1:12" s="49" customFormat="1" ht="17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264"/>
    </row>
    <row r="4" spans="1:16" s="578" customFormat="1" ht="17.25" customHeight="1">
      <c r="A4" s="831" t="s">
        <v>16</v>
      </c>
      <c r="B4" s="831"/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</row>
    <row r="5" spans="1:16" s="578" customFormat="1" ht="14.25" customHeight="1">
      <c r="A5" s="853" t="s">
        <v>525</v>
      </c>
      <c r="B5" s="853"/>
      <c r="C5" s="853"/>
      <c r="D5" s="853"/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  <c r="P5" s="853"/>
    </row>
    <row r="6" spans="1:16" ht="17.25" customHeight="1">
      <c r="A6" s="606"/>
      <c r="B6" s="563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 t="s">
        <v>620</v>
      </c>
    </row>
    <row r="7" spans="1:16" s="38" customFormat="1" ht="17.25" customHeight="1">
      <c r="A7" s="865" t="s">
        <v>2</v>
      </c>
      <c r="B7" s="865" t="s">
        <v>385</v>
      </c>
      <c r="C7" s="868" t="s">
        <v>933</v>
      </c>
      <c r="D7" s="869"/>
      <c r="E7" s="869"/>
      <c r="F7" s="865" t="s">
        <v>17</v>
      </c>
      <c r="G7" s="865" t="s">
        <v>18</v>
      </c>
      <c r="H7" s="865" t="s">
        <v>19</v>
      </c>
      <c r="I7" s="865" t="s">
        <v>20</v>
      </c>
      <c r="J7" s="607" t="s">
        <v>7</v>
      </c>
      <c r="K7" s="584"/>
      <c r="L7" s="584"/>
      <c r="M7" s="608"/>
      <c r="N7" s="584"/>
      <c r="O7" s="584"/>
      <c r="P7" s="865" t="s">
        <v>8</v>
      </c>
    </row>
    <row r="8" spans="1:16" s="49" customFormat="1" ht="17.25" customHeight="1">
      <c r="A8" s="875"/>
      <c r="B8" s="875"/>
      <c r="C8" s="869"/>
      <c r="D8" s="869"/>
      <c r="E8" s="869"/>
      <c r="F8" s="875"/>
      <c r="G8" s="875"/>
      <c r="H8" s="875"/>
      <c r="I8" s="875"/>
      <c r="J8" s="872" t="s">
        <v>937</v>
      </c>
      <c r="K8" s="873"/>
      <c r="L8" s="873"/>
      <c r="M8" s="873"/>
      <c r="N8" s="873"/>
      <c r="O8" s="874"/>
      <c r="P8" s="877"/>
    </row>
    <row r="9" spans="1:16" s="544" customFormat="1" ht="45">
      <c r="A9" s="876"/>
      <c r="B9" s="876"/>
      <c r="C9" s="9" t="s">
        <v>21</v>
      </c>
      <c r="D9" s="9" t="s">
        <v>10</v>
      </c>
      <c r="E9" s="9" t="s">
        <v>12</v>
      </c>
      <c r="F9" s="876"/>
      <c r="G9" s="876"/>
      <c r="H9" s="876"/>
      <c r="I9" s="876"/>
      <c r="J9" s="593" t="s">
        <v>217</v>
      </c>
      <c r="K9" s="593" t="s">
        <v>13</v>
      </c>
      <c r="L9" s="593" t="s">
        <v>939</v>
      </c>
      <c r="M9" s="593" t="s">
        <v>940</v>
      </c>
      <c r="N9" s="9" t="s">
        <v>22</v>
      </c>
      <c r="O9" s="9" t="s">
        <v>229</v>
      </c>
      <c r="P9" s="878"/>
    </row>
    <row r="10" spans="1:16" ht="12" customHeight="1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s="38" customFormat="1" ht="12" customHeight="1">
      <c r="A11" s="594" t="s">
        <v>943</v>
      </c>
      <c r="B11" s="192">
        <v>597</v>
      </c>
      <c r="C11" s="192">
        <v>515</v>
      </c>
      <c r="D11" s="192">
        <v>25</v>
      </c>
      <c r="E11" s="192">
        <f aca="true" t="shared" si="0" ref="E11:E17">C11+D11</f>
        <v>540</v>
      </c>
      <c r="F11" s="192">
        <f aca="true" t="shared" si="1" ref="F11:F44">B11-E11</f>
        <v>57</v>
      </c>
      <c r="G11" s="192">
        <v>0</v>
      </c>
      <c r="H11" s="192">
        <f aca="true" t="shared" si="2" ref="H11:H45">F11-G11</f>
        <v>57</v>
      </c>
      <c r="I11" s="192">
        <f aca="true" t="shared" si="3" ref="I11:I45">J11+K11+N11+O11</f>
        <v>-57</v>
      </c>
      <c r="J11" s="192">
        <v>0</v>
      </c>
      <c r="K11" s="192">
        <f aca="true" t="shared" si="4" ref="K11:K17">L11-M11</f>
        <v>-57</v>
      </c>
      <c r="L11" s="192">
        <v>277</v>
      </c>
      <c r="M11" s="192">
        <v>334</v>
      </c>
      <c r="N11" s="192"/>
      <c r="O11" s="192"/>
      <c r="P11" s="192"/>
    </row>
    <row r="12" spans="1:16" ht="12" customHeight="1">
      <c r="A12" s="594" t="s">
        <v>944</v>
      </c>
      <c r="B12" s="192">
        <v>17</v>
      </c>
      <c r="C12" s="192">
        <v>22</v>
      </c>
      <c r="D12" s="192">
        <v>6</v>
      </c>
      <c r="E12" s="192">
        <f t="shared" si="0"/>
        <v>28</v>
      </c>
      <c r="F12" s="192">
        <f t="shared" si="1"/>
        <v>-11</v>
      </c>
      <c r="G12" s="192"/>
      <c r="H12" s="192">
        <f t="shared" si="2"/>
        <v>-11</v>
      </c>
      <c r="I12" s="192">
        <f t="shared" si="3"/>
        <v>11</v>
      </c>
      <c r="J12" s="192"/>
      <c r="K12" s="192">
        <f t="shared" si="4"/>
        <v>11</v>
      </c>
      <c r="L12" s="192">
        <v>16</v>
      </c>
      <c r="M12" s="192">
        <v>5</v>
      </c>
      <c r="N12" s="192"/>
      <c r="O12" s="192"/>
      <c r="P12" s="192"/>
    </row>
    <row r="13" spans="1:16" ht="12" customHeight="1">
      <c r="A13" s="594" t="s">
        <v>945</v>
      </c>
      <c r="B13" s="192">
        <v>37</v>
      </c>
      <c r="C13" s="192">
        <v>8</v>
      </c>
      <c r="D13" s="192">
        <v>33</v>
      </c>
      <c r="E13" s="192">
        <f t="shared" si="0"/>
        <v>41</v>
      </c>
      <c r="F13" s="192">
        <f t="shared" si="1"/>
        <v>-4</v>
      </c>
      <c r="G13" s="192"/>
      <c r="H13" s="192">
        <f t="shared" si="2"/>
        <v>-4</v>
      </c>
      <c r="I13" s="192">
        <f t="shared" si="3"/>
        <v>4</v>
      </c>
      <c r="J13" s="192"/>
      <c r="K13" s="192">
        <f t="shared" si="4"/>
        <v>4</v>
      </c>
      <c r="L13" s="192">
        <v>53</v>
      </c>
      <c r="M13" s="192">
        <v>49</v>
      </c>
      <c r="N13" s="192"/>
      <c r="O13" s="192"/>
      <c r="P13" s="192"/>
    </row>
    <row r="14" spans="1:16" ht="12" customHeight="1">
      <c r="A14" s="594" t="s">
        <v>946</v>
      </c>
      <c r="B14" s="192">
        <v>79</v>
      </c>
      <c r="C14" s="192">
        <v>18</v>
      </c>
      <c r="D14" s="192">
        <v>1</v>
      </c>
      <c r="E14" s="192">
        <f t="shared" si="0"/>
        <v>19</v>
      </c>
      <c r="F14" s="192">
        <f t="shared" si="1"/>
        <v>60</v>
      </c>
      <c r="G14" s="192"/>
      <c r="H14" s="192">
        <f t="shared" si="2"/>
        <v>60</v>
      </c>
      <c r="I14" s="192">
        <f t="shared" si="3"/>
        <v>-60</v>
      </c>
      <c r="J14" s="192"/>
      <c r="K14" s="192">
        <f t="shared" si="4"/>
        <v>-60</v>
      </c>
      <c r="L14" s="192">
        <v>65</v>
      </c>
      <c r="M14" s="192">
        <v>125</v>
      </c>
      <c r="N14" s="192"/>
      <c r="O14" s="192"/>
      <c r="P14" s="192"/>
    </row>
    <row r="15" spans="1:16" ht="12" customHeight="1">
      <c r="A15" s="594" t="s">
        <v>947</v>
      </c>
      <c r="B15" s="192">
        <v>22</v>
      </c>
      <c r="C15" s="192">
        <v>21</v>
      </c>
      <c r="D15" s="192">
        <v>1</v>
      </c>
      <c r="E15" s="192">
        <f t="shared" si="0"/>
        <v>22</v>
      </c>
      <c r="F15" s="192">
        <f t="shared" si="1"/>
        <v>0</v>
      </c>
      <c r="G15" s="192"/>
      <c r="H15" s="192">
        <f t="shared" si="2"/>
        <v>0</v>
      </c>
      <c r="I15" s="192">
        <f t="shared" si="3"/>
        <v>0</v>
      </c>
      <c r="J15" s="192"/>
      <c r="K15" s="192">
        <f t="shared" si="4"/>
        <v>0</v>
      </c>
      <c r="L15" s="192">
        <v>30</v>
      </c>
      <c r="M15" s="192">
        <v>30</v>
      </c>
      <c r="N15" s="192"/>
      <c r="O15" s="192"/>
      <c r="P15" s="192"/>
    </row>
    <row r="16" spans="1:16" ht="12" customHeight="1">
      <c r="A16" s="595" t="s">
        <v>948</v>
      </c>
      <c r="B16" s="192">
        <v>4</v>
      </c>
      <c r="C16" s="192">
        <v>4</v>
      </c>
      <c r="D16" s="192">
        <v>1</v>
      </c>
      <c r="E16" s="192">
        <f t="shared" si="0"/>
        <v>5</v>
      </c>
      <c r="F16" s="192">
        <f t="shared" si="1"/>
        <v>-1</v>
      </c>
      <c r="G16" s="192"/>
      <c r="H16" s="192">
        <f t="shared" si="2"/>
        <v>-1</v>
      </c>
      <c r="I16" s="192">
        <f t="shared" si="3"/>
        <v>1</v>
      </c>
      <c r="J16" s="192"/>
      <c r="K16" s="192">
        <f t="shared" si="4"/>
        <v>1</v>
      </c>
      <c r="L16" s="192">
        <v>4</v>
      </c>
      <c r="M16" s="192">
        <v>3</v>
      </c>
      <c r="N16" s="192"/>
      <c r="O16" s="192"/>
      <c r="P16" s="192"/>
    </row>
    <row r="17" spans="1:16" ht="12" customHeight="1">
      <c r="A17" s="594" t="s">
        <v>949</v>
      </c>
      <c r="B17" s="192">
        <v>1366</v>
      </c>
      <c r="C17" s="192">
        <v>564</v>
      </c>
      <c r="D17" s="192">
        <v>1090</v>
      </c>
      <c r="E17" s="192">
        <f t="shared" si="0"/>
        <v>1654</v>
      </c>
      <c r="F17" s="192">
        <f t="shared" si="1"/>
        <v>-288</v>
      </c>
      <c r="G17" s="192">
        <v>-836</v>
      </c>
      <c r="H17" s="192">
        <f t="shared" si="2"/>
        <v>548</v>
      </c>
      <c r="I17" s="192">
        <f t="shared" si="3"/>
        <v>-548</v>
      </c>
      <c r="J17" s="192"/>
      <c r="K17" s="192">
        <f t="shared" si="4"/>
        <v>-548</v>
      </c>
      <c r="L17" s="192">
        <v>1169</v>
      </c>
      <c r="M17" s="192">
        <v>1717</v>
      </c>
      <c r="N17" s="192"/>
      <c r="O17" s="192"/>
      <c r="P17" s="192"/>
    </row>
    <row r="18" spans="1:16" ht="12" customHeight="1">
      <c r="A18" s="422" t="s">
        <v>950</v>
      </c>
      <c r="B18" s="192">
        <f>SUM(B11:B17)</f>
        <v>2122</v>
      </c>
      <c r="C18" s="192">
        <f>SUM(C11:C17)</f>
        <v>1152</v>
      </c>
      <c r="D18" s="192">
        <f>SUM(D11:D17)</f>
        <v>1157</v>
      </c>
      <c r="E18" s="192">
        <f>SUM(E11:E17)</f>
        <v>2309</v>
      </c>
      <c r="F18" s="192">
        <f t="shared" si="1"/>
        <v>-187</v>
      </c>
      <c r="G18" s="192">
        <f>SUM(G11:G17)</f>
        <v>-836</v>
      </c>
      <c r="H18" s="192">
        <f t="shared" si="2"/>
        <v>649</v>
      </c>
      <c r="I18" s="192">
        <f t="shared" si="3"/>
        <v>-649</v>
      </c>
      <c r="J18" s="192">
        <f aca="true" t="shared" si="5" ref="J18:P18">SUM(J11:J17)</f>
        <v>0</v>
      </c>
      <c r="K18" s="192">
        <f t="shared" si="5"/>
        <v>-649</v>
      </c>
      <c r="L18" s="192">
        <f t="shared" si="5"/>
        <v>1614</v>
      </c>
      <c r="M18" s="192">
        <f t="shared" si="5"/>
        <v>2263</v>
      </c>
      <c r="N18" s="192">
        <f t="shared" si="5"/>
        <v>0</v>
      </c>
      <c r="O18" s="192">
        <f t="shared" si="5"/>
        <v>0</v>
      </c>
      <c r="P18" s="192">
        <f t="shared" si="5"/>
        <v>0</v>
      </c>
    </row>
    <row r="19" spans="1:16" s="609" customFormat="1" ht="12" customHeight="1">
      <c r="A19" s="594" t="s">
        <v>952</v>
      </c>
      <c r="B19" s="192">
        <v>15</v>
      </c>
      <c r="C19" s="192">
        <v>3</v>
      </c>
      <c r="D19" s="192">
        <v>7</v>
      </c>
      <c r="E19" s="192">
        <f aca="true" t="shared" si="6" ref="E19:E44">C19+D19</f>
        <v>10</v>
      </c>
      <c r="F19" s="192">
        <f t="shared" si="1"/>
        <v>5</v>
      </c>
      <c r="G19" s="192"/>
      <c r="H19" s="192">
        <f t="shared" si="2"/>
        <v>5</v>
      </c>
      <c r="I19" s="192">
        <f t="shared" si="3"/>
        <v>-5</v>
      </c>
      <c r="J19" s="192"/>
      <c r="K19" s="192">
        <f aca="true" t="shared" si="7" ref="K19:K44">L19-M19</f>
        <v>-5</v>
      </c>
      <c r="L19" s="192">
        <v>15</v>
      </c>
      <c r="M19" s="192">
        <v>20</v>
      </c>
      <c r="N19" s="192"/>
      <c r="O19" s="192"/>
      <c r="P19" s="192"/>
    </row>
    <row r="20" spans="1:16" ht="12" customHeight="1">
      <c r="A20" s="594" t="s">
        <v>953</v>
      </c>
      <c r="B20" s="192">
        <v>7</v>
      </c>
      <c r="C20" s="192">
        <v>11</v>
      </c>
      <c r="D20" s="192">
        <v>6</v>
      </c>
      <c r="E20" s="192">
        <f t="shared" si="6"/>
        <v>17</v>
      </c>
      <c r="F20" s="192">
        <f t="shared" si="1"/>
        <v>-10</v>
      </c>
      <c r="G20" s="192"/>
      <c r="H20" s="192">
        <f t="shared" si="2"/>
        <v>-10</v>
      </c>
      <c r="I20" s="192">
        <f t="shared" si="3"/>
        <v>10</v>
      </c>
      <c r="J20" s="192"/>
      <c r="K20" s="192">
        <f t="shared" si="7"/>
        <v>10</v>
      </c>
      <c r="L20" s="192">
        <v>24</v>
      </c>
      <c r="M20" s="192">
        <v>14</v>
      </c>
      <c r="N20" s="192"/>
      <c r="O20" s="192"/>
      <c r="P20" s="192"/>
    </row>
    <row r="21" spans="1:16" ht="12" customHeight="1">
      <c r="A21" s="594" t="s">
        <v>954</v>
      </c>
      <c r="B21" s="192">
        <v>2</v>
      </c>
      <c r="C21" s="192">
        <v>1</v>
      </c>
      <c r="D21" s="192">
        <v>0</v>
      </c>
      <c r="E21" s="192">
        <f t="shared" si="6"/>
        <v>1</v>
      </c>
      <c r="F21" s="192">
        <f t="shared" si="1"/>
        <v>1</v>
      </c>
      <c r="G21" s="192"/>
      <c r="H21" s="192">
        <f t="shared" si="2"/>
        <v>1</v>
      </c>
      <c r="I21" s="192">
        <f t="shared" si="3"/>
        <v>-1</v>
      </c>
      <c r="J21" s="192"/>
      <c r="K21" s="192">
        <f t="shared" si="7"/>
        <v>-1</v>
      </c>
      <c r="L21" s="192">
        <v>0</v>
      </c>
      <c r="M21" s="192">
        <v>1</v>
      </c>
      <c r="N21" s="192"/>
      <c r="O21" s="192"/>
      <c r="P21" s="192"/>
    </row>
    <row r="22" spans="1:16" ht="12" customHeight="1">
      <c r="A22" s="594" t="s">
        <v>955</v>
      </c>
      <c r="B22" s="192">
        <v>2</v>
      </c>
      <c r="C22" s="192">
        <v>3</v>
      </c>
      <c r="D22" s="192">
        <v>2</v>
      </c>
      <c r="E22" s="192">
        <f t="shared" si="6"/>
        <v>5</v>
      </c>
      <c r="F22" s="192">
        <f t="shared" si="1"/>
        <v>-3</v>
      </c>
      <c r="G22" s="192"/>
      <c r="H22" s="192">
        <f t="shared" si="2"/>
        <v>-3</v>
      </c>
      <c r="I22" s="192">
        <f t="shared" si="3"/>
        <v>3</v>
      </c>
      <c r="J22" s="192"/>
      <c r="K22" s="192">
        <f t="shared" si="7"/>
        <v>3</v>
      </c>
      <c r="L22" s="192">
        <v>21</v>
      </c>
      <c r="M22" s="192">
        <v>18</v>
      </c>
      <c r="N22" s="192"/>
      <c r="O22" s="192"/>
      <c r="P22" s="192"/>
    </row>
    <row r="23" spans="1:16" ht="12" customHeight="1">
      <c r="A23" s="594" t="s">
        <v>956</v>
      </c>
      <c r="B23" s="192">
        <v>82</v>
      </c>
      <c r="C23" s="192">
        <v>64</v>
      </c>
      <c r="D23" s="192">
        <v>6</v>
      </c>
      <c r="E23" s="192">
        <f t="shared" si="6"/>
        <v>70</v>
      </c>
      <c r="F23" s="192">
        <f t="shared" si="1"/>
        <v>12</v>
      </c>
      <c r="G23" s="192"/>
      <c r="H23" s="192">
        <f t="shared" si="2"/>
        <v>12</v>
      </c>
      <c r="I23" s="192">
        <f t="shared" si="3"/>
        <v>-12</v>
      </c>
      <c r="J23" s="192"/>
      <c r="K23" s="192">
        <f t="shared" si="7"/>
        <v>-12</v>
      </c>
      <c r="L23" s="192">
        <v>31</v>
      </c>
      <c r="M23" s="192">
        <v>43</v>
      </c>
      <c r="N23" s="192"/>
      <c r="O23" s="192"/>
      <c r="P23" s="192"/>
    </row>
    <row r="24" spans="1:16" ht="12" customHeight="1">
      <c r="A24" s="594" t="s">
        <v>957</v>
      </c>
      <c r="B24" s="192">
        <v>10</v>
      </c>
      <c r="C24" s="192">
        <v>9</v>
      </c>
      <c r="D24" s="192">
        <v>2</v>
      </c>
      <c r="E24" s="192">
        <f t="shared" si="6"/>
        <v>11</v>
      </c>
      <c r="F24" s="192">
        <f t="shared" si="1"/>
        <v>-1</v>
      </c>
      <c r="G24" s="192"/>
      <c r="H24" s="192">
        <f t="shared" si="2"/>
        <v>-1</v>
      </c>
      <c r="I24" s="192">
        <f t="shared" si="3"/>
        <v>1</v>
      </c>
      <c r="J24" s="192"/>
      <c r="K24" s="192">
        <f t="shared" si="7"/>
        <v>1</v>
      </c>
      <c r="L24" s="192">
        <v>5</v>
      </c>
      <c r="M24" s="192">
        <v>4</v>
      </c>
      <c r="N24" s="192"/>
      <c r="O24" s="192"/>
      <c r="P24" s="192"/>
    </row>
    <row r="25" spans="1:16" ht="12" customHeight="1">
      <c r="A25" s="594" t="s">
        <v>958</v>
      </c>
      <c r="B25" s="192">
        <v>31</v>
      </c>
      <c r="C25" s="192">
        <v>30</v>
      </c>
      <c r="D25" s="192">
        <v>1</v>
      </c>
      <c r="E25" s="192">
        <f t="shared" si="6"/>
        <v>31</v>
      </c>
      <c r="F25" s="192">
        <f t="shared" si="1"/>
        <v>0</v>
      </c>
      <c r="G25" s="192"/>
      <c r="H25" s="192">
        <f t="shared" si="2"/>
        <v>0</v>
      </c>
      <c r="I25" s="192">
        <f t="shared" si="3"/>
        <v>0</v>
      </c>
      <c r="J25" s="192"/>
      <c r="K25" s="192">
        <f t="shared" si="7"/>
        <v>0</v>
      </c>
      <c r="L25" s="192">
        <v>7</v>
      </c>
      <c r="M25" s="192">
        <v>7</v>
      </c>
      <c r="N25" s="192"/>
      <c r="O25" s="192"/>
      <c r="P25" s="192"/>
    </row>
    <row r="26" spans="1:16" ht="12" customHeight="1">
      <c r="A26" s="594" t="s">
        <v>959</v>
      </c>
      <c r="B26" s="192">
        <v>7</v>
      </c>
      <c r="C26" s="192">
        <v>3</v>
      </c>
      <c r="D26" s="192">
        <v>1</v>
      </c>
      <c r="E26" s="192">
        <f t="shared" si="6"/>
        <v>4</v>
      </c>
      <c r="F26" s="192">
        <f t="shared" si="1"/>
        <v>3</v>
      </c>
      <c r="G26" s="192"/>
      <c r="H26" s="192">
        <f t="shared" si="2"/>
        <v>3</v>
      </c>
      <c r="I26" s="192">
        <f t="shared" si="3"/>
        <v>-3</v>
      </c>
      <c r="J26" s="192"/>
      <c r="K26" s="192">
        <f t="shared" si="7"/>
        <v>-3</v>
      </c>
      <c r="L26" s="192">
        <v>1</v>
      </c>
      <c r="M26" s="192">
        <v>4</v>
      </c>
      <c r="N26" s="192"/>
      <c r="O26" s="192"/>
      <c r="P26" s="192"/>
    </row>
    <row r="27" spans="1:16" ht="12" customHeight="1">
      <c r="A27" s="594" t="s">
        <v>960</v>
      </c>
      <c r="B27" s="192">
        <v>14</v>
      </c>
      <c r="C27" s="192">
        <v>5</v>
      </c>
      <c r="D27" s="192">
        <v>3</v>
      </c>
      <c r="E27" s="192">
        <f t="shared" si="6"/>
        <v>8</v>
      </c>
      <c r="F27" s="192">
        <f t="shared" si="1"/>
        <v>6</v>
      </c>
      <c r="G27" s="192"/>
      <c r="H27" s="192">
        <f t="shared" si="2"/>
        <v>6</v>
      </c>
      <c r="I27" s="192">
        <f t="shared" si="3"/>
        <v>-6</v>
      </c>
      <c r="J27" s="192"/>
      <c r="K27" s="192">
        <f t="shared" si="7"/>
        <v>-6</v>
      </c>
      <c r="L27" s="192">
        <v>1</v>
      </c>
      <c r="M27" s="192">
        <v>7</v>
      </c>
      <c r="N27" s="192"/>
      <c r="O27" s="192"/>
      <c r="P27" s="192"/>
    </row>
    <row r="28" spans="1:16" ht="12" customHeight="1">
      <c r="A28" s="594" t="s">
        <v>961</v>
      </c>
      <c r="B28" s="192">
        <v>24</v>
      </c>
      <c r="C28" s="192">
        <v>8</v>
      </c>
      <c r="D28" s="192">
        <v>5</v>
      </c>
      <c r="E28" s="192">
        <f t="shared" si="6"/>
        <v>13</v>
      </c>
      <c r="F28" s="192">
        <f t="shared" si="1"/>
        <v>11</v>
      </c>
      <c r="G28" s="192"/>
      <c r="H28" s="192">
        <f t="shared" si="2"/>
        <v>11</v>
      </c>
      <c r="I28" s="192">
        <f t="shared" si="3"/>
        <v>-11</v>
      </c>
      <c r="J28" s="192"/>
      <c r="K28" s="192">
        <f t="shared" si="7"/>
        <v>-11</v>
      </c>
      <c r="L28" s="192">
        <v>17</v>
      </c>
      <c r="M28" s="192">
        <v>28</v>
      </c>
      <c r="N28" s="192"/>
      <c r="O28" s="192"/>
      <c r="P28" s="192"/>
    </row>
    <row r="29" spans="1:16" ht="12" customHeight="1">
      <c r="A29" s="594" t="s">
        <v>962</v>
      </c>
      <c r="B29" s="192">
        <v>4</v>
      </c>
      <c r="C29" s="192">
        <v>1</v>
      </c>
      <c r="D29" s="192">
        <v>1</v>
      </c>
      <c r="E29" s="192">
        <f t="shared" si="6"/>
        <v>2</v>
      </c>
      <c r="F29" s="192">
        <f t="shared" si="1"/>
        <v>2</v>
      </c>
      <c r="G29" s="192"/>
      <c r="H29" s="192">
        <f t="shared" si="2"/>
        <v>2</v>
      </c>
      <c r="I29" s="192">
        <f t="shared" si="3"/>
        <v>-2</v>
      </c>
      <c r="J29" s="192"/>
      <c r="K29" s="192">
        <f t="shared" si="7"/>
        <v>-2</v>
      </c>
      <c r="L29" s="192">
        <v>1</v>
      </c>
      <c r="M29" s="192">
        <v>3</v>
      </c>
      <c r="N29" s="192"/>
      <c r="O29" s="192"/>
      <c r="P29" s="192"/>
    </row>
    <row r="30" spans="1:16" ht="12" customHeight="1">
      <c r="A30" s="594" t="s">
        <v>963</v>
      </c>
      <c r="B30" s="192">
        <v>10</v>
      </c>
      <c r="C30" s="192">
        <v>10</v>
      </c>
      <c r="D30" s="192">
        <v>0</v>
      </c>
      <c r="E30" s="192">
        <f t="shared" si="6"/>
        <v>10</v>
      </c>
      <c r="F30" s="192">
        <f t="shared" si="1"/>
        <v>0</v>
      </c>
      <c r="G30" s="192"/>
      <c r="H30" s="192">
        <f t="shared" si="2"/>
        <v>0</v>
      </c>
      <c r="I30" s="192">
        <f t="shared" si="3"/>
        <v>0</v>
      </c>
      <c r="J30" s="192"/>
      <c r="K30" s="192">
        <f t="shared" si="7"/>
        <v>0</v>
      </c>
      <c r="L30" s="192">
        <v>8</v>
      </c>
      <c r="M30" s="192">
        <v>8</v>
      </c>
      <c r="N30" s="192"/>
      <c r="O30" s="192"/>
      <c r="P30" s="192"/>
    </row>
    <row r="31" spans="1:16" ht="12" customHeight="1">
      <c r="A31" s="594" t="s">
        <v>964</v>
      </c>
      <c r="B31" s="192">
        <v>5</v>
      </c>
      <c r="C31" s="192">
        <v>1</v>
      </c>
      <c r="D31" s="192">
        <v>1</v>
      </c>
      <c r="E31" s="192">
        <f t="shared" si="6"/>
        <v>2</v>
      </c>
      <c r="F31" s="192">
        <f t="shared" si="1"/>
        <v>3</v>
      </c>
      <c r="G31" s="192"/>
      <c r="H31" s="192">
        <f t="shared" si="2"/>
        <v>3</v>
      </c>
      <c r="I31" s="192">
        <f t="shared" si="3"/>
        <v>-3</v>
      </c>
      <c r="J31" s="192"/>
      <c r="K31" s="192">
        <f t="shared" si="7"/>
        <v>-3</v>
      </c>
      <c r="L31" s="192">
        <v>2</v>
      </c>
      <c r="M31" s="192">
        <v>5</v>
      </c>
      <c r="N31" s="192"/>
      <c r="O31" s="192"/>
      <c r="P31" s="192"/>
    </row>
    <row r="32" spans="1:16" ht="12" customHeight="1">
      <c r="A32" s="594" t="s">
        <v>965</v>
      </c>
      <c r="B32" s="192">
        <v>8</v>
      </c>
      <c r="C32" s="192">
        <v>4</v>
      </c>
      <c r="D32" s="192">
        <v>2</v>
      </c>
      <c r="E32" s="192">
        <f t="shared" si="6"/>
        <v>6</v>
      </c>
      <c r="F32" s="192">
        <f t="shared" si="1"/>
        <v>2</v>
      </c>
      <c r="G32" s="192"/>
      <c r="H32" s="192">
        <f t="shared" si="2"/>
        <v>2</v>
      </c>
      <c r="I32" s="192">
        <f t="shared" si="3"/>
        <v>-2</v>
      </c>
      <c r="J32" s="192"/>
      <c r="K32" s="192">
        <f t="shared" si="7"/>
        <v>-2</v>
      </c>
      <c r="L32" s="192">
        <v>4</v>
      </c>
      <c r="M32" s="192">
        <v>6</v>
      </c>
      <c r="N32" s="192"/>
      <c r="O32" s="192"/>
      <c r="P32" s="192"/>
    </row>
    <row r="33" spans="1:16" ht="12" customHeight="1">
      <c r="A33" s="594" t="s">
        <v>966</v>
      </c>
      <c r="B33" s="192">
        <v>1</v>
      </c>
      <c r="C33" s="192">
        <v>2</v>
      </c>
      <c r="D33" s="192">
        <v>0</v>
      </c>
      <c r="E33" s="192">
        <f t="shared" si="6"/>
        <v>2</v>
      </c>
      <c r="F33" s="192">
        <f t="shared" si="1"/>
        <v>-1</v>
      </c>
      <c r="G33" s="192"/>
      <c r="H33" s="192">
        <f t="shared" si="2"/>
        <v>-1</v>
      </c>
      <c r="I33" s="192">
        <f t="shared" si="3"/>
        <v>1</v>
      </c>
      <c r="J33" s="192"/>
      <c r="K33" s="192">
        <f t="shared" si="7"/>
        <v>1</v>
      </c>
      <c r="L33" s="192">
        <v>3</v>
      </c>
      <c r="M33" s="192">
        <v>2</v>
      </c>
      <c r="N33" s="192"/>
      <c r="O33" s="192"/>
      <c r="P33" s="192"/>
    </row>
    <row r="34" spans="1:16" ht="12" customHeight="1">
      <c r="A34" s="594" t="s">
        <v>967</v>
      </c>
      <c r="B34" s="192">
        <v>12</v>
      </c>
      <c r="C34" s="192">
        <v>9</v>
      </c>
      <c r="D34" s="192">
        <v>3</v>
      </c>
      <c r="E34" s="192">
        <f t="shared" si="6"/>
        <v>12</v>
      </c>
      <c r="F34" s="192">
        <f t="shared" si="1"/>
        <v>0</v>
      </c>
      <c r="G34" s="192"/>
      <c r="H34" s="192">
        <f t="shared" si="2"/>
        <v>0</v>
      </c>
      <c r="I34" s="192">
        <f t="shared" si="3"/>
        <v>0</v>
      </c>
      <c r="J34" s="192"/>
      <c r="K34" s="192">
        <f t="shared" si="7"/>
        <v>0</v>
      </c>
      <c r="L34" s="192">
        <v>4</v>
      </c>
      <c r="M34" s="192">
        <v>4</v>
      </c>
      <c r="N34" s="192"/>
      <c r="O34" s="192"/>
      <c r="P34" s="192"/>
    </row>
    <row r="35" spans="1:16" ht="12" customHeight="1">
      <c r="A35" s="594" t="s">
        <v>968</v>
      </c>
      <c r="B35" s="192">
        <v>5</v>
      </c>
      <c r="C35" s="192">
        <v>5</v>
      </c>
      <c r="D35" s="192">
        <v>0</v>
      </c>
      <c r="E35" s="192">
        <f t="shared" si="6"/>
        <v>5</v>
      </c>
      <c r="F35" s="192">
        <f t="shared" si="1"/>
        <v>0</v>
      </c>
      <c r="G35" s="192"/>
      <c r="H35" s="192">
        <f t="shared" si="2"/>
        <v>0</v>
      </c>
      <c r="I35" s="192">
        <f t="shared" si="3"/>
        <v>0</v>
      </c>
      <c r="J35" s="192"/>
      <c r="K35" s="192">
        <f t="shared" si="7"/>
        <v>0</v>
      </c>
      <c r="L35" s="192">
        <v>4</v>
      </c>
      <c r="M35" s="192">
        <v>4</v>
      </c>
      <c r="N35" s="192"/>
      <c r="O35" s="192"/>
      <c r="P35" s="192"/>
    </row>
    <row r="36" spans="1:16" ht="12" customHeight="1">
      <c r="A36" s="594" t="s">
        <v>969</v>
      </c>
      <c r="B36" s="192">
        <v>14</v>
      </c>
      <c r="C36" s="192">
        <v>9</v>
      </c>
      <c r="D36" s="192">
        <v>4</v>
      </c>
      <c r="E36" s="192">
        <f t="shared" si="6"/>
        <v>13</v>
      </c>
      <c r="F36" s="192">
        <f t="shared" si="1"/>
        <v>1</v>
      </c>
      <c r="G36" s="192"/>
      <c r="H36" s="192">
        <f t="shared" si="2"/>
        <v>1</v>
      </c>
      <c r="I36" s="192">
        <f t="shared" si="3"/>
        <v>-1</v>
      </c>
      <c r="J36" s="192"/>
      <c r="K36" s="192">
        <f t="shared" si="7"/>
        <v>-1</v>
      </c>
      <c r="L36" s="192">
        <v>15</v>
      </c>
      <c r="M36" s="192">
        <v>16</v>
      </c>
      <c r="N36" s="192"/>
      <c r="O36" s="192"/>
      <c r="P36" s="192"/>
    </row>
    <row r="37" spans="1:16" ht="12" customHeight="1">
      <c r="A37" s="594" t="s">
        <v>970</v>
      </c>
      <c r="B37" s="192">
        <v>6</v>
      </c>
      <c r="C37" s="192">
        <v>4</v>
      </c>
      <c r="D37" s="192">
        <v>1</v>
      </c>
      <c r="E37" s="192">
        <f t="shared" si="6"/>
        <v>5</v>
      </c>
      <c r="F37" s="192">
        <f t="shared" si="1"/>
        <v>1</v>
      </c>
      <c r="G37" s="192"/>
      <c r="H37" s="192">
        <f t="shared" si="2"/>
        <v>1</v>
      </c>
      <c r="I37" s="192">
        <f t="shared" si="3"/>
        <v>-1</v>
      </c>
      <c r="J37" s="192"/>
      <c r="K37" s="192">
        <f t="shared" si="7"/>
        <v>-1</v>
      </c>
      <c r="L37" s="192">
        <v>1</v>
      </c>
      <c r="M37" s="192">
        <v>2</v>
      </c>
      <c r="N37" s="192"/>
      <c r="O37" s="192"/>
      <c r="P37" s="192"/>
    </row>
    <row r="38" spans="1:16" ht="12" customHeight="1">
      <c r="A38" s="594" t="s">
        <v>971</v>
      </c>
      <c r="B38" s="192">
        <v>42</v>
      </c>
      <c r="C38" s="192">
        <v>24</v>
      </c>
      <c r="D38" s="192">
        <v>11</v>
      </c>
      <c r="E38" s="192">
        <f t="shared" si="6"/>
        <v>35</v>
      </c>
      <c r="F38" s="192">
        <f t="shared" si="1"/>
        <v>7</v>
      </c>
      <c r="G38" s="192"/>
      <c r="H38" s="192">
        <f t="shared" si="2"/>
        <v>7</v>
      </c>
      <c r="I38" s="192">
        <f t="shared" si="3"/>
        <v>-7</v>
      </c>
      <c r="J38" s="192"/>
      <c r="K38" s="192">
        <f t="shared" si="7"/>
        <v>-7</v>
      </c>
      <c r="L38" s="192">
        <v>17</v>
      </c>
      <c r="M38" s="192">
        <v>24</v>
      </c>
      <c r="N38" s="192"/>
      <c r="O38" s="192"/>
      <c r="P38" s="192"/>
    </row>
    <row r="39" spans="1:16" ht="12" customHeight="1">
      <c r="A39" s="594" t="s">
        <v>972</v>
      </c>
      <c r="B39" s="192">
        <v>16</v>
      </c>
      <c r="C39" s="192">
        <v>9</v>
      </c>
      <c r="D39" s="192">
        <v>2</v>
      </c>
      <c r="E39" s="192">
        <f t="shared" si="6"/>
        <v>11</v>
      </c>
      <c r="F39" s="192">
        <f t="shared" si="1"/>
        <v>5</v>
      </c>
      <c r="G39" s="192"/>
      <c r="H39" s="192">
        <f t="shared" si="2"/>
        <v>5</v>
      </c>
      <c r="I39" s="192">
        <f t="shared" si="3"/>
        <v>-5</v>
      </c>
      <c r="J39" s="192"/>
      <c r="K39" s="192">
        <f t="shared" si="7"/>
        <v>-5</v>
      </c>
      <c r="L39" s="192">
        <v>2</v>
      </c>
      <c r="M39" s="192">
        <v>7</v>
      </c>
      <c r="N39" s="192"/>
      <c r="O39" s="192"/>
      <c r="P39" s="192"/>
    </row>
    <row r="40" spans="1:16" ht="12" customHeight="1">
      <c r="A40" s="594" t="s">
        <v>973</v>
      </c>
      <c r="B40" s="192">
        <v>55</v>
      </c>
      <c r="C40" s="192">
        <v>23</v>
      </c>
      <c r="D40" s="192">
        <v>4</v>
      </c>
      <c r="E40" s="192">
        <f t="shared" si="6"/>
        <v>27</v>
      </c>
      <c r="F40" s="192">
        <f t="shared" si="1"/>
        <v>28</v>
      </c>
      <c r="G40" s="192"/>
      <c r="H40" s="192">
        <f t="shared" si="2"/>
        <v>28</v>
      </c>
      <c r="I40" s="192">
        <f t="shared" si="3"/>
        <v>-28</v>
      </c>
      <c r="J40" s="192"/>
      <c r="K40" s="192">
        <f t="shared" si="7"/>
        <v>-28</v>
      </c>
      <c r="L40" s="192">
        <v>20</v>
      </c>
      <c r="M40" s="192">
        <v>48</v>
      </c>
      <c r="N40" s="192"/>
      <c r="O40" s="192"/>
      <c r="P40" s="192"/>
    </row>
    <row r="41" spans="1:16" ht="12" customHeight="1">
      <c r="A41" s="594" t="s">
        <v>974</v>
      </c>
      <c r="B41" s="192">
        <v>8</v>
      </c>
      <c r="C41" s="192">
        <v>12</v>
      </c>
      <c r="D41" s="192">
        <v>2</v>
      </c>
      <c r="E41" s="192">
        <f t="shared" si="6"/>
        <v>14</v>
      </c>
      <c r="F41" s="192">
        <f t="shared" si="1"/>
        <v>-6</v>
      </c>
      <c r="G41" s="192"/>
      <c r="H41" s="192">
        <f t="shared" si="2"/>
        <v>-6</v>
      </c>
      <c r="I41" s="192">
        <f t="shared" si="3"/>
        <v>6</v>
      </c>
      <c r="J41" s="192"/>
      <c r="K41" s="192">
        <f t="shared" si="7"/>
        <v>6</v>
      </c>
      <c r="L41" s="192">
        <v>12</v>
      </c>
      <c r="M41" s="192">
        <v>6</v>
      </c>
      <c r="N41" s="192"/>
      <c r="O41" s="192"/>
      <c r="P41" s="192"/>
    </row>
    <row r="42" spans="1:16" ht="12" customHeight="1">
      <c r="A42" s="594" t="s">
        <v>975</v>
      </c>
      <c r="B42" s="192">
        <v>3</v>
      </c>
      <c r="C42" s="192">
        <v>3</v>
      </c>
      <c r="D42" s="192">
        <v>1</v>
      </c>
      <c r="E42" s="192">
        <f t="shared" si="6"/>
        <v>4</v>
      </c>
      <c r="F42" s="192">
        <f t="shared" si="1"/>
        <v>-1</v>
      </c>
      <c r="G42" s="192"/>
      <c r="H42" s="192">
        <f t="shared" si="2"/>
        <v>-1</v>
      </c>
      <c r="I42" s="192">
        <f t="shared" si="3"/>
        <v>1</v>
      </c>
      <c r="J42" s="192"/>
      <c r="K42" s="192">
        <f t="shared" si="7"/>
        <v>1</v>
      </c>
      <c r="L42" s="192">
        <v>7</v>
      </c>
      <c r="M42" s="192">
        <v>6</v>
      </c>
      <c r="N42" s="192"/>
      <c r="O42" s="192"/>
      <c r="P42" s="192"/>
    </row>
    <row r="43" spans="1:16" ht="12" customHeight="1">
      <c r="A43" s="594" t="s">
        <v>976</v>
      </c>
      <c r="B43" s="192">
        <v>40</v>
      </c>
      <c r="C43" s="192">
        <v>21</v>
      </c>
      <c r="D43" s="192">
        <v>4</v>
      </c>
      <c r="E43" s="192">
        <f t="shared" si="6"/>
        <v>25</v>
      </c>
      <c r="F43" s="192">
        <f t="shared" si="1"/>
        <v>15</v>
      </c>
      <c r="G43" s="192"/>
      <c r="H43" s="192">
        <f t="shared" si="2"/>
        <v>15</v>
      </c>
      <c r="I43" s="192">
        <f t="shared" si="3"/>
        <v>-15</v>
      </c>
      <c r="J43" s="192"/>
      <c r="K43" s="192">
        <f t="shared" si="7"/>
        <v>-15</v>
      </c>
      <c r="L43" s="192">
        <v>6</v>
      </c>
      <c r="M43" s="192">
        <v>21</v>
      </c>
      <c r="N43" s="192"/>
      <c r="O43" s="192"/>
      <c r="P43" s="192"/>
    </row>
    <row r="44" spans="1:16" ht="12" customHeight="1">
      <c r="A44" s="594" t="s">
        <v>977</v>
      </c>
      <c r="B44" s="192">
        <v>4</v>
      </c>
      <c r="C44" s="192">
        <v>2</v>
      </c>
      <c r="D44" s="192">
        <v>0</v>
      </c>
      <c r="E44" s="192">
        <f t="shared" si="6"/>
        <v>2</v>
      </c>
      <c r="F44" s="192">
        <f t="shared" si="1"/>
        <v>2</v>
      </c>
      <c r="G44" s="192"/>
      <c r="H44" s="192">
        <f t="shared" si="2"/>
        <v>2</v>
      </c>
      <c r="I44" s="192">
        <f t="shared" si="3"/>
        <v>-2</v>
      </c>
      <c r="J44" s="192"/>
      <c r="K44" s="192">
        <f t="shared" si="7"/>
        <v>-2</v>
      </c>
      <c r="L44" s="192">
        <v>3</v>
      </c>
      <c r="M44" s="192">
        <v>5</v>
      </c>
      <c r="N44" s="192"/>
      <c r="O44" s="192"/>
      <c r="P44" s="192"/>
    </row>
    <row r="45" spans="1:16" ht="12" customHeight="1">
      <c r="A45" s="422" t="s">
        <v>978</v>
      </c>
      <c r="B45" s="192">
        <f aca="true" t="shared" si="8" ref="B45:G45">SUM(B19:B44)</f>
        <v>427</v>
      </c>
      <c r="C45" s="192">
        <f t="shared" si="8"/>
        <v>276</v>
      </c>
      <c r="D45" s="192">
        <f t="shared" si="8"/>
        <v>69</v>
      </c>
      <c r="E45" s="192">
        <f t="shared" si="8"/>
        <v>345</v>
      </c>
      <c r="F45" s="192">
        <f t="shared" si="8"/>
        <v>82</v>
      </c>
      <c r="G45" s="192">
        <f t="shared" si="8"/>
        <v>0</v>
      </c>
      <c r="H45" s="192">
        <f t="shared" si="2"/>
        <v>82</v>
      </c>
      <c r="I45" s="192">
        <f t="shared" si="3"/>
        <v>-82</v>
      </c>
      <c r="J45" s="192">
        <f aca="true" t="shared" si="9" ref="J45:P45">SUM(J19:J44)</f>
        <v>0</v>
      </c>
      <c r="K45" s="192">
        <f t="shared" si="9"/>
        <v>-82</v>
      </c>
      <c r="L45" s="192">
        <f t="shared" si="9"/>
        <v>231</v>
      </c>
      <c r="M45" s="192">
        <f t="shared" si="9"/>
        <v>313</v>
      </c>
      <c r="N45" s="192">
        <f t="shared" si="9"/>
        <v>0</v>
      </c>
      <c r="O45" s="192">
        <f t="shared" si="9"/>
        <v>0</v>
      </c>
      <c r="P45" s="192">
        <f t="shared" si="9"/>
        <v>0</v>
      </c>
    </row>
    <row r="46" spans="1:16" ht="12" customHeight="1">
      <c r="A46" s="422" t="s">
        <v>979</v>
      </c>
      <c r="B46" s="192">
        <f aca="true" t="shared" si="10" ref="B46:P46">SUM(B18,B45)</f>
        <v>2549</v>
      </c>
      <c r="C46" s="192">
        <f t="shared" si="10"/>
        <v>1428</v>
      </c>
      <c r="D46" s="192">
        <f t="shared" si="10"/>
        <v>1226</v>
      </c>
      <c r="E46" s="192">
        <f t="shared" si="10"/>
        <v>2654</v>
      </c>
      <c r="F46" s="192">
        <f t="shared" si="10"/>
        <v>-105</v>
      </c>
      <c r="G46" s="192">
        <f t="shared" si="10"/>
        <v>-836</v>
      </c>
      <c r="H46" s="192">
        <f t="shared" si="10"/>
        <v>731</v>
      </c>
      <c r="I46" s="192">
        <f t="shared" si="10"/>
        <v>-731</v>
      </c>
      <c r="J46" s="192">
        <f t="shared" si="10"/>
        <v>0</v>
      </c>
      <c r="K46" s="192">
        <f t="shared" si="10"/>
        <v>-731</v>
      </c>
      <c r="L46" s="192">
        <f t="shared" si="10"/>
        <v>1845</v>
      </c>
      <c r="M46" s="192">
        <f t="shared" si="10"/>
        <v>2576</v>
      </c>
      <c r="N46" s="192">
        <f t="shared" si="10"/>
        <v>0</v>
      </c>
      <c r="O46" s="192">
        <f t="shared" si="10"/>
        <v>0</v>
      </c>
      <c r="P46" s="192">
        <f t="shared" si="10"/>
        <v>0</v>
      </c>
    </row>
    <row r="47" ht="17.25" customHeight="1"/>
    <row r="48" ht="17.25" customHeight="1"/>
    <row r="49" s="498" customFormat="1" ht="17.25" customHeight="1">
      <c r="A49" s="588"/>
    </row>
    <row r="54" spans="1:11" s="610" customFormat="1" ht="17.25" customHeight="1">
      <c r="A54" s="41" t="s">
        <v>188</v>
      </c>
      <c r="B54" s="39"/>
      <c r="C54" s="39"/>
      <c r="D54" s="493"/>
      <c r="E54" s="577"/>
      <c r="F54" s="493"/>
      <c r="H54" s="493"/>
      <c r="I54" s="498"/>
      <c r="K54" s="39" t="s">
        <v>376</v>
      </c>
    </row>
    <row r="56" spans="1:8" s="497" customFormat="1" ht="17.25" customHeight="1">
      <c r="A56" s="522"/>
      <c r="B56" s="604"/>
      <c r="C56" s="493"/>
      <c r="D56" s="603"/>
      <c r="E56" s="493"/>
      <c r="F56" s="603"/>
      <c r="G56" s="603"/>
      <c r="H56" s="493"/>
    </row>
    <row r="58" spans="1:16" s="498" customFormat="1" ht="17.25" customHeight="1">
      <c r="A58" s="544" t="s">
        <v>621</v>
      </c>
      <c r="B58" s="138"/>
      <c r="C58" s="1"/>
      <c r="D58" s="138"/>
      <c r="E58" s="138"/>
      <c r="F58" s="138"/>
      <c r="G58" s="1"/>
      <c r="H58" s="611"/>
      <c r="I58" s="138"/>
      <c r="J58" s="138"/>
      <c r="K58" s="138"/>
      <c r="L58" s="138"/>
      <c r="M58" s="138"/>
      <c r="N58" s="138"/>
      <c r="O58" s="138"/>
      <c r="P58" s="138"/>
    </row>
    <row r="59" s="610" customFormat="1" ht="17.25" customHeight="1">
      <c r="A59" s="514" t="s">
        <v>530</v>
      </c>
    </row>
    <row r="60" spans="1:6" s="610" customFormat="1" ht="17.25" customHeight="1">
      <c r="A60" s="612"/>
      <c r="B60" s="493"/>
      <c r="C60" s="493"/>
      <c r="D60" s="493"/>
      <c r="E60" s="493"/>
      <c r="F60" s="493"/>
    </row>
    <row r="61" ht="24" customHeight="1"/>
    <row r="67" ht="17.25" customHeight="1">
      <c r="A67" s="269"/>
    </row>
    <row r="68" s="269" customFormat="1" ht="17.25" customHeight="1">
      <c r="A68" s="512"/>
    </row>
    <row r="69" ht="17.25" customHeight="1">
      <c r="A69" s="512"/>
    </row>
  </sheetData>
  <mergeCells count="12">
    <mergeCell ref="P7:P9"/>
    <mergeCell ref="J8:O8"/>
    <mergeCell ref="H7:H9"/>
    <mergeCell ref="I7:I9"/>
    <mergeCell ref="A2:P2"/>
    <mergeCell ref="A4:P4"/>
    <mergeCell ref="A5:P5"/>
    <mergeCell ref="A7:A9"/>
    <mergeCell ref="B7:B9"/>
    <mergeCell ref="C7:E8"/>
    <mergeCell ref="F7:F9"/>
    <mergeCell ref="G7:G9"/>
  </mergeCells>
  <printOptions/>
  <pageMargins left="0.25" right="0.25" top="1" bottom="1" header="0.5" footer="0.5"/>
  <pageSetup firstPageNumber="42" useFirstPageNumber="1" horizontalDpi="600" verticalDpi="600" orientation="landscape" paperSize="9" scale="92" r:id="rId1"/>
  <headerFooter alignWithMargins="0">
    <oddFooter>&amp;R&amp;9&amp;P</oddFooter>
  </headerFooter>
  <rowBreaks count="1" manualBreakCount="1">
    <brk id="32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8" sqref="A8"/>
    </sheetView>
  </sheetViews>
  <sheetFormatPr defaultColWidth="9.140625" defaultRowHeight="17.25" customHeight="1"/>
  <cols>
    <col min="1" max="1" width="36.28125" style="264" customWidth="1"/>
    <col min="2" max="2" width="14.421875" style="264" customWidth="1"/>
    <col min="3" max="3" width="11.00390625" style="42" customWidth="1"/>
    <col min="4" max="4" width="12.7109375" style="39" customWidth="1"/>
    <col min="5" max="5" width="9.8515625" style="42" customWidth="1"/>
  </cols>
  <sheetData>
    <row r="1" spans="2:5" ht="17.25" customHeight="1">
      <c r="B1" s="51"/>
      <c r="C1" s="416"/>
      <c r="E1" s="415" t="s">
        <v>23</v>
      </c>
    </row>
    <row r="2" ht="17.25" customHeight="1">
      <c r="A2" s="264" t="s">
        <v>692</v>
      </c>
    </row>
    <row r="4" spans="1:5" ht="30" customHeight="1">
      <c r="A4" s="813" t="s">
        <v>24</v>
      </c>
      <c r="B4" s="813"/>
      <c r="C4" s="813"/>
      <c r="D4" s="813"/>
      <c r="E4" s="813"/>
    </row>
    <row r="5" spans="1:5" ht="17.25" customHeight="1">
      <c r="A5" s="815" t="s">
        <v>525</v>
      </c>
      <c r="B5" s="815"/>
      <c r="C5" s="815"/>
      <c r="D5" s="815"/>
      <c r="E5" s="815"/>
    </row>
    <row r="6" ht="17.25" customHeight="1">
      <c r="E6" s="415" t="s">
        <v>240</v>
      </c>
    </row>
    <row r="7" spans="1:5" ht="38.25">
      <c r="A7" s="312" t="s">
        <v>193</v>
      </c>
      <c r="B7" s="549" t="s">
        <v>761</v>
      </c>
      <c r="C7" s="313" t="s">
        <v>694</v>
      </c>
      <c r="D7" s="312" t="s">
        <v>25</v>
      </c>
      <c r="E7" s="9" t="s">
        <v>317</v>
      </c>
    </row>
    <row r="8" spans="1:5" ht="17.25" customHeight="1">
      <c r="A8" s="275">
        <v>1</v>
      </c>
      <c r="B8" s="275">
        <v>2</v>
      </c>
      <c r="C8" s="361">
        <v>3</v>
      </c>
      <c r="D8" s="275">
        <v>4</v>
      </c>
      <c r="E8" s="361">
        <v>5</v>
      </c>
    </row>
    <row r="9" spans="1:5" ht="25.5">
      <c r="A9" s="94" t="s">
        <v>697</v>
      </c>
      <c r="B9" s="275" t="s">
        <v>199</v>
      </c>
      <c r="C9" s="420">
        <f>SUM(C10:C11)</f>
        <v>2549</v>
      </c>
      <c r="D9" s="613"/>
      <c r="E9" s="420">
        <f>C9-'[16]Maijs'!C9</f>
        <v>545</v>
      </c>
    </row>
    <row r="10" spans="1:5" ht="25.5">
      <c r="A10" s="69" t="s">
        <v>698</v>
      </c>
      <c r="B10" s="275" t="s">
        <v>199</v>
      </c>
      <c r="C10" s="419">
        <v>1957</v>
      </c>
      <c r="D10" s="613"/>
      <c r="E10" s="419">
        <f>C10-'[16]Maijs'!C10</f>
        <v>406</v>
      </c>
    </row>
    <row r="11" spans="1:5" ht="25.5">
      <c r="A11" s="69" t="s">
        <v>699</v>
      </c>
      <c r="B11" s="275" t="s">
        <v>199</v>
      </c>
      <c r="C11" s="419">
        <v>592</v>
      </c>
      <c r="D11" s="613"/>
      <c r="E11" s="419">
        <f>C11-'[16]Maijs'!C11</f>
        <v>139</v>
      </c>
    </row>
    <row r="12" spans="1:5" ht="25.5">
      <c r="A12" s="69" t="s">
        <v>700</v>
      </c>
      <c r="B12" s="275" t="s">
        <v>199</v>
      </c>
      <c r="C12" s="419">
        <v>0</v>
      </c>
      <c r="D12" s="613"/>
      <c r="E12" s="419"/>
    </row>
    <row r="13" spans="1:5" ht="17.25" customHeight="1">
      <c r="A13" s="94" t="s">
        <v>701</v>
      </c>
      <c r="B13" s="98">
        <f>SUM(B14,B31,)</f>
        <v>6758</v>
      </c>
      <c r="C13" s="98">
        <f>SUM(C14,C31,)</f>
        <v>2654</v>
      </c>
      <c r="D13" s="755">
        <f>C13/B13*100</f>
        <v>39.27197395679195</v>
      </c>
      <c r="E13" s="98">
        <f>C13-'[16]Maijs'!C13</f>
        <v>930</v>
      </c>
    </row>
    <row r="14" spans="1:5" ht="17.25" customHeight="1">
      <c r="A14" s="100" t="s">
        <v>630</v>
      </c>
      <c r="B14" s="98">
        <v>3502</v>
      </c>
      <c r="C14" s="98">
        <f>SUM(C15,C25)</f>
        <v>1428</v>
      </c>
      <c r="D14" s="755">
        <f>C14/B14*100</f>
        <v>40.77669902912621</v>
      </c>
      <c r="E14" s="98">
        <f>C14-'[16]Maijs'!C14</f>
        <v>441</v>
      </c>
    </row>
    <row r="15" spans="1:5" ht="17.25" customHeight="1">
      <c r="A15" s="100" t="s">
        <v>473</v>
      </c>
      <c r="B15" s="378">
        <v>3181</v>
      </c>
      <c r="C15" s="378">
        <f>SUM(C17,C16,C18)</f>
        <v>1287</v>
      </c>
      <c r="D15" s="756">
        <f>C15/B15*100</f>
        <v>40.45897516504244</v>
      </c>
      <c r="E15" s="378">
        <f>C15-'[16]Maijs'!C15</f>
        <v>399</v>
      </c>
    </row>
    <row r="16" spans="1:5" ht="17.25" customHeight="1">
      <c r="A16" s="250" t="s">
        <v>474</v>
      </c>
      <c r="B16" s="425">
        <v>354</v>
      </c>
      <c r="C16" s="419">
        <v>165</v>
      </c>
      <c r="D16" s="757">
        <f>C16/B16*100</f>
        <v>46.61016949152542</v>
      </c>
      <c r="E16" s="419">
        <f>C16-'[16]Maijs'!C16</f>
        <v>34</v>
      </c>
    </row>
    <row r="17" spans="1:5" ht="25.5">
      <c r="A17" s="69" t="s">
        <v>702</v>
      </c>
      <c r="B17" s="342" t="s">
        <v>199</v>
      </c>
      <c r="C17" s="419">
        <v>42</v>
      </c>
      <c r="D17" s="342" t="s">
        <v>199</v>
      </c>
      <c r="E17" s="419">
        <f>C17-'[16]Maijs'!C17</f>
        <v>10</v>
      </c>
    </row>
    <row r="18" spans="1:5" ht="17.25" customHeight="1">
      <c r="A18" s="69" t="s">
        <v>476</v>
      </c>
      <c r="B18" s="342" t="s">
        <v>199</v>
      </c>
      <c r="C18" s="289">
        <v>1080</v>
      </c>
      <c r="D18" s="342" t="s">
        <v>199</v>
      </c>
      <c r="E18" s="289">
        <f>C18-'[16]Maijs'!C18</f>
        <v>355</v>
      </c>
    </row>
    <row r="19" spans="1:5" ht="17.25" customHeight="1">
      <c r="A19" s="344" t="s">
        <v>704</v>
      </c>
      <c r="B19" s="428" t="s">
        <v>199</v>
      </c>
      <c r="C19" s="419">
        <v>853</v>
      </c>
      <c r="D19" s="428" t="s">
        <v>199</v>
      </c>
      <c r="E19" s="419">
        <f>C19-'[16]Maijs'!C19</f>
        <v>174</v>
      </c>
    </row>
    <row r="20" spans="1:5" ht="17.25" customHeight="1">
      <c r="A20" s="344" t="s">
        <v>705</v>
      </c>
      <c r="B20" s="428" t="s">
        <v>199</v>
      </c>
      <c r="C20" s="419">
        <v>227</v>
      </c>
      <c r="D20" s="428" t="s">
        <v>199</v>
      </c>
      <c r="E20" s="419">
        <f>C20-'[16]Maijs'!C20</f>
        <v>181</v>
      </c>
    </row>
    <row r="21" spans="1:5" ht="17.25" customHeight="1">
      <c r="A21" s="69" t="s">
        <v>706</v>
      </c>
      <c r="B21" s="342" t="s">
        <v>199</v>
      </c>
      <c r="C21" s="419"/>
      <c r="D21" s="342" t="s">
        <v>199</v>
      </c>
      <c r="E21" s="419"/>
    </row>
    <row r="22" spans="1:5" ht="25.5">
      <c r="A22" s="76" t="s">
        <v>477</v>
      </c>
      <c r="B22" s="342" t="s">
        <v>199</v>
      </c>
      <c r="C22" s="289"/>
      <c r="D22" s="614" t="str">
        <f>IF(ISERROR(ROUND(C22,0)/ROUND(g,0))," ",(ROUND(C22,)/ROUND(B22,)))</f>
        <v> </v>
      </c>
      <c r="E22" s="289"/>
    </row>
    <row r="23" spans="1:5" ht="25.5">
      <c r="A23" s="69" t="s">
        <v>707</v>
      </c>
      <c r="B23" s="342" t="s">
        <v>199</v>
      </c>
      <c r="C23" s="419"/>
      <c r="D23" s="342" t="s">
        <v>199</v>
      </c>
      <c r="E23" s="419"/>
    </row>
    <row r="24" spans="1:5" ht="25.5">
      <c r="A24" s="69" t="s">
        <v>708</v>
      </c>
      <c r="B24" s="342" t="s">
        <v>199</v>
      </c>
      <c r="C24" s="419"/>
      <c r="D24" s="342" t="s">
        <v>199</v>
      </c>
      <c r="E24" s="419"/>
    </row>
    <row r="25" spans="1:6" ht="17.25" customHeight="1">
      <c r="A25" s="32" t="s">
        <v>481</v>
      </c>
      <c r="B25" s="422">
        <v>321</v>
      </c>
      <c r="C25" s="378">
        <f>SUM(C26:C30)</f>
        <v>141</v>
      </c>
      <c r="D25" s="758">
        <f>C25/B25*100</f>
        <v>43.925233644859816</v>
      </c>
      <c r="E25" s="378">
        <f>C25-'[16]Maijs'!C25</f>
        <v>42</v>
      </c>
      <c r="F25" s="476"/>
    </row>
    <row r="26" spans="1:5" ht="17.25" customHeight="1">
      <c r="A26" s="250" t="s">
        <v>482</v>
      </c>
      <c r="B26" s="342" t="s">
        <v>199</v>
      </c>
      <c r="C26" s="419"/>
      <c r="D26" s="342" t="s">
        <v>199</v>
      </c>
      <c r="E26" s="419"/>
    </row>
    <row r="27" spans="1:5" ht="17.25" customHeight="1">
      <c r="A27" s="250" t="s">
        <v>483</v>
      </c>
      <c r="B27" s="342" t="s">
        <v>199</v>
      </c>
      <c r="C27" s="419"/>
      <c r="D27" s="342" t="s">
        <v>199</v>
      </c>
      <c r="E27" s="419"/>
    </row>
    <row r="28" spans="1:5" ht="17.25" customHeight="1">
      <c r="A28" s="69" t="s">
        <v>484</v>
      </c>
      <c r="B28" s="342" t="s">
        <v>199</v>
      </c>
      <c r="C28" s="419"/>
      <c r="D28" s="342" t="s">
        <v>199</v>
      </c>
      <c r="E28" s="419"/>
    </row>
    <row r="29" spans="1:5" ht="17.25" customHeight="1">
      <c r="A29" s="69" t="s">
        <v>709</v>
      </c>
      <c r="B29" s="342" t="s">
        <v>199</v>
      </c>
      <c r="C29" s="419">
        <v>115</v>
      </c>
      <c r="D29" s="342" t="s">
        <v>199</v>
      </c>
      <c r="E29" s="419"/>
    </row>
    <row r="30" spans="1:5" ht="17.25" customHeight="1">
      <c r="A30" s="69" t="s">
        <v>487</v>
      </c>
      <c r="B30" s="342" t="s">
        <v>199</v>
      </c>
      <c r="C30" s="419">
        <v>26</v>
      </c>
      <c r="D30" s="342" t="s">
        <v>199</v>
      </c>
      <c r="E30" s="419">
        <f>C30-'[16]Maijs'!C30</f>
        <v>8</v>
      </c>
    </row>
    <row r="31" spans="1:5" ht="17.25" customHeight="1">
      <c r="A31" s="130" t="s">
        <v>710</v>
      </c>
      <c r="B31" s="378">
        <f>SUM(B32:B33)</f>
        <v>3256</v>
      </c>
      <c r="C31" s="378">
        <f>SUM(C32:C33)</f>
        <v>1226</v>
      </c>
      <c r="D31" s="758">
        <f>C31/B31*100</f>
        <v>37.65356265356266</v>
      </c>
      <c r="E31" s="378">
        <f>C31-'[16]Maijs'!C31</f>
        <v>489</v>
      </c>
    </row>
    <row r="32" spans="1:5" ht="17.25" customHeight="1">
      <c r="A32" s="69" t="s">
        <v>711</v>
      </c>
      <c r="B32" s="425">
        <v>2593</v>
      </c>
      <c r="C32" s="419">
        <v>993</v>
      </c>
      <c r="D32" s="759">
        <f>C32/B32*100</f>
        <v>38.29541072117239</v>
      </c>
      <c r="E32" s="419">
        <f>C32-'[16]Maijs'!C32</f>
        <v>305</v>
      </c>
    </row>
    <row r="33" spans="1:5" ht="17.25" customHeight="1">
      <c r="A33" s="69" t="s">
        <v>712</v>
      </c>
      <c r="B33" s="425">
        <v>663</v>
      </c>
      <c r="C33" s="419">
        <v>233</v>
      </c>
      <c r="D33" s="759">
        <f>C33/B33*100</f>
        <v>35.14328808446455</v>
      </c>
      <c r="E33" s="419">
        <f>C33-'[16]Maijs'!C33</f>
        <v>184</v>
      </c>
    </row>
    <row r="34" spans="1:5" ht="17.25" customHeight="1">
      <c r="A34" s="550" t="s">
        <v>899</v>
      </c>
      <c r="B34" s="420">
        <f>B35-B36</f>
        <v>-921</v>
      </c>
      <c r="C34" s="420">
        <f>C35-C36</f>
        <v>-836</v>
      </c>
      <c r="D34" s="758">
        <f>C34/B34*100</f>
        <v>90.77090119435395</v>
      </c>
      <c r="E34" s="420">
        <f>C34-'[16]Maijs'!C34</f>
        <v>-9</v>
      </c>
    </row>
    <row r="35" spans="1:5" ht="17.25" customHeight="1">
      <c r="A35" s="551" t="s">
        <v>900</v>
      </c>
      <c r="B35" s="425"/>
      <c r="C35" s="419"/>
      <c r="D35" s="759"/>
      <c r="E35" s="419"/>
    </row>
    <row r="36" spans="1:5" ht="25.5">
      <c r="A36" s="551" t="s">
        <v>901</v>
      </c>
      <c r="B36" s="425">
        <v>921</v>
      </c>
      <c r="C36" s="419">
        <v>836</v>
      </c>
      <c r="D36" s="759">
        <f>C36/B36*100</f>
        <v>90.77090119435395</v>
      </c>
      <c r="E36" s="419">
        <f>C36-'[16]Maijs'!C36</f>
        <v>9</v>
      </c>
    </row>
    <row r="37" spans="1:5" ht="17.25" customHeight="1">
      <c r="A37" s="130" t="s">
        <v>26</v>
      </c>
      <c r="B37" s="378"/>
      <c r="C37" s="378">
        <f>C9-C13-C34</f>
        <v>731</v>
      </c>
      <c r="D37" s="615" t="s">
        <v>199</v>
      </c>
      <c r="E37" s="616" t="s">
        <v>199</v>
      </c>
    </row>
    <row r="38" spans="1:5" ht="17.25" customHeight="1">
      <c r="A38" s="130" t="s">
        <v>507</v>
      </c>
      <c r="B38" s="378"/>
      <c r="C38" s="378">
        <f>-C37</f>
        <v>-731</v>
      </c>
      <c r="D38" s="615" t="s">
        <v>199</v>
      </c>
      <c r="E38" s="616" t="s">
        <v>199</v>
      </c>
    </row>
    <row r="39" spans="1:5" ht="25.5">
      <c r="A39" s="134" t="s">
        <v>714</v>
      </c>
      <c r="B39" s="432"/>
      <c r="C39" s="378">
        <f>C38</f>
        <v>-731</v>
      </c>
      <c r="D39" s="342" t="s">
        <v>199</v>
      </c>
      <c r="E39" s="361" t="s">
        <v>199</v>
      </c>
    </row>
    <row r="40" spans="1:5" ht="17.25" customHeight="1">
      <c r="A40" s="879"/>
      <c r="B40" s="879"/>
      <c r="C40" s="879"/>
      <c r="D40" s="879"/>
      <c r="E40" s="879"/>
    </row>
    <row r="42" spans="1:5" ht="17.25" customHeight="1">
      <c r="A42" s="86"/>
      <c r="B42" s="435"/>
      <c r="C42" s="437"/>
      <c r="D42" s="356"/>
      <c r="E42" s="437"/>
    </row>
    <row r="43" spans="1:5" ht="17.25" customHeight="1">
      <c r="A43" s="86"/>
      <c r="B43" s="86"/>
      <c r="C43" s="438"/>
      <c r="D43" s="389"/>
      <c r="E43" s="437"/>
    </row>
    <row r="44" spans="1:4" ht="17.25" customHeight="1">
      <c r="A44" s="41" t="s">
        <v>188</v>
      </c>
      <c r="B44" s="39"/>
      <c r="C44" s="39"/>
      <c r="D44" s="39" t="s">
        <v>376</v>
      </c>
    </row>
    <row r="45" spans="1:4" ht="17.25" customHeight="1">
      <c r="A45" s="86"/>
      <c r="B45" s="435"/>
      <c r="C45" s="437"/>
      <c r="D45" s="356"/>
    </row>
    <row r="46" spans="2:5" ht="17.25" customHeight="1">
      <c r="B46" s="439"/>
      <c r="C46" s="416"/>
      <c r="D46" s="440"/>
      <c r="E46" s="416"/>
    </row>
    <row r="47" spans="2:4" ht="17.25" customHeight="1">
      <c r="B47" s="42"/>
      <c r="D47" s="440"/>
    </row>
    <row r="48" spans="2:4" ht="17.25" customHeight="1">
      <c r="B48" s="42"/>
      <c r="D48" s="440"/>
    </row>
    <row r="49" spans="1:4" ht="17.25" customHeight="1">
      <c r="A49" s="49" t="s">
        <v>236</v>
      </c>
      <c r="B49" s="42"/>
      <c r="D49" s="440"/>
    </row>
    <row r="50" spans="1:4" ht="17.25" customHeight="1">
      <c r="A50" s="49" t="s">
        <v>530</v>
      </c>
      <c r="B50" s="42"/>
      <c r="D50" s="440"/>
    </row>
    <row r="51" ht="17.25" customHeight="1">
      <c r="A51" s="1"/>
    </row>
    <row r="52" ht="17.25" customHeight="1">
      <c r="A52" s="302"/>
    </row>
    <row r="53" spans="2:4" ht="17.25" customHeight="1">
      <c r="B53" s="42"/>
      <c r="D53" s="440"/>
    </row>
  </sheetData>
  <mergeCells count="3">
    <mergeCell ref="A4:E4"/>
    <mergeCell ref="A5:E5"/>
    <mergeCell ref="A40:E40"/>
  </mergeCells>
  <printOptions/>
  <pageMargins left="0.75" right="0.75" top="1" bottom="1" header="0.5" footer="0.5"/>
  <pageSetup firstPageNumber="44" useFirstPageNumber="1" horizontalDpi="600" verticalDpi="600" orientation="portrait" paperSize="9" r:id="rId1"/>
  <headerFooter alignWithMargins="0">
    <oddFooter>&amp;R&amp;9&amp;P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T39"/>
  <sheetViews>
    <sheetView workbookViewId="0" topLeftCell="A1">
      <selection activeCell="A5" sqref="A5:E5"/>
    </sheetView>
  </sheetViews>
  <sheetFormatPr defaultColWidth="9.140625" defaultRowHeight="17.25" customHeight="1"/>
  <cols>
    <col min="1" max="1" width="36.7109375" style="515" customWidth="1"/>
    <col min="2" max="2" width="11.140625" style="560" customWidth="1"/>
    <col min="3" max="3" width="11.421875" style="493" customWidth="1"/>
    <col min="4" max="4" width="14.28125" style="493" customWidth="1"/>
    <col min="5" max="5" width="14.57421875" style="493" customWidth="1"/>
    <col min="6" max="6" width="8.28125" style="0" customWidth="1"/>
    <col min="9" max="9" width="8.421875" style="0" customWidth="1"/>
    <col min="73" max="16384" width="9.140625" style="493" customWidth="1"/>
  </cols>
  <sheetData>
    <row r="1" spans="2:5" ht="17.25" customHeight="1">
      <c r="B1" s="516"/>
      <c r="C1" s="51"/>
      <c r="D1" s="51"/>
      <c r="E1" s="51" t="s">
        <v>27</v>
      </c>
    </row>
    <row r="2" spans="1:5" ht="12.75">
      <c r="A2" s="853" t="s">
        <v>337</v>
      </c>
      <c r="B2" s="853"/>
      <c r="C2" s="853"/>
      <c r="D2" s="853"/>
      <c r="E2" s="853"/>
    </row>
    <row r="3" spans="1:72" s="38" customFormat="1" ht="17.25" customHeight="1">
      <c r="A3" s="516"/>
      <c r="B3" s="546"/>
      <c r="C3" s="89"/>
      <c r="D3" s="89"/>
      <c r="E3" s="89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5" ht="17.25" customHeight="1">
      <c r="A4" s="852" t="s">
        <v>28</v>
      </c>
      <c r="B4" s="852"/>
      <c r="C4" s="852"/>
      <c r="D4" s="852"/>
      <c r="E4" s="852"/>
    </row>
    <row r="5" spans="1:72" s="519" customFormat="1" ht="17.25" customHeight="1">
      <c r="A5" s="853" t="s">
        <v>525</v>
      </c>
      <c r="B5" s="853"/>
      <c r="C5" s="853"/>
      <c r="D5" s="853"/>
      <c r="E5" s="85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2:5" ht="17.25" customHeight="1">
      <c r="B6" s="548"/>
      <c r="C6" s="38"/>
      <c r="E6" s="2" t="s">
        <v>240</v>
      </c>
    </row>
    <row r="7" spans="1:72" s="38" customFormat="1" ht="22.5">
      <c r="A7" s="549" t="s">
        <v>193</v>
      </c>
      <c r="B7" s="526" t="s">
        <v>761</v>
      </c>
      <c r="C7" s="526" t="s">
        <v>242</v>
      </c>
      <c r="D7" s="526" t="s">
        <v>813</v>
      </c>
      <c r="E7" s="9" t="s">
        <v>317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1:5" ht="12.75">
      <c r="A8" s="527" t="s">
        <v>814</v>
      </c>
      <c r="B8" s="528" t="s">
        <v>857</v>
      </c>
      <c r="C8" s="528" t="s">
        <v>858</v>
      </c>
      <c r="D8" s="528" t="s">
        <v>859</v>
      </c>
      <c r="E8" s="528" t="s">
        <v>815</v>
      </c>
    </row>
    <row r="9" spans="1:5" ht="12.75">
      <c r="A9" s="530" t="s">
        <v>29</v>
      </c>
      <c r="B9" s="184">
        <f>B10+B28</f>
        <v>5836</v>
      </c>
      <c r="C9" s="184">
        <f>C10+C28</f>
        <v>1818</v>
      </c>
      <c r="D9" s="225">
        <f>C9/B9*100</f>
        <v>31.151473612063057</v>
      </c>
      <c r="E9" s="184">
        <f>C9-'[15]Maijs'!C9</f>
        <v>921</v>
      </c>
    </row>
    <row r="10" spans="1:72" s="49" customFormat="1" ht="17.25" customHeight="1">
      <c r="A10" s="550" t="s">
        <v>30</v>
      </c>
      <c r="B10" s="184">
        <f>SUM(B11:B27)</f>
        <v>5834</v>
      </c>
      <c r="C10" s="184">
        <f>SUM(C11:C27)</f>
        <v>1811</v>
      </c>
      <c r="D10" s="225">
        <f>C10/B10*100</f>
        <v>31.04216660953034</v>
      </c>
      <c r="E10" s="184">
        <f>C10-'[15]Maijs'!C10</f>
        <v>916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1:72" s="1" customFormat="1" ht="25.5">
      <c r="A11" s="534" t="s">
        <v>862</v>
      </c>
      <c r="B11" s="192">
        <v>139</v>
      </c>
      <c r="C11" s="192">
        <v>90</v>
      </c>
      <c r="D11" s="208">
        <f>C11/B11*100</f>
        <v>64.74820143884892</v>
      </c>
      <c r="E11" s="192">
        <f>C11-'[15]Maijs'!C11</f>
        <v>5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s="1" customFormat="1" ht="17.25" customHeight="1">
      <c r="A12" s="534" t="s">
        <v>523</v>
      </c>
      <c r="B12" s="192"/>
      <c r="C12" s="192"/>
      <c r="D12" s="208"/>
      <c r="E12" s="19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s="1" customFormat="1" ht="25.5">
      <c r="A13" s="534" t="s">
        <v>524</v>
      </c>
      <c r="B13" s="192">
        <v>9</v>
      </c>
      <c r="C13" s="192">
        <v>3</v>
      </c>
      <c r="D13" s="208">
        <f aca="true" t="shared" si="0" ref="D13:D19">C13/B13*100</f>
        <v>33.33333333333333</v>
      </c>
      <c r="E13" s="192">
        <f>C13-'[15]Maijs'!C13</f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s="1" customFormat="1" ht="12.75">
      <c r="A14" s="534" t="s">
        <v>531</v>
      </c>
      <c r="B14" s="192">
        <v>916</v>
      </c>
      <c r="C14" s="192">
        <v>387</v>
      </c>
      <c r="D14" s="208">
        <f t="shared" si="0"/>
        <v>42.248908296943235</v>
      </c>
      <c r="E14" s="192">
        <f>C14-'[15]Maijs'!C14</f>
        <v>110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s="1" customFormat="1" ht="12.75">
      <c r="A15" s="534" t="s">
        <v>532</v>
      </c>
      <c r="B15" s="192">
        <v>33</v>
      </c>
      <c r="C15" s="192">
        <v>17</v>
      </c>
      <c r="D15" s="208">
        <f t="shared" si="0"/>
        <v>51.515151515151516</v>
      </c>
      <c r="E15" s="192">
        <f>C15-'[15]Maijs'!C15</f>
        <v>8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s="1" customFormat="1" ht="25.5">
      <c r="A16" s="534" t="s">
        <v>533</v>
      </c>
      <c r="B16" s="192">
        <v>156</v>
      </c>
      <c r="C16" s="192">
        <v>73</v>
      </c>
      <c r="D16" s="208">
        <f t="shared" si="0"/>
        <v>46.794871794871796</v>
      </c>
      <c r="E16" s="192">
        <f>C16-'[15]Maijs'!C16</f>
        <v>19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s="1" customFormat="1" ht="25.5">
      <c r="A17" s="534" t="s">
        <v>534</v>
      </c>
      <c r="B17" s="192">
        <v>3743</v>
      </c>
      <c r="C17" s="192">
        <v>1485</v>
      </c>
      <c r="D17" s="208">
        <f t="shared" si="0"/>
        <v>39.67405824205183</v>
      </c>
      <c r="E17" s="192">
        <f>C17-'[15]Maijs'!C17</f>
        <v>625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s="1" customFormat="1" ht="12.75">
      <c r="A18" s="534" t="s">
        <v>727</v>
      </c>
      <c r="B18" s="192">
        <v>1013</v>
      </c>
      <c r="C18" s="192">
        <v>458</v>
      </c>
      <c r="D18" s="208">
        <f t="shared" si="0"/>
        <v>45.21224086870681</v>
      </c>
      <c r="E18" s="192">
        <f>C18-'[15]Maijs'!C18</f>
        <v>128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s="1" customFormat="1" ht="25.5">
      <c r="A19" s="534" t="s">
        <v>536</v>
      </c>
      <c r="B19" s="192">
        <v>-22</v>
      </c>
      <c r="C19" s="192">
        <v>-10</v>
      </c>
      <c r="D19" s="208">
        <f t="shared" si="0"/>
        <v>45.45454545454545</v>
      </c>
      <c r="E19" s="192">
        <f>C19-'[15]Maijs'!C19</f>
        <v>-1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s="1" customFormat="1" ht="25.5">
      <c r="A20" s="534" t="s">
        <v>730</v>
      </c>
      <c r="D20" s="208"/>
      <c r="E20" s="192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s="1" customFormat="1" ht="25.5">
      <c r="A21" s="534" t="s">
        <v>538</v>
      </c>
      <c r="B21" s="192"/>
      <c r="C21" s="192"/>
      <c r="D21" s="208"/>
      <c r="E21" s="192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s="1" customFormat="1" ht="12.75">
      <c r="A22" s="534" t="s">
        <v>863</v>
      </c>
      <c r="B22" s="192">
        <v>-624</v>
      </c>
      <c r="C22" s="192">
        <v>-752</v>
      </c>
      <c r="D22" s="208">
        <f>C22/B22*100</f>
        <v>120.51282051282051</v>
      </c>
      <c r="E22" s="19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s="1" customFormat="1" ht="12.75">
      <c r="A23" s="534" t="s">
        <v>540</v>
      </c>
      <c r="B23" s="192">
        <v>294</v>
      </c>
      <c r="C23" s="192">
        <v>59</v>
      </c>
      <c r="D23" s="208">
        <f>C23/B23*100</f>
        <v>20.068027210884352</v>
      </c>
      <c r="E23" s="192">
        <f>C23-'[15]Maijs'!C23</f>
        <v>21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s="1" customFormat="1" ht="25.5">
      <c r="A24" s="534" t="s">
        <v>864</v>
      </c>
      <c r="B24" s="192"/>
      <c r="C24" s="192"/>
      <c r="D24" s="208"/>
      <c r="E24" s="192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s="1" customFormat="1" ht="25.5">
      <c r="A25" s="534" t="s">
        <v>865</v>
      </c>
      <c r="B25" s="192"/>
      <c r="C25" s="192"/>
      <c r="D25" s="208"/>
      <c r="E25" s="192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s="1" customFormat="1" ht="12.75">
      <c r="A26" s="534" t="s">
        <v>866</v>
      </c>
      <c r="B26" s="192">
        <v>0</v>
      </c>
      <c r="C26" s="192"/>
      <c r="D26" s="208"/>
      <c r="E26" s="192">
        <f>C26-'[15]Maijs'!C26</f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1:72" s="1" customFormat="1" ht="25.5">
      <c r="A27" s="534" t="s">
        <v>31</v>
      </c>
      <c r="B27" s="192">
        <v>177</v>
      </c>
      <c r="C27" s="192">
        <v>1</v>
      </c>
      <c r="D27" s="208">
        <f>C27/B27*100</f>
        <v>0.5649717514124294</v>
      </c>
      <c r="E27" s="192">
        <f>C27-'[15]Maijs'!C27</f>
        <v>1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72" s="1" customFormat="1" ht="12.75">
      <c r="A28" s="530" t="s">
        <v>837</v>
      </c>
      <c r="B28" s="184">
        <v>2</v>
      </c>
      <c r="C28" s="184">
        <v>7</v>
      </c>
      <c r="D28" s="225">
        <f>C28/B28*100</f>
        <v>350</v>
      </c>
      <c r="E28" s="192">
        <f>C28-'[15]Maijs'!C28</f>
        <v>5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s="88" customFormat="1" ht="17.25" customHeight="1">
      <c r="A29" s="554"/>
      <c r="B29" s="138"/>
      <c r="C29" s="138"/>
      <c r="D29" s="138"/>
      <c r="E29" s="138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s="1" customFormat="1" ht="17.25" customHeight="1">
      <c r="A30" s="556"/>
      <c r="B30" s="557"/>
      <c r="C30" s="555"/>
      <c r="D30" s="138"/>
      <c r="E30" s="493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s="1" customFormat="1" ht="17.25" customHeight="1">
      <c r="A31" s="556"/>
      <c r="B31" s="557"/>
      <c r="C31" s="555"/>
      <c r="D31" s="138"/>
      <c r="E31" s="493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s="1" customFormat="1" ht="17.25" customHeight="1">
      <c r="A32" s="41" t="s">
        <v>188</v>
      </c>
      <c r="B32" s="39"/>
      <c r="C32" s="39"/>
      <c r="D32" s="39" t="s">
        <v>376</v>
      </c>
      <c r="E32" s="577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s="498" customFormat="1" ht="17.25" customHeight="1">
      <c r="A33" s="521"/>
      <c r="B33" s="617"/>
      <c r="C33" s="513"/>
      <c r="D33" s="513"/>
      <c r="E33" s="51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s="498" customFormat="1" ht="17.25" customHeight="1">
      <c r="A34" s="521"/>
      <c r="B34" s="617"/>
      <c r="C34" s="618"/>
      <c r="D34" s="618"/>
      <c r="E34" s="610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s="498" customFormat="1" ht="17.25" customHeight="1">
      <c r="A35" s="521"/>
      <c r="B35" s="754"/>
      <c r="E35" s="610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s="498" customFormat="1" ht="17.25" customHeight="1">
      <c r="A36" s="521"/>
      <c r="B36" s="617"/>
      <c r="C36" s="618"/>
      <c r="D36" s="618"/>
      <c r="E36" s="610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s="498" customFormat="1" ht="17.25" customHeight="1">
      <c r="A37" s="521"/>
      <c r="B37" s="617"/>
      <c r="C37" s="618"/>
      <c r="E37" s="610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4" ht="17.25" customHeight="1">
      <c r="A38" s="515" t="s">
        <v>621</v>
      </c>
      <c r="B38" s="559"/>
      <c r="C38" s="544"/>
      <c r="D38" s="302"/>
    </row>
    <row r="39" ht="17.25" customHeight="1">
      <c r="A39" s="515" t="s">
        <v>530</v>
      </c>
    </row>
  </sheetData>
  <mergeCells count="3">
    <mergeCell ref="A2:E2"/>
    <mergeCell ref="A4:E4"/>
    <mergeCell ref="A5:E5"/>
  </mergeCells>
  <printOptions/>
  <pageMargins left="0.75" right="0.27" top="1" bottom="1" header="0.5" footer="0.5"/>
  <pageSetup firstPageNumber="46" useFirstPageNumber="1" horizontalDpi="600" verticalDpi="600" orientation="portrait" paperSize="9" r:id="rId1"/>
  <headerFooter alignWithMargins="0">
    <oddFooter>&amp;R&amp;9&amp;P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53"/>
  <sheetViews>
    <sheetView workbookViewId="0" topLeftCell="A1">
      <selection activeCell="A7" sqref="A7"/>
    </sheetView>
  </sheetViews>
  <sheetFormatPr defaultColWidth="9.140625" defaultRowHeight="17.25" customHeight="1"/>
  <cols>
    <col min="1" max="1" width="51.7109375" style="493" customWidth="1"/>
    <col min="2" max="2" width="19.140625" style="493" customWidth="1"/>
  </cols>
  <sheetData>
    <row r="1" spans="1:2" ht="17.25" customHeight="1">
      <c r="A1" s="38"/>
      <c r="B1" s="49" t="s">
        <v>32</v>
      </c>
    </row>
    <row r="2" spans="1:2" ht="17.25" customHeight="1">
      <c r="A2" s="830" t="s">
        <v>337</v>
      </c>
      <c r="B2" s="830"/>
    </row>
    <row r="3" spans="1:2" ht="17.25" customHeight="1">
      <c r="A3" s="1"/>
      <c r="B3" s="1"/>
    </row>
    <row r="4" spans="1:2" ht="17.25" customHeight="1">
      <c r="A4" s="831" t="s">
        <v>33</v>
      </c>
      <c r="B4" s="831"/>
    </row>
    <row r="5" spans="1:2" ht="16.5" customHeight="1">
      <c r="A5" s="880" t="s">
        <v>151</v>
      </c>
      <c r="B5" s="880"/>
    </row>
    <row r="6" spans="1:2" ht="17.25" customHeight="1">
      <c r="A6" s="497"/>
      <c r="B6" s="497"/>
    </row>
    <row r="7" spans="1:2" ht="17.25" customHeight="1">
      <c r="A7" s="498"/>
      <c r="B7" s="373" t="s">
        <v>742</v>
      </c>
    </row>
    <row r="8" spans="1:2" ht="17.25" customHeight="1">
      <c r="A8" s="275" t="s">
        <v>193</v>
      </c>
      <c r="B8" s="207" t="s">
        <v>34</v>
      </c>
    </row>
    <row r="9" spans="1:2" ht="12.75">
      <c r="A9" s="275">
        <v>1</v>
      </c>
      <c r="B9" s="207">
        <v>2</v>
      </c>
    </row>
    <row r="10" spans="1:2" ht="18.75" customHeight="1">
      <c r="A10" s="76" t="s">
        <v>35</v>
      </c>
      <c r="B10" s="185">
        <f>SUM(B12:B14)</f>
        <v>17238452</v>
      </c>
    </row>
    <row r="11" spans="1:2" ht="25.5">
      <c r="A11" s="619" t="s">
        <v>36</v>
      </c>
      <c r="B11" s="620"/>
    </row>
    <row r="12" spans="1:2" ht="19.5" customHeight="1">
      <c r="A12" s="621" t="s">
        <v>37</v>
      </c>
      <c r="B12" s="620">
        <v>3791040</v>
      </c>
    </row>
    <row r="13" spans="1:2" ht="19.5" customHeight="1">
      <c r="A13" s="69" t="s">
        <v>38</v>
      </c>
      <c r="B13" s="622">
        <v>13447412</v>
      </c>
    </row>
    <row r="14" spans="1:2" ht="19.5" customHeight="1">
      <c r="A14" s="69" t="s">
        <v>39</v>
      </c>
      <c r="B14" s="622"/>
    </row>
    <row r="15" spans="1:2" ht="19.5" customHeight="1">
      <c r="A15" s="100" t="s">
        <v>40</v>
      </c>
      <c r="B15" s="185">
        <f>B16</f>
        <v>17181056</v>
      </c>
    </row>
    <row r="16" spans="1:2" ht="19.5" customHeight="1">
      <c r="A16" s="69" t="s">
        <v>41</v>
      </c>
      <c r="B16" s="622">
        <v>17181056</v>
      </c>
    </row>
    <row r="17" spans="1:2" ht="19.5" customHeight="1">
      <c r="A17" s="100" t="s">
        <v>42</v>
      </c>
      <c r="B17" s="185">
        <f>B18+B10-B15</f>
        <v>66578</v>
      </c>
    </row>
    <row r="18" spans="1:2" ht="19.5" customHeight="1">
      <c r="A18" s="69" t="s">
        <v>43</v>
      </c>
      <c r="B18" s="622">
        <v>9182</v>
      </c>
    </row>
    <row r="19" spans="1:2" ht="17.25" customHeight="1">
      <c r="A19" s="85"/>
      <c r="B19" s="85"/>
    </row>
    <row r="20" spans="1:2" ht="17.25" customHeight="1">
      <c r="A20" s="85"/>
      <c r="B20" s="85"/>
    </row>
    <row r="21" spans="1:2" ht="17.25" customHeight="1">
      <c r="A21" s="85"/>
      <c r="B21" s="85"/>
    </row>
    <row r="22" spans="1:2" ht="17.25" customHeight="1">
      <c r="A22" s="41" t="s">
        <v>188</v>
      </c>
      <c r="B22" s="39" t="s">
        <v>376</v>
      </c>
    </row>
    <row r="23" spans="1:2" ht="17.25" customHeight="1">
      <c r="A23" s="1"/>
      <c r="B23" s="85"/>
    </row>
    <row r="24" spans="1:2" ht="17.25" customHeight="1">
      <c r="A24" s="1"/>
      <c r="B24" s="1"/>
    </row>
    <row r="25" spans="1:2" ht="17.25" customHeight="1">
      <c r="A25" s="5"/>
      <c r="B25" s="623"/>
    </row>
    <row r="26" spans="1:2" ht="17.25" customHeight="1">
      <c r="A26" s="5"/>
      <c r="B26" s="623"/>
    </row>
    <row r="27" spans="1:2" ht="17.25" customHeight="1">
      <c r="A27" s="5"/>
      <c r="B27" s="624"/>
    </row>
    <row r="28" spans="1:2" ht="17.25" customHeight="1">
      <c r="A28" s="5"/>
      <c r="B28" s="1"/>
    </row>
    <row r="29" spans="1:2" ht="17.25" customHeight="1">
      <c r="A29" s="5"/>
      <c r="B29" s="1"/>
    </row>
    <row r="30" spans="1:2" ht="17.25" customHeight="1">
      <c r="A30" s="5"/>
      <c r="B30" s="1"/>
    </row>
    <row r="31" spans="1:2" ht="17.25" customHeight="1">
      <c r="A31" s="5"/>
      <c r="B31" s="1"/>
    </row>
    <row r="32" spans="1:2" ht="17.25" customHeight="1">
      <c r="A32" s="1"/>
      <c r="B32" s="1"/>
    </row>
    <row r="33" spans="1:2" ht="17.25" customHeight="1">
      <c r="A33" s="1"/>
      <c r="B33" s="1"/>
    </row>
    <row r="34" spans="1:2" ht="17.25" customHeight="1">
      <c r="A34" s="5"/>
      <c r="B34" s="1"/>
    </row>
    <row r="35" spans="1:2" ht="17.25" customHeight="1">
      <c r="A35" s="5"/>
      <c r="B35" s="1"/>
    </row>
    <row r="36" spans="1:2" ht="17.25" customHeight="1">
      <c r="A36" s="5"/>
      <c r="B36" s="1"/>
    </row>
    <row r="38" ht="17.25" customHeight="1">
      <c r="A38" s="49" t="s">
        <v>236</v>
      </c>
    </row>
    <row r="39" ht="17.25" customHeight="1">
      <c r="A39" s="49" t="s">
        <v>530</v>
      </c>
    </row>
    <row r="42" ht="17.25" customHeight="1">
      <c r="A42" s="5"/>
    </row>
    <row r="43" ht="17.25" customHeight="1">
      <c r="A43" s="5"/>
    </row>
    <row r="46" ht="17.25" customHeight="1">
      <c r="A46" s="5"/>
    </row>
    <row r="47" ht="17.25" customHeight="1">
      <c r="A47" s="5"/>
    </row>
    <row r="48" ht="17.25" customHeight="1">
      <c r="A48" s="5"/>
    </row>
    <row r="49" ht="17.25" customHeight="1">
      <c r="A49" s="5"/>
    </row>
    <row r="50" ht="17.25" customHeight="1">
      <c r="A50" s="5"/>
    </row>
    <row r="51" ht="17.25" customHeight="1">
      <c r="A51" s="5"/>
    </row>
    <row r="52" ht="17.25" customHeight="1">
      <c r="A52" s="5"/>
    </row>
    <row r="53" ht="17.25" customHeight="1">
      <c r="A53" s="5"/>
    </row>
  </sheetData>
  <mergeCells count="3">
    <mergeCell ref="A2:B2"/>
    <mergeCell ref="A4:B4"/>
    <mergeCell ref="A5:B5"/>
  </mergeCells>
  <printOptions/>
  <pageMargins left="0.75" right="0.75" top="1" bottom="1" header="0.5" footer="0.5"/>
  <pageSetup firstPageNumber="47" useFirstPageNumber="1" horizontalDpi="600" verticalDpi="600" orientation="portrait" paperSize="9" r:id="rId1"/>
  <headerFooter alignWithMargins="0">
    <oddFooter>&amp;R&amp;9&amp;P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5" sqref="A5:I5"/>
    </sheetView>
  </sheetViews>
  <sheetFormatPr defaultColWidth="9.140625" defaultRowHeight="17.25" customHeight="1"/>
  <cols>
    <col min="1" max="1" width="19.8515625" style="493" customWidth="1"/>
    <col min="2" max="2" width="11.00390625" style="493" customWidth="1"/>
    <col min="3" max="4" width="12.7109375" style="493" customWidth="1"/>
    <col min="5" max="5" width="12.140625" style="493" customWidth="1"/>
    <col min="6" max="6" width="10.7109375" style="493" customWidth="1"/>
    <col min="7" max="7" width="12.7109375" style="493" customWidth="1"/>
    <col min="8" max="8" width="11.140625" style="493" customWidth="1"/>
    <col min="9" max="9" width="14.00390625" style="493" customWidth="1"/>
    <col min="10" max="16384" width="12.7109375" style="493" customWidth="1"/>
  </cols>
  <sheetData>
    <row r="1" spans="2:10" ht="17.25" customHeight="1">
      <c r="B1" s="49"/>
      <c r="C1" s="49"/>
      <c r="D1" s="49"/>
      <c r="E1" s="49"/>
      <c r="F1" s="49"/>
      <c r="G1" s="49"/>
      <c r="H1" s="49"/>
      <c r="I1" s="39" t="s">
        <v>44</v>
      </c>
      <c r="J1" s="625"/>
    </row>
    <row r="2" spans="1:9" ht="17.25" customHeight="1">
      <c r="A2" s="830" t="s">
        <v>337</v>
      </c>
      <c r="B2" s="830"/>
      <c r="C2" s="830"/>
      <c r="D2" s="830"/>
      <c r="E2" s="830"/>
      <c r="F2" s="830"/>
      <c r="G2" s="830"/>
      <c r="H2" s="830"/>
      <c r="I2" s="830"/>
    </row>
    <row r="3" spans="1:9" ht="17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7.25" customHeight="1">
      <c r="A4" s="831" t="s">
        <v>45</v>
      </c>
      <c r="B4" s="831"/>
      <c r="C4" s="831"/>
      <c r="D4" s="831"/>
      <c r="E4" s="831"/>
      <c r="F4" s="831"/>
      <c r="G4" s="831"/>
      <c r="H4" s="831"/>
      <c r="I4" s="831"/>
    </row>
    <row r="5" spans="1:9" ht="17.25" customHeight="1">
      <c r="A5" s="880" t="s">
        <v>525</v>
      </c>
      <c r="B5" s="880"/>
      <c r="C5" s="880"/>
      <c r="D5" s="880"/>
      <c r="E5" s="880"/>
      <c r="F5" s="880"/>
      <c r="G5" s="880"/>
      <c r="H5" s="880"/>
      <c r="I5" s="880"/>
    </row>
    <row r="6" spans="1:9" ht="17.25" customHeight="1">
      <c r="A6" s="578"/>
      <c r="B6" s="1"/>
      <c r="C6" s="1"/>
      <c r="D6" s="1"/>
      <c r="E6" s="1"/>
      <c r="F6" s="1"/>
      <c r="G6" s="1"/>
      <c r="H6" s="1"/>
      <c r="I6" s="1"/>
    </row>
    <row r="7" spans="1:9" ht="17.25" customHeight="1">
      <c r="A7" s="497"/>
      <c r="B7" s="497"/>
      <c r="C7" s="497"/>
      <c r="D7" s="497"/>
      <c r="E7" s="497"/>
      <c r="F7" s="497"/>
      <c r="G7" s="497"/>
      <c r="H7" s="497"/>
      <c r="I7" s="497" t="s">
        <v>46</v>
      </c>
    </row>
    <row r="8" spans="1:9" ht="17.25" customHeight="1">
      <c r="A8" s="865" t="s">
        <v>47</v>
      </c>
      <c r="B8" s="865" t="s">
        <v>48</v>
      </c>
      <c r="C8" s="865" t="s">
        <v>49</v>
      </c>
      <c r="D8" s="865" t="s">
        <v>50</v>
      </c>
      <c r="E8" s="865" t="s">
        <v>51</v>
      </c>
      <c r="F8" s="865" t="s">
        <v>52</v>
      </c>
      <c r="G8" s="583" t="s">
        <v>53</v>
      </c>
      <c r="H8" s="626"/>
      <c r="I8" s="865" t="s">
        <v>54</v>
      </c>
    </row>
    <row r="9" spans="1:9" ht="39.75" customHeight="1">
      <c r="A9" s="867"/>
      <c r="B9" s="867"/>
      <c r="C9" s="867"/>
      <c r="D9" s="867"/>
      <c r="E9" s="867"/>
      <c r="F9" s="867"/>
      <c r="G9" s="9" t="s">
        <v>55</v>
      </c>
      <c r="H9" s="9" t="s">
        <v>56</v>
      </c>
      <c r="I9" s="867"/>
    </row>
    <row r="10" spans="1:9" ht="11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</row>
    <row r="11" spans="1:9" ht="12.75">
      <c r="A11" s="594" t="s">
        <v>943</v>
      </c>
      <c r="B11" s="622">
        <v>86200</v>
      </c>
      <c r="C11" s="622">
        <v>2294909</v>
      </c>
      <c r="D11" s="752">
        <v>22006</v>
      </c>
      <c r="E11" s="622">
        <v>12533753</v>
      </c>
      <c r="F11" s="403"/>
      <c r="G11" s="403"/>
      <c r="H11" s="403"/>
      <c r="I11" s="622">
        <f aca="true" t="shared" si="0" ref="I11:I43">SUM(B11:H11)</f>
        <v>14936868</v>
      </c>
    </row>
    <row r="12" spans="1:9" ht="12">
      <c r="A12" s="594" t="s">
        <v>944</v>
      </c>
      <c r="B12" s="403">
        <v>195000</v>
      </c>
      <c r="C12" s="403">
        <v>330072</v>
      </c>
      <c r="D12" s="192">
        <v>2162</v>
      </c>
      <c r="E12" s="622">
        <v>2182487</v>
      </c>
      <c r="F12" s="403"/>
      <c r="G12" s="403">
        <v>11250</v>
      </c>
      <c r="H12" s="403"/>
      <c r="I12" s="622">
        <f t="shared" si="0"/>
        <v>2720971</v>
      </c>
    </row>
    <row r="13" spans="1:9" ht="12" customHeight="1">
      <c r="A13" s="594" t="s">
        <v>945</v>
      </c>
      <c r="B13" s="403">
        <v>308000</v>
      </c>
      <c r="C13" s="403">
        <v>253536</v>
      </c>
      <c r="D13" s="192">
        <v>6125</v>
      </c>
      <c r="E13" s="622">
        <v>1252228</v>
      </c>
      <c r="F13" s="403"/>
      <c r="G13" s="403">
        <v>6092</v>
      </c>
      <c r="H13" s="403"/>
      <c r="I13" s="622">
        <f t="shared" si="0"/>
        <v>1825981</v>
      </c>
    </row>
    <row r="14" spans="1:9" ht="12" customHeight="1">
      <c r="A14" s="594" t="s">
        <v>946</v>
      </c>
      <c r="B14" s="403">
        <v>11500</v>
      </c>
      <c r="C14" s="403">
        <v>65680</v>
      </c>
      <c r="D14" s="192">
        <v>384</v>
      </c>
      <c r="E14" s="622">
        <v>975318</v>
      </c>
      <c r="F14" s="403"/>
      <c r="G14" s="403"/>
      <c r="H14" s="403"/>
      <c r="I14" s="622">
        <f t="shared" si="0"/>
        <v>1052882</v>
      </c>
    </row>
    <row r="15" spans="1:9" ht="12" customHeight="1">
      <c r="A15" s="594" t="s">
        <v>947</v>
      </c>
      <c r="B15" s="403">
        <v>335000</v>
      </c>
      <c r="C15" s="403">
        <v>330514</v>
      </c>
      <c r="D15" s="192">
        <v>2162</v>
      </c>
      <c r="E15" s="622">
        <v>1478113</v>
      </c>
      <c r="F15" s="403"/>
      <c r="G15" s="403"/>
      <c r="H15" s="403"/>
      <c r="I15" s="622">
        <f t="shared" si="0"/>
        <v>2145789</v>
      </c>
    </row>
    <row r="16" spans="1:9" ht="12" customHeight="1">
      <c r="A16" s="594" t="s">
        <v>948</v>
      </c>
      <c r="B16" s="403">
        <v>49300</v>
      </c>
      <c r="C16" s="403">
        <v>254479</v>
      </c>
      <c r="D16" s="192">
        <v>1801</v>
      </c>
      <c r="E16" s="403">
        <v>693375</v>
      </c>
      <c r="F16" s="403"/>
      <c r="G16" s="403">
        <v>7500</v>
      </c>
      <c r="H16" s="403"/>
      <c r="I16" s="622">
        <f t="shared" si="0"/>
        <v>1006455</v>
      </c>
    </row>
    <row r="17" spans="1:9" ht="12" customHeight="1">
      <c r="A17" s="594" t="s">
        <v>949</v>
      </c>
      <c r="C17" s="192">
        <v>22889</v>
      </c>
      <c r="D17" s="192">
        <v>1441</v>
      </c>
      <c r="E17" s="622">
        <v>773877</v>
      </c>
      <c r="F17" s="192"/>
      <c r="G17" s="192">
        <v>11250</v>
      </c>
      <c r="H17" s="192"/>
      <c r="I17" s="622">
        <f t="shared" si="0"/>
        <v>809457</v>
      </c>
    </row>
    <row r="18" spans="1:9" ht="12" customHeight="1">
      <c r="A18" s="594" t="s">
        <v>952</v>
      </c>
      <c r="B18" s="753">
        <f>4800+106000+10000+8000+22000+13000</f>
        <v>163800</v>
      </c>
      <c r="C18" s="403">
        <v>273812</v>
      </c>
      <c r="D18" s="192">
        <v>1441</v>
      </c>
      <c r="E18" s="622">
        <v>1206897</v>
      </c>
      <c r="F18" s="403"/>
      <c r="G18" s="403">
        <v>15750</v>
      </c>
      <c r="H18" s="403">
        <v>16163</v>
      </c>
      <c r="I18" s="622">
        <f t="shared" si="0"/>
        <v>1677863</v>
      </c>
    </row>
    <row r="19" spans="1:9" ht="12" customHeight="1">
      <c r="A19" s="594" t="s">
        <v>953</v>
      </c>
      <c r="B19" s="403">
        <f>5000+8000+800</f>
        <v>13800</v>
      </c>
      <c r="C19" s="403">
        <v>271738</v>
      </c>
      <c r="D19" s="192">
        <v>1802</v>
      </c>
      <c r="E19" s="403">
        <v>678234</v>
      </c>
      <c r="F19" s="403"/>
      <c r="G19" s="403"/>
      <c r="H19" s="403"/>
      <c r="I19" s="622">
        <f>SUM(B19:H19)</f>
        <v>965574</v>
      </c>
    </row>
    <row r="20" spans="1:9" ht="12" customHeight="1">
      <c r="A20" s="594" t="s">
        <v>954</v>
      </c>
      <c r="B20" s="403">
        <f>232500+5000</f>
        <v>237500</v>
      </c>
      <c r="C20" s="403">
        <v>224072</v>
      </c>
      <c r="D20" s="192">
        <v>2883</v>
      </c>
      <c r="E20" s="403">
        <v>750616</v>
      </c>
      <c r="F20" s="403"/>
      <c r="G20" s="403"/>
      <c r="H20" s="403">
        <v>3675</v>
      </c>
      <c r="I20" s="622">
        <f t="shared" si="0"/>
        <v>1218746</v>
      </c>
    </row>
    <row r="21" spans="1:9" ht="12" customHeight="1">
      <c r="A21" s="594" t="s">
        <v>955</v>
      </c>
      <c r="B21" s="403">
        <f>152000+10000+32200+8000+5000+28000</f>
        <v>235200</v>
      </c>
      <c r="C21" s="403">
        <v>401330</v>
      </c>
      <c r="D21" s="192">
        <v>2522</v>
      </c>
      <c r="E21" s="622">
        <v>1240779</v>
      </c>
      <c r="F21" s="403"/>
      <c r="G21" s="403">
        <v>9750</v>
      </c>
      <c r="H21" s="403"/>
      <c r="I21" s="622">
        <f t="shared" si="0"/>
        <v>1889581</v>
      </c>
    </row>
    <row r="22" spans="1:9" ht="12" customHeight="1">
      <c r="A22" s="594" t="s">
        <v>956</v>
      </c>
      <c r="B22" s="403">
        <f>6000+10500+2000+5000+5000</f>
        <v>28500</v>
      </c>
      <c r="C22" s="622">
        <v>674135</v>
      </c>
      <c r="D22" s="192">
        <v>2883</v>
      </c>
      <c r="E22" s="622">
        <v>1439205</v>
      </c>
      <c r="F22" s="403"/>
      <c r="G22" s="403">
        <v>19838</v>
      </c>
      <c r="H22" s="403">
        <v>15750</v>
      </c>
      <c r="I22" s="622">
        <f t="shared" si="0"/>
        <v>2180311</v>
      </c>
    </row>
    <row r="23" spans="1:9" ht="12" customHeight="1">
      <c r="A23" s="594" t="s">
        <v>957</v>
      </c>
      <c r="B23" s="403">
        <f>40300+13000+7000+14000+101000+30000</f>
        <v>205300</v>
      </c>
      <c r="C23" s="403">
        <v>220460</v>
      </c>
      <c r="D23" s="192">
        <v>1081</v>
      </c>
      <c r="E23" s="622">
        <v>876442</v>
      </c>
      <c r="F23" s="403"/>
      <c r="G23" s="403">
        <v>37500</v>
      </c>
      <c r="H23" s="403">
        <v>8325</v>
      </c>
      <c r="I23" s="622">
        <f t="shared" si="0"/>
        <v>1349108</v>
      </c>
    </row>
    <row r="24" spans="1:9" ht="12" customHeight="1">
      <c r="A24" s="594" t="s">
        <v>958</v>
      </c>
      <c r="B24" s="403">
        <f>114550+1450</f>
        <v>116000</v>
      </c>
      <c r="C24" s="403">
        <v>97550</v>
      </c>
      <c r="D24" s="192">
        <v>1802</v>
      </c>
      <c r="E24" s="622">
        <v>1051578</v>
      </c>
      <c r="F24" s="403"/>
      <c r="G24" s="403">
        <v>40763</v>
      </c>
      <c r="H24" s="403">
        <v>13620</v>
      </c>
      <c r="I24" s="622">
        <f t="shared" si="0"/>
        <v>1321313</v>
      </c>
    </row>
    <row r="25" spans="1:9" ht="12" customHeight="1">
      <c r="A25" s="594" t="s">
        <v>959</v>
      </c>
      <c r="B25" s="403">
        <f>38000</f>
        <v>38000</v>
      </c>
      <c r="C25" s="403">
        <v>102339</v>
      </c>
      <c r="D25" s="192">
        <v>1081</v>
      </c>
      <c r="E25" s="403">
        <v>741365</v>
      </c>
      <c r="F25" s="403"/>
      <c r="G25" s="403">
        <v>5250</v>
      </c>
      <c r="H25" s="403">
        <v>11250</v>
      </c>
      <c r="I25" s="622">
        <f t="shared" si="0"/>
        <v>899285</v>
      </c>
    </row>
    <row r="26" spans="1:9" ht="12" customHeight="1">
      <c r="A26" s="594" t="s">
        <v>960</v>
      </c>
      <c r="B26" s="403">
        <f>10000+15000</f>
        <v>25000</v>
      </c>
      <c r="C26" s="403">
        <v>186936</v>
      </c>
      <c r="D26" s="192">
        <v>1441</v>
      </c>
      <c r="E26" s="622">
        <v>911054</v>
      </c>
      <c r="F26" s="403"/>
      <c r="G26" s="403"/>
      <c r="H26" s="403">
        <v>19819</v>
      </c>
      <c r="I26" s="622">
        <f t="shared" si="0"/>
        <v>1144250</v>
      </c>
    </row>
    <row r="27" spans="1:9" ht="12" customHeight="1">
      <c r="A27" s="594" t="s">
        <v>961</v>
      </c>
      <c r="B27" s="403">
        <f>10000+107380+28000+4000+9500</f>
        <v>158880</v>
      </c>
      <c r="C27" s="403">
        <v>287900</v>
      </c>
      <c r="D27" s="192">
        <v>1802</v>
      </c>
      <c r="E27" s="622">
        <v>1214393</v>
      </c>
      <c r="F27" s="403"/>
      <c r="G27" s="403">
        <v>19819</v>
      </c>
      <c r="H27" s="403">
        <v>4215</v>
      </c>
      <c r="I27" s="622">
        <f t="shared" si="0"/>
        <v>1687009</v>
      </c>
    </row>
    <row r="28" spans="1:9" ht="12" customHeight="1">
      <c r="A28" s="594" t="s">
        <v>962</v>
      </c>
      <c r="B28" s="403">
        <f>4000</f>
        <v>4000</v>
      </c>
      <c r="C28" s="403">
        <v>117158</v>
      </c>
      <c r="D28" s="192">
        <v>1146</v>
      </c>
      <c r="E28" s="622">
        <v>871632</v>
      </c>
      <c r="F28" s="403"/>
      <c r="G28" s="403">
        <v>5250</v>
      </c>
      <c r="H28" s="403">
        <v>21638</v>
      </c>
      <c r="I28" s="622">
        <f t="shared" si="0"/>
        <v>1020824</v>
      </c>
    </row>
    <row r="29" spans="1:9" ht="12" customHeight="1">
      <c r="A29" s="594" t="s">
        <v>963</v>
      </c>
      <c r="B29" s="403">
        <f>235000+125000+120000+30500+30000</f>
        <v>540500</v>
      </c>
      <c r="C29" s="403">
        <v>312625</v>
      </c>
      <c r="D29" s="192">
        <v>1802</v>
      </c>
      <c r="E29" s="622">
        <v>990691</v>
      </c>
      <c r="F29" s="403"/>
      <c r="G29" s="403">
        <v>41400</v>
      </c>
      <c r="H29" s="403">
        <v>15475</v>
      </c>
      <c r="I29" s="622">
        <f t="shared" si="0"/>
        <v>1902493</v>
      </c>
    </row>
    <row r="30" spans="1:9" ht="12" customHeight="1">
      <c r="A30" s="594" t="s">
        <v>964</v>
      </c>
      <c r="B30" s="403">
        <f>5000+5500+4000+5000+7500</f>
        <v>27000</v>
      </c>
      <c r="C30" s="403">
        <v>343422</v>
      </c>
      <c r="D30" s="192">
        <v>1801</v>
      </c>
      <c r="E30" s="622">
        <v>1151193</v>
      </c>
      <c r="F30" s="403"/>
      <c r="G30" s="403">
        <v>31500</v>
      </c>
      <c r="H30" s="403">
        <v>10549</v>
      </c>
      <c r="I30" s="622">
        <f t="shared" si="0"/>
        <v>1565465</v>
      </c>
    </row>
    <row r="31" spans="1:9" ht="12" customHeight="1">
      <c r="A31" s="594" t="s">
        <v>965</v>
      </c>
      <c r="B31" s="403">
        <f>2000+3000+10600+1000</f>
        <v>16600</v>
      </c>
      <c r="C31" s="403">
        <v>95880</v>
      </c>
      <c r="D31" s="192">
        <v>1801</v>
      </c>
      <c r="E31" s="622">
        <v>929304</v>
      </c>
      <c r="F31" s="403"/>
      <c r="G31" s="403">
        <v>10200</v>
      </c>
      <c r="H31" s="403"/>
      <c r="I31" s="622">
        <f t="shared" si="0"/>
        <v>1053785</v>
      </c>
    </row>
    <row r="32" spans="1:9" ht="12" customHeight="1">
      <c r="A32" s="594" t="s">
        <v>966</v>
      </c>
      <c r="B32" s="403">
        <f>60300+130300+5000+6000</f>
        <v>201600</v>
      </c>
      <c r="C32" s="403">
        <v>92870</v>
      </c>
      <c r="D32" s="192">
        <v>1801</v>
      </c>
      <c r="E32" s="622">
        <v>760445</v>
      </c>
      <c r="F32" s="403"/>
      <c r="G32" s="403">
        <v>30135</v>
      </c>
      <c r="H32" s="403">
        <v>1411</v>
      </c>
      <c r="I32" s="622">
        <f t="shared" si="0"/>
        <v>1088262</v>
      </c>
    </row>
    <row r="33" spans="1:9" ht="12" customHeight="1">
      <c r="A33" s="594" t="s">
        <v>967</v>
      </c>
      <c r="B33" s="403">
        <f>448700+1000+4000+101600+1000</f>
        <v>556300</v>
      </c>
      <c r="C33" s="403">
        <v>175684</v>
      </c>
      <c r="D33" s="192">
        <v>3243</v>
      </c>
      <c r="E33" s="622">
        <v>1113576</v>
      </c>
      <c r="F33" s="403"/>
      <c r="G33" s="403">
        <v>4425</v>
      </c>
      <c r="H33" s="403"/>
      <c r="I33" s="622">
        <f t="shared" si="0"/>
        <v>1853228</v>
      </c>
    </row>
    <row r="34" spans="1:9" ht="12" customHeight="1">
      <c r="A34" s="594" t="s">
        <v>968</v>
      </c>
      <c r="B34" s="403">
        <f>8000+40000+23426</f>
        <v>71426</v>
      </c>
      <c r="C34" s="403">
        <v>163058</v>
      </c>
      <c r="D34" s="192">
        <v>2883</v>
      </c>
      <c r="E34" s="622">
        <v>1385743</v>
      </c>
      <c r="F34" s="403"/>
      <c r="G34" s="403"/>
      <c r="H34" s="403">
        <v>15675</v>
      </c>
      <c r="I34" s="622">
        <f t="shared" si="0"/>
        <v>1638785</v>
      </c>
    </row>
    <row r="35" spans="1:9" ht="12" customHeight="1">
      <c r="A35" s="594" t="s">
        <v>969</v>
      </c>
      <c r="B35" s="403">
        <f>155000+85000</f>
        <v>240000</v>
      </c>
      <c r="C35" s="403">
        <v>280029</v>
      </c>
      <c r="D35" s="192">
        <v>2883</v>
      </c>
      <c r="E35" s="622">
        <v>1116787</v>
      </c>
      <c r="F35" s="403"/>
      <c r="G35" s="403"/>
      <c r="H35" s="403">
        <v>27885</v>
      </c>
      <c r="I35" s="622">
        <f t="shared" si="0"/>
        <v>1667584</v>
      </c>
    </row>
    <row r="36" spans="1:9" ht="12" customHeight="1">
      <c r="A36" s="594" t="s">
        <v>970</v>
      </c>
      <c r="B36" s="403">
        <f>27000+60000+20000</f>
        <v>107000</v>
      </c>
      <c r="C36" s="403">
        <v>405532</v>
      </c>
      <c r="D36" s="192">
        <v>1801</v>
      </c>
      <c r="E36" s="622">
        <v>1118887</v>
      </c>
      <c r="F36" s="403"/>
      <c r="G36" s="403">
        <v>36000</v>
      </c>
      <c r="H36" s="403">
        <v>5250</v>
      </c>
      <c r="I36" s="622">
        <f t="shared" si="0"/>
        <v>1674470</v>
      </c>
    </row>
    <row r="37" spans="1:9" ht="12" customHeight="1">
      <c r="A37" s="594" t="s">
        <v>971</v>
      </c>
      <c r="B37" s="403">
        <f>110000+30000+3000+180000+25954+13000+54000+54000+69000</f>
        <v>538954</v>
      </c>
      <c r="C37" s="403">
        <v>385390</v>
      </c>
      <c r="D37" s="192">
        <v>5765</v>
      </c>
      <c r="E37" s="622">
        <v>2808436</v>
      </c>
      <c r="F37" s="403"/>
      <c r="G37" s="403">
        <v>12000</v>
      </c>
      <c r="H37" s="403"/>
      <c r="I37" s="622">
        <f t="shared" si="0"/>
        <v>3750545</v>
      </c>
    </row>
    <row r="38" spans="1:9" ht="12" customHeight="1">
      <c r="A38" s="594" t="s">
        <v>972</v>
      </c>
      <c r="B38" s="403">
        <f>170000+195000+12000+5000+2000+7000</f>
        <v>391000</v>
      </c>
      <c r="C38" s="403">
        <v>375802</v>
      </c>
      <c r="D38" s="192">
        <v>1801</v>
      </c>
      <c r="E38" s="622">
        <v>969294</v>
      </c>
      <c r="F38" s="403"/>
      <c r="G38" s="403">
        <v>5250</v>
      </c>
      <c r="H38" s="403"/>
      <c r="I38" s="622">
        <f t="shared" si="0"/>
        <v>1743147</v>
      </c>
    </row>
    <row r="39" spans="1:9" ht="12" customHeight="1">
      <c r="A39" s="594" t="s">
        <v>973</v>
      </c>
      <c r="B39" s="403">
        <f>5000+83400+5000+2000+24000+5000+9500</f>
        <v>133900</v>
      </c>
      <c r="C39" s="403">
        <v>172638</v>
      </c>
      <c r="D39" s="192">
        <v>2522</v>
      </c>
      <c r="E39" s="622">
        <v>1231815</v>
      </c>
      <c r="F39" s="403"/>
      <c r="G39" s="403">
        <v>17639</v>
      </c>
      <c r="H39" s="403"/>
      <c r="I39" s="622">
        <f t="shared" si="0"/>
        <v>1558514</v>
      </c>
    </row>
    <row r="40" spans="1:9" ht="12" customHeight="1">
      <c r="A40" s="594" t="s">
        <v>974</v>
      </c>
      <c r="B40" s="403">
        <f>110000+117300+5000+159000+10000+10000</f>
        <v>411300</v>
      </c>
      <c r="C40" s="403">
        <v>485008</v>
      </c>
      <c r="D40" s="192">
        <v>1801</v>
      </c>
      <c r="E40" s="622">
        <v>1316633</v>
      </c>
      <c r="F40" s="622"/>
      <c r="G40" s="622">
        <v>24600</v>
      </c>
      <c r="H40" s="622">
        <v>22800</v>
      </c>
      <c r="I40" s="622">
        <f t="shared" si="0"/>
        <v>2262142</v>
      </c>
    </row>
    <row r="41" spans="1:9" ht="12" customHeight="1">
      <c r="A41" s="594" t="s">
        <v>975</v>
      </c>
      <c r="B41" s="403">
        <f>47000+1000+3000</f>
        <v>51000</v>
      </c>
      <c r="C41" s="403">
        <v>126740</v>
      </c>
      <c r="D41" s="192">
        <v>2883</v>
      </c>
      <c r="E41" s="622">
        <v>786398</v>
      </c>
      <c r="F41" s="622"/>
      <c r="G41" s="622"/>
      <c r="H41" s="622"/>
      <c r="I41" s="622">
        <f t="shared" si="0"/>
        <v>967021</v>
      </c>
    </row>
    <row r="42" spans="1:9" ht="12" customHeight="1">
      <c r="A42" s="594" t="s">
        <v>976</v>
      </c>
      <c r="B42" s="403">
        <f>20000+15000</f>
        <v>35000</v>
      </c>
      <c r="C42" s="403">
        <v>547400</v>
      </c>
      <c r="D42" s="192">
        <v>3243</v>
      </c>
      <c r="E42" s="622">
        <v>1680690</v>
      </c>
      <c r="F42" s="622">
        <v>2795</v>
      </c>
      <c r="G42" s="622">
        <v>7500</v>
      </c>
      <c r="H42" s="622">
        <v>10500</v>
      </c>
      <c r="I42" s="622">
        <f t="shared" si="0"/>
        <v>2287128</v>
      </c>
    </row>
    <row r="43" spans="1:9" ht="12" customHeight="1">
      <c r="A43" s="594" t="s">
        <v>977</v>
      </c>
      <c r="B43" s="403"/>
      <c r="C43" s="403">
        <v>126390</v>
      </c>
      <c r="D43" s="192">
        <v>1377</v>
      </c>
      <c r="E43" s="403">
        <v>359684</v>
      </c>
      <c r="F43" s="553"/>
      <c r="G43" s="622">
        <v>21000</v>
      </c>
      <c r="H43" s="622"/>
      <c r="I43" s="622">
        <f t="shared" si="0"/>
        <v>508451</v>
      </c>
    </row>
    <row r="44" spans="1:9" ht="12" customHeight="1">
      <c r="A44" s="422" t="s">
        <v>979</v>
      </c>
      <c r="B44" s="627">
        <f aca="true" t="shared" si="1" ref="B44:I44">SUM(B11:B43)</f>
        <v>5532560</v>
      </c>
      <c r="C44" s="627">
        <f t="shared" si="1"/>
        <v>10497977</v>
      </c>
      <c r="D44" s="627">
        <f t="shared" si="1"/>
        <v>93372</v>
      </c>
      <c r="E44" s="627">
        <f t="shared" si="1"/>
        <v>48590922</v>
      </c>
      <c r="F44" s="627">
        <f t="shared" si="1"/>
        <v>2795</v>
      </c>
      <c r="G44" s="627">
        <f t="shared" si="1"/>
        <v>431661</v>
      </c>
      <c r="H44" s="627">
        <f t="shared" si="1"/>
        <v>224000</v>
      </c>
      <c r="I44" s="627">
        <f t="shared" si="1"/>
        <v>65373287</v>
      </c>
    </row>
    <row r="45" spans="1:9" ht="17.25" customHeight="1">
      <c r="A45" s="628"/>
      <c r="B45" s="629"/>
      <c r="C45" s="629"/>
      <c r="D45" s="629"/>
      <c r="E45" s="629"/>
      <c r="F45" s="629"/>
      <c r="G45" s="629"/>
      <c r="H45" s="629"/>
      <c r="I45" s="629"/>
    </row>
    <row r="46" spans="1:9" ht="17.25" customHeight="1">
      <c r="A46" s="628"/>
      <c r="B46" s="629"/>
      <c r="C46" s="629"/>
      <c r="D46" s="630"/>
      <c r="E46" s="629"/>
      <c r="F46" s="629"/>
      <c r="G46" s="629"/>
      <c r="H46" s="629"/>
      <c r="I46" s="629"/>
    </row>
    <row r="47" spans="1:9" ht="17.25" customHeight="1">
      <c r="A47" s="628"/>
      <c r="B47" s="629"/>
      <c r="C47" s="629"/>
      <c r="D47" s="629"/>
      <c r="E47" s="629"/>
      <c r="F47" s="629"/>
      <c r="G47" s="629"/>
      <c r="H47" s="629"/>
      <c r="I47" s="629"/>
    </row>
    <row r="48" spans="1:8" ht="17.25" customHeight="1">
      <c r="A48" s="631"/>
      <c r="B48" s="632"/>
      <c r="C48" s="633"/>
      <c r="D48" s="634"/>
      <c r="E48" s="634"/>
      <c r="F48" s="634"/>
      <c r="G48" s="634"/>
      <c r="H48" s="634"/>
    </row>
    <row r="49" spans="1:9" s="498" customFormat="1" ht="17.25" customHeight="1">
      <c r="A49" s="618"/>
      <c r="B49" s="618"/>
      <c r="C49" s="635"/>
      <c r="D49" s="510"/>
      <c r="E49" s="636"/>
      <c r="F49" s="618"/>
      <c r="G49" s="510"/>
      <c r="H49" s="636"/>
      <c r="I49" s="513"/>
    </row>
    <row r="50" spans="1:9" ht="17.25" customHeight="1">
      <c r="A50" s="637"/>
      <c r="B50" s="638"/>
      <c r="C50" s="638"/>
      <c r="D50" s="638"/>
      <c r="E50" s="510"/>
      <c r="F50" s="639"/>
      <c r="G50" s="639"/>
      <c r="H50" s="639"/>
      <c r="I50" s="510"/>
    </row>
    <row r="51" spans="1:7" ht="17.25" customHeight="1">
      <c r="A51" s="41" t="s">
        <v>188</v>
      </c>
      <c r="G51" s="39" t="s">
        <v>376</v>
      </c>
    </row>
    <row r="57" ht="17.25" customHeight="1">
      <c r="A57" s="493" t="s">
        <v>621</v>
      </c>
    </row>
    <row r="58" ht="17.25" customHeight="1">
      <c r="A58" s="493" t="s">
        <v>530</v>
      </c>
    </row>
    <row r="62" ht="17.25" customHeight="1">
      <c r="A62" s="38"/>
    </row>
  </sheetData>
  <mergeCells count="10">
    <mergeCell ref="A2:I2"/>
    <mergeCell ref="A4:I4"/>
    <mergeCell ref="A5:I5"/>
    <mergeCell ref="A8:A9"/>
    <mergeCell ref="B8:B9"/>
    <mergeCell ref="C8:C9"/>
    <mergeCell ref="D8:D9"/>
    <mergeCell ref="E8:E9"/>
    <mergeCell ref="F8:F9"/>
    <mergeCell ref="I8:I9"/>
  </mergeCells>
  <printOptions/>
  <pageMargins left="1.21" right="0.75" top="0.47" bottom="0.63" header="0.18" footer="0.26"/>
  <pageSetup firstPageNumber="48" useFirstPageNumber="1" horizontalDpi="600" verticalDpi="600" orientation="landscape" paperSize="9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CM59"/>
  <sheetViews>
    <sheetView workbookViewId="0" topLeftCell="A35">
      <selection activeCell="B47" sqref="B47"/>
    </sheetView>
  </sheetViews>
  <sheetFormatPr defaultColWidth="9.140625" defaultRowHeight="12.75"/>
  <cols>
    <col min="1" max="1" width="4.421875" style="49" customWidth="1"/>
    <col min="2" max="2" width="45.140625" style="49" customWidth="1"/>
    <col min="3" max="3" width="21.28125" style="49" customWidth="1"/>
    <col min="4" max="4" width="20.00390625" style="49" customWidth="1"/>
    <col min="92" max="16384" width="9.140625" style="49" customWidth="1"/>
  </cols>
  <sheetData>
    <row r="1" ht="12.75">
      <c r="D1" s="309" t="s">
        <v>57</v>
      </c>
    </row>
    <row r="2" spans="1:4" ht="12.75">
      <c r="A2" s="830" t="s">
        <v>337</v>
      </c>
      <c r="B2" s="830"/>
      <c r="C2" s="830"/>
      <c r="D2" s="830"/>
    </row>
    <row r="4" spans="1:91" s="578" customFormat="1" ht="15.75">
      <c r="A4" s="464" t="s">
        <v>58</v>
      </c>
      <c r="B4" s="464"/>
      <c r="C4" s="464"/>
      <c r="D4" s="464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19"/>
      <c r="AO4" s="519"/>
      <c r="AP4" s="519"/>
      <c r="AQ4" s="519"/>
      <c r="AR4" s="519"/>
      <c r="AS4" s="519"/>
      <c r="AT4" s="519"/>
      <c r="AU4" s="519"/>
      <c r="AV4" s="519"/>
      <c r="AW4" s="519"/>
      <c r="AX4" s="519"/>
      <c r="AY4" s="519"/>
      <c r="AZ4" s="519"/>
      <c r="BA4" s="519"/>
      <c r="BB4" s="519"/>
      <c r="BC4" s="519"/>
      <c r="BD4" s="519"/>
      <c r="BE4" s="519"/>
      <c r="BF4" s="519"/>
      <c r="BG4" s="519"/>
      <c r="BH4" s="519"/>
      <c r="BI4" s="519"/>
      <c r="BJ4" s="519"/>
      <c r="BK4" s="519"/>
      <c r="BL4" s="519"/>
      <c r="BM4" s="519"/>
      <c r="BN4" s="519"/>
      <c r="BO4" s="519"/>
      <c r="BP4" s="519"/>
      <c r="BQ4" s="519"/>
      <c r="BR4" s="519"/>
      <c r="BS4" s="519"/>
      <c r="BT4" s="519"/>
      <c r="BU4" s="519"/>
      <c r="BV4" s="519"/>
      <c r="BW4" s="519"/>
      <c r="BX4" s="519"/>
      <c r="BY4" s="519"/>
      <c r="BZ4" s="519"/>
      <c r="CA4" s="519"/>
      <c r="CB4" s="519"/>
      <c r="CC4" s="519"/>
      <c r="CD4" s="519"/>
      <c r="CE4" s="519"/>
      <c r="CF4" s="519"/>
      <c r="CG4" s="519"/>
      <c r="CH4" s="519"/>
      <c r="CI4" s="519"/>
      <c r="CJ4" s="519"/>
      <c r="CK4" s="519"/>
      <c r="CL4" s="519"/>
      <c r="CM4" s="519"/>
    </row>
    <row r="5" spans="1:91" s="578" customFormat="1" ht="15.75">
      <c r="A5" s="465" t="s">
        <v>309</v>
      </c>
      <c r="B5" s="464"/>
      <c r="C5" s="464"/>
      <c r="D5" s="464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  <c r="BH5" s="519"/>
      <c r="BI5" s="519"/>
      <c r="BJ5" s="519"/>
      <c r="BK5" s="519"/>
      <c r="BL5" s="519"/>
      <c r="BM5" s="519"/>
      <c r="BN5" s="519"/>
      <c r="BO5" s="519"/>
      <c r="BP5" s="519"/>
      <c r="BQ5" s="519"/>
      <c r="BR5" s="519"/>
      <c r="BS5" s="519"/>
      <c r="BT5" s="519"/>
      <c r="BU5" s="519"/>
      <c r="BV5" s="519"/>
      <c r="BW5" s="519"/>
      <c r="BX5" s="519"/>
      <c r="BY5" s="519"/>
      <c r="BZ5" s="519"/>
      <c r="CA5" s="519"/>
      <c r="CB5" s="519"/>
      <c r="CC5" s="519"/>
      <c r="CD5" s="519"/>
      <c r="CE5" s="519"/>
      <c r="CF5" s="519"/>
      <c r="CG5" s="519"/>
      <c r="CH5" s="519"/>
      <c r="CI5" s="519"/>
      <c r="CJ5" s="519"/>
      <c r="CK5" s="519"/>
      <c r="CL5" s="519"/>
      <c r="CM5" s="519"/>
    </row>
    <row r="7" spans="1:91" s="643" customFormat="1" ht="15">
      <c r="A7" s="640"/>
      <c r="B7" s="641" t="s">
        <v>59</v>
      </c>
      <c r="C7" s="642" t="s">
        <v>60</v>
      </c>
      <c r="D7" s="642" t="s">
        <v>61</v>
      </c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</row>
    <row r="8" spans="1:91" s="647" customFormat="1" ht="6" customHeight="1">
      <c r="A8" s="644"/>
      <c r="B8" s="645"/>
      <c r="C8" s="646"/>
      <c r="D8" s="645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</row>
    <row r="9" spans="1:91" s="5" customFormat="1" ht="15">
      <c r="A9" s="648" t="s">
        <v>62</v>
      </c>
      <c r="B9" s="649" t="s">
        <v>63</v>
      </c>
      <c r="D9" s="650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</row>
    <row r="10" spans="1:91" s="5" customFormat="1" ht="15">
      <c r="A10" s="648"/>
      <c r="B10" s="649" t="s">
        <v>64</v>
      </c>
      <c r="C10" s="651" t="s">
        <v>65</v>
      </c>
      <c r="D10" s="65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</row>
    <row r="11" spans="1:91" s="5" customFormat="1" ht="8.25" customHeight="1">
      <c r="A11" s="648"/>
      <c r="B11" s="649"/>
      <c r="C11" s="651"/>
      <c r="D11" s="65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</row>
    <row r="12" spans="1:91" s="5" customFormat="1" ht="14.25">
      <c r="A12" s="653"/>
      <c r="B12" s="654" t="s">
        <v>66</v>
      </c>
      <c r="C12" s="655">
        <v>20</v>
      </c>
      <c r="D12" s="655">
        <v>10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</row>
    <row r="13" spans="1:91" s="5" customFormat="1" ht="14.25">
      <c r="A13" s="653"/>
      <c r="B13" s="654" t="s">
        <v>670</v>
      </c>
      <c r="C13" s="655">
        <v>46</v>
      </c>
      <c r="D13" s="655">
        <v>33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</row>
    <row r="14" spans="1:91" s="5" customFormat="1" ht="14.25">
      <c r="A14" s="653"/>
      <c r="B14" s="654" t="s">
        <v>67</v>
      </c>
      <c r="C14" s="655">
        <v>62</v>
      </c>
      <c r="D14" s="655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</row>
    <row r="15" spans="1:91" s="5" customFormat="1" ht="14.25">
      <c r="A15" s="653"/>
      <c r="B15" s="654" t="s">
        <v>68</v>
      </c>
      <c r="C15" s="655">
        <v>79</v>
      </c>
      <c r="D15" s="65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</row>
    <row r="16" spans="1:91" s="5" customFormat="1" ht="14.25">
      <c r="A16" s="653"/>
      <c r="B16" s="656" t="s">
        <v>671</v>
      </c>
      <c r="C16" s="655"/>
      <c r="D16" s="655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s="5" customFormat="1" ht="6" customHeight="1">
      <c r="A17" s="657"/>
      <c r="B17" s="650"/>
      <c r="C17" s="374"/>
      <c r="D17" s="658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1:91" s="5" customFormat="1" ht="15">
      <c r="A18" s="648" t="s">
        <v>69</v>
      </c>
      <c r="B18" s="649" t="s">
        <v>70</v>
      </c>
      <c r="C18" s="651" t="s">
        <v>71</v>
      </c>
      <c r="D18" s="652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 s="5" customFormat="1" ht="15">
      <c r="A19" s="648"/>
      <c r="B19" s="649" t="s">
        <v>72</v>
      </c>
      <c r="C19" s="49"/>
      <c r="D19" s="65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</row>
    <row r="20" spans="1:91" s="5" customFormat="1" ht="16.5" customHeight="1">
      <c r="A20" s="653"/>
      <c r="C20" s="660" t="s">
        <v>73</v>
      </c>
      <c r="D20" s="660" t="s">
        <v>74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s="5" customFormat="1" ht="14.25">
      <c r="A21" s="653"/>
      <c r="B21" s="661" t="s">
        <v>75</v>
      </c>
      <c r="C21" s="662" t="s">
        <v>76</v>
      </c>
      <c r="D21" s="662" t="s">
        <v>76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s="5" customFormat="1" ht="14.25">
      <c r="A22" s="653"/>
      <c r="B22" s="654" t="s">
        <v>77</v>
      </c>
      <c r="C22" s="663" t="s">
        <v>78</v>
      </c>
      <c r="D22" s="663" t="s">
        <v>79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91" s="5" customFormat="1" ht="14.25">
      <c r="A23" s="653"/>
      <c r="B23" s="654" t="s">
        <v>80</v>
      </c>
      <c r="C23" s="663" t="s">
        <v>81</v>
      </c>
      <c r="D23" s="663" t="s">
        <v>79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</row>
    <row r="24" spans="1:91" s="5" customFormat="1" ht="14.25">
      <c r="A24" s="653"/>
      <c r="B24" s="654" t="s">
        <v>82</v>
      </c>
      <c r="C24" s="663" t="s">
        <v>83</v>
      </c>
      <c r="D24" s="66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</row>
    <row r="25" spans="1:91" s="5" customFormat="1" ht="14.25">
      <c r="A25" s="653"/>
      <c r="B25" s="654" t="s">
        <v>84</v>
      </c>
      <c r="C25" s="663" t="s">
        <v>85</v>
      </c>
      <c r="D25" s="664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</row>
    <row r="26" spans="1:91" s="5" customFormat="1" ht="14.25">
      <c r="A26" s="653"/>
      <c r="B26" s="654"/>
      <c r="C26" s="663"/>
      <c r="D26" s="663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</row>
    <row r="27" spans="1:91" s="5" customFormat="1" ht="12" customHeight="1">
      <c r="A27" s="653"/>
      <c r="B27" s="650"/>
      <c r="C27" s="665"/>
      <c r="D27" s="649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</row>
    <row r="28" spans="1:91" s="5" customFormat="1" ht="15">
      <c r="A28" s="648" t="s">
        <v>86</v>
      </c>
      <c r="B28" s="649" t="s">
        <v>87</v>
      </c>
      <c r="D28" s="650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</row>
    <row r="29" spans="1:91" s="5" customFormat="1" ht="15">
      <c r="A29" s="648"/>
      <c r="B29" s="649" t="s">
        <v>88</v>
      </c>
      <c r="C29" s="651" t="s">
        <v>65</v>
      </c>
      <c r="D29" s="652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</row>
    <row r="30" spans="1:4" ht="12" customHeight="1">
      <c r="A30" s="666"/>
      <c r="B30" s="667"/>
      <c r="D30" s="668"/>
    </row>
    <row r="31" spans="1:91" s="5" customFormat="1" ht="14.25">
      <c r="A31" s="653"/>
      <c r="B31" s="654" t="s">
        <v>77</v>
      </c>
      <c r="C31" s="655">
        <v>0</v>
      </c>
      <c r="D31" s="655">
        <v>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</row>
    <row r="32" spans="1:91" s="5" customFormat="1" ht="14.25">
      <c r="A32" s="653"/>
      <c r="B32" s="654" t="s">
        <v>80</v>
      </c>
      <c r="C32" s="655">
        <v>0</v>
      </c>
      <c r="D32" s="655">
        <v>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</row>
    <row r="33" spans="1:91" s="5" customFormat="1" ht="14.25">
      <c r="A33" s="653"/>
      <c r="B33" s="654" t="s">
        <v>82</v>
      </c>
      <c r="C33" s="655">
        <v>0</v>
      </c>
      <c r="D33" s="655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</row>
    <row r="34" spans="1:91" s="5" customFormat="1" ht="14.25">
      <c r="A34" s="653"/>
      <c r="B34" s="654" t="s">
        <v>84</v>
      </c>
      <c r="C34" s="655">
        <v>0</v>
      </c>
      <c r="D34" s="655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</row>
    <row r="35" spans="1:91" s="5" customFormat="1" ht="14.25">
      <c r="A35" s="653"/>
      <c r="B35" s="654"/>
      <c r="C35" s="655"/>
      <c r="D35" s="65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</row>
    <row r="36" spans="1:4" ht="12.75">
      <c r="A36" s="666"/>
      <c r="B36" s="659"/>
      <c r="C36" s="389"/>
      <c r="D36" s="669"/>
    </row>
    <row r="37" spans="1:91" s="5" customFormat="1" ht="15">
      <c r="A37" s="648" t="s">
        <v>89</v>
      </c>
      <c r="B37" s="649" t="s">
        <v>672</v>
      </c>
      <c r="D37" s="650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</row>
    <row r="38" spans="1:91" s="5" customFormat="1" ht="15">
      <c r="A38" s="648"/>
      <c r="B38" s="649" t="s">
        <v>90</v>
      </c>
      <c r="C38" s="651" t="s">
        <v>65</v>
      </c>
      <c r="D38" s="652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</row>
    <row r="39" spans="1:4" ht="12" customHeight="1">
      <c r="A39" s="666"/>
      <c r="B39" s="667"/>
      <c r="D39" s="659"/>
    </row>
    <row r="40" spans="1:91" s="5" customFormat="1" ht="14.25">
      <c r="A40" s="653"/>
      <c r="B40" s="654" t="s">
        <v>66</v>
      </c>
      <c r="C40" s="655">
        <v>295</v>
      </c>
      <c r="D40" s="655">
        <v>299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</row>
    <row r="41" spans="1:91" s="5" customFormat="1" ht="14.25">
      <c r="A41" s="653"/>
      <c r="B41" s="654" t="s">
        <v>673</v>
      </c>
      <c r="C41" s="655">
        <v>606</v>
      </c>
      <c r="D41" s="655">
        <v>631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</row>
    <row r="42" spans="1:91" s="5" customFormat="1" ht="14.25">
      <c r="A42" s="653"/>
      <c r="B42" s="654" t="s">
        <v>91</v>
      </c>
      <c r="C42" s="655">
        <v>920</v>
      </c>
      <c r="D42" s="655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</row>
    <row r="43" spans="1:91" s="5" customFormat="1" ht="14.25">
      <c r="A43" s="653"/>
      <c r="B43" s="654" t="s">
        <v>92</v>
      </c>
      <c r="C43" s="655">
        <v>1247</v>
      </c>
      <c r="D43" s="655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</row>
    <row r="44" spans="1:4" ht="12.75">
      <c r="A44" s="809"/>
      <c r="B44" s="670" t="s">
        <v>674</v>
      </c>
      <c r="D44" s="671"/>
    </row>
    <row r="45" spans="1:4" ht="12.75">
      <c r="A45" s="810"/>
      <c r="B45" s="673" t="s">
        <v>675</v>
      </c>
      <c r="C45" s="672"/>
      <c r="D45" s="674"/>
    </row>
    <row r="50" ht="12.75">
      <c r="A50" s="49" t="s">
        <v>676</v>
      </c>
    </row>
    <row r="53" ht="12.75">
      <c r="A53" s="38" t="s">
        <v>334</v>
      </c>
    </row>
    <row r="54" spans="1:91" s="38" customFormat="1" ht="12.75">
      <c r="A54" s="38" t="s">
        <v>880</v>
      </c>
      <c r="B54" s="49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</row>
    <row r="58" spans="2:91" s="38" customFormat="1" ht="10.5" customHeight="1">
      <c r="B58" s="49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</row>
    <row r="59" spans="2:91" s="38" customFormat="1" ht="12.75">
      <c r="B59" s="4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</row>
  </sheetData>
  <mergeCells count="1">
    <mergeCell ref="A2:D2"/>
  </mergeCells>
  <printOptions/>
  <pageMargins left="0.75" right="0.27" top="0.51" bottom="0.2" header="0.5" footer="0.5"/>
  <pageSetup firstPageNumber="50" useFirstPageNumber="1" horizontalDpi="600" verticalDpi="600" orientation="portrait" paperSize="9" r:id="rId1"/>
  <headerFooter alignWithMargins="0">
    <oddFooter>&amp;R&amp;9&amp;P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C229"/>
  <sheetViews>
    <sheetView workbookViewId="0" topLeftCell="K82">
      <selection activeCell="K98" sqref="K98"/>
    </sheetView>
  </sheetViews>
  <sheetFormatPr defaultColWidth="9.140625" defaultRowHeight="12.75"/>
  <cols>
    <col min="1" max="1" width="46.8515625" style="49" customWidth="1"/>
    <col min="2" max="2" width="10.57421875" style="49" customWidth="1"/>
    <col min="3" max="3" width="9.57421875" style="49" customWidth="1"/>
    <col min="4" max="4" width="5.8515625" style="49" customWidth="1"/>
    <col min="5" max="5" width="10.57421875" style="49" customWidth="1"/>
    <col min="6" max="6" width="9.57421875" style="49" customWidth="1"/>
    <col min="7" max="7" width="5.8515625" style="49" customWidth="1"/>
    <col min="8" max="8" width="10.57421875" style="49" customWidth="1"/>
    <col min="9" max="9" width="8.8515625" style="49" customWidth="1"/>
    <col min="10" max="10" width="6.140625" style="49" customWidth="1"/>
    <col min="11" max="11" width="47.28125" style="49" customWidth="1"/>
    <col min="12" max="12" width="9.8515625" style="49" customWidth="1"/>
    <col min="13" max="13" width="9.140625" style="49" customWidth="1"/>
    <col min="14" max="14" width="7.7109375" style="49" customWidth="1"/>
    <col min="15" max="15" width="10.140625" style="49" customWidth="1"/>
    <col min="16" max="16" width="8.8515625" style="49" customWidth="1"/>
    <col min="17" max="17" width="7.8515625" style="49" customWidth="1"/>
    <col min="18" max="18" width="10.140625" style="49" customWidth="1"/>
    <col min="19" max="19" width="8.8515625" style="49" customWidth="1"/>
    <col min="20" max="20" width="8.140625" style="49" customWidth="1"/>
    <col min="21" max="107" width="9.8515625" style="0" customWidth="1"/>
    <col min="108" max="16384" width="9.8515625" style="49" customWidth="1"/>
  </cols>
  <sheetData>
    <row r="1" ht="12.75">
      <c r="T1" s="309" t="s">
        <v>93</v>
      </c>
    </row>
    <row r="2" spans="1:19" ht="17.25" customHeight="1">
      <c r="A2" s="51" t="s">
        <v>379</v>
      </c>
      <c r="B2" s="51"/>
      <c r="C2" s="179"/>
      <c r="D2" s="51"/>
      <c r="E2" s="51"/>
      <c r="F2" s="179"/>
      <c r="G2" s="179"/>
      <c r="H2" s="179"/>
      <c r="I2" s="179"/>
      <c r="K2" s="51" t="s">
        <v>379</v>
      </c>
      <c r="L2" s="51"/>
      <c r="M2" s="179"/>
      <c r="N2" s="51"/>
      <c r="O2" s="51"/>
      <c r="P2" s="179"/>
      <c r="Q2" s="179"/>
      <c r="R2" s="179"/>
      <c r="S2" s="179"/>
    </row>
    <row r="3" spans="1:20" ht="12.75">
      <c r="A3" s="51"/>
      <c r="B3" s="51"/>
      <c r="C3" s="179"/>
      <c r="D3" s="51"/>
      <c r="E3" s="51"/>
      <c r="F3" s="179"/>
      <c r="G3" s="179"/>
      <c r="H3" s="179"/>
      <c r="I3" s="179"/>
      <c r="J3" s="1"/>
      <c r="K3" s="51"/>
      <c r="L3" s="51"/>
      <c r="M3" s="179"/>
      <c r="N3" s="51"/>
      <c r="O3" s="51"/>
      <c r="P3" s="179"/>
      <c r="Q3" s="179"/>
      <c r="R3" s="179"/>
      <c r="S3" s="179"/>
      <c r="T3" s="1"/>
    </row>
    <row r="4" spans="1:20" ht="18.75" customHeight="1">
      <c r="A4" s="831" t="s">
        <v>94</v>
      </c>
      <c r="B4" s="831"/>
      <c r="C4" s="831"/>
      <c r="D4" s="831"/>
      <c r="E4" s="831"/>
      <c r="F4" s="831"/>
      <c r="G4" s="831"/>
      <c r="H4" s="831"/>
      <c r="I4" s="831"/>
      <c r="J4" s="831"/>
      <c r="K4" s="831" t="s">
        <v>95</v>
      </c>
      <c r="L4" s="831"/>
      <c r="M4" s="831"/>
      <c r="N4" s="831"/>
      <c r="O4" s="831"/>
      <c r="P4" s="831"/>
      <c r="Q4" s="831"/>
      <c r="R4" s="831"/>
      <c r="S4" s="831"/>
      <c r="T4" s="831"/>
    </row>
    <row r="5" spans="1:20" ht="18.75" customHeight="1">
      <c r="A5" s="831" t="s">
        <v>96</v>
      </c>
      <c r="B5" s="831"/>
      <c r="C5" s="831"/>
      <c r="D5" s="831"/>
      <c r="E5" s="831"/>
      <c r="F5" s="831"/>
      <c r="G5" s="831"/>
      <c r="H5" s="831"/>
      <c r="I5" s="831"/>
      <c r="J5" s="831"/>
      <c r="K5" s="831" t="s">
        <v>96</v>
      </c>
      <c r="L5" s="831"/>
      <c r="M5" s="831"/>
      <c r="N5" s="831"/>
      <c r="O5" s="831"/>
      <c r="P5" s="831"/>
      <c r="Q5" s="831"/>
      <c r="R5" s="831"/>
      <c r="S5" s="831"/>
      <c r="T5" s="831"/>
    </row>
    <row r="6" spans="1:20" ht="19.5" customHeight="1">
      <c r="A6" s="831" t="s">
        <v>668</v>
      </c>
      <c r="B6" s="831"/>
      <c r="C6" s="831"/>
      <c r="D6" s="831"/>
      <c r="E6" s="831"/>
      <c r="F6" s="831"/>
      <c r="G6" s="831"/>
      <c r="H6" s="831"/>
      <c r="I6" s="831"/>
      <c r="J6" s="831"/>
      <c r="K6" s="840" t="s">
        <v>309</v>
      </c>
      <c r="L6" s="840"/>
      <c r="M6" s="840"/>
      <c r="N6" s="840"/>
      <c r="O6" s="840"/>
      <c r="P6" s="840"/>
      <c r="Q6" s="840"/>
      <c r="R6" s="840"/>
      <c r="S6" s="840"/>
      <c r="T6" s="840"/>
    </row>
    <row r="7" spans="1:20" ht="11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1.25" customHeight="1">
      <c r="A8" s="48"/>
      <c r="B8" s="48"/>
      <c r="C8" s="48"/>
      <c r="D8" s="48"/>
      <c r="E8" s="48"/>
      <c r="F8" s="48"/>
      <c r="G8" s="48"/>
      <c r="H8" s="48"/>
      <c r="I8" s="48"/>
      <c r="J8" s="2" t="s">
        <v>742</v>
      </c>
      <c r="K8" s="48"/>
      <c r="L8" s="48"/>
      <c r="M8" s="48"/>
      <c r="N8" s="48"/>
      <c r="O8" s="48"/>
      <c r="P8" s="48"/>
      <c r="Q8" s="48"/>
      <c r="R8" s="48"/>
      <c r="S8" s="48"/>
      <c r="T8" s="2" t="s">
        <v>240</v>
      </c>
    </row>
    <row r="9" spans="1:20" s="38" customFormat="1" ht="24" customHeight="1">
      <c r="A9" s="675"/>
      <c r="B9" s="881" t="s">
        <v>97</v>
      </c>
      <c r="C9" s="882"/>
      <c r="D9" s="883"/>
      <c r="E9" s="881" t="s">
        <v>98</v>
      </c>
      <c r="F9" s="882"/>
      <c r="G9" s="883"/>
      <c r="H9" s="884" t="s">
        <v>99</v>
      </c>
      <c r="I9" s="885"/>
      <c r="J9" s="886"/>
      <c r="K9" s="675"/>
      <c r="L9" s="881" t="s">
        <v>97</v>
      </c>
      <c r="M9" s="882"/>
      <c r="N9" s="883"/>
      <c r="O9" s="881" t="s">
        <v>98</v>
      </c>
      <c r="P9" s="882"/>
      <c r="Q9" s="883"/>
      <c r="R9" s="884" t="s">
        <v>99</v>
      </c>
      <c r="S9" s="885"/>
      <c r="T9" s="886"/>
    </row>
    <row r="10" spans="1:20" ht="56.25">
      <c r="A10" s="592" t="s">
        <v>193</v>
      </c>
      <c r="B10" s="676" t="s">
        <v>100</v>
      </c>
      <c r="C10" s="9" t="s">
        <v>101</v>
      </c>
      <c r="D10" s="9" t="s">
        <v>813</v>
      </c>
      <c r="E10" s="9" t="s">
        <v>100</v>
      </c>
      <c r="F10" s="9" t="s">
        <v>101</v>
      </c>
      <c r="G10" s="9" t="s">
        <v>102</v>
      </c>
      <c r="H10" s="9" t="s">
        <v>100</v>
      </c>
      <c r="I10" s="9" t="s">
        <v>101</v>
      </c>
      <c r="J10" s="9" t="s">
        <v>103</v>
      </c>
      <c r="K10" s="592" t="s">
        <v>193</v>
      </c>
      <c r="L10" s="676" t="s">
        <v>100</v>
      </c>
      <c r="M10" s="9" t="s">
        <v>101</v>
      </c>
      <c r="N10" s="9" t="s">
        <v>813</v>
      </c>
      <c r="O10" s="9" t="s">
        <v>100</v>
      </c>
      <c r="P10" s="9" t="s">
        <v>101</v>
      </c>
      <c r="Q10" s="9" t="s">
        <v>102</v>
      </c>
      <c r="R10" s="9" t="s">
        <v>100</v>
      </c>
      <c r="S10" s="9" t="s">
        <v>101</v>
      </c>
      <c r="T10" s="9" t="s">
        <v>103</v>
      </c>
    </row>
    <row r="11" spans="1:20" ht="12.75">
      <c r="A11" s="592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592">
        <v>1</v>
      </c>
      <c r="L11" s="9">
        <v>2</v>
      </c>
      <c r="M11" s="9">
        <v>3</v>
      </c>
      <c r="N11" s="9">
        <v>4</v>
      </c>
      <c r="O11" s="9">
        <v>5</v>
      </c>
      <c r="P11" s="9">
        <v>6</v>
      </c>
      <c r="Q11" s="9">
        <v>7</v>
      </c>
      <c r="R11" s="9">
        <v>8</v>
      </c>
      <c r="S11" s="9">
        <v>9</v>
      </c>
      <c r="T11" s="9">
        <v>10</v>
      </c>
    </row>
    <row r="12" spans="1:107" ht="12.75">
      <c r="A12" s="466" t="s">
        <v>12</v>
      </c>
      <c r="B12" s="396">
        <f>B19+B23+B26+B30+B35+B40+B46+B51+B56+B59+B63+B66+B69+B72+B77+B79+B83+B81+B85</f>
        <v>103812481</v>
      </c>
      <c r="C12" s="396">
        <f aca="true" t="shared" si="0" ref="C12:I12">C19+C23+C26+C30+C35+C40+C46+C51+C56+C59+C63+C66+C69+C72+C77+C79+C83+C81+C85</f>
        <v>41269787</v>
      </c>
      <c r="D12" s="677">
        <f aca="true" t="shared" si="1" ref="D12:D75">C12/B12*100</f>
        <v>39.75416693875181</v>
      </c>
      <c r="E12" s="396">
        <f>E19+E23+E26+E30+E35+E40+E46+E51+E56+E59+E63+E66+E69+E72+E77+E79+E83+E81+E85</f>
        <v>100366224</v>
      </c>
      <c r="F12" s="396">
        <f>F19+F23+F26+F30+F35+F40+F46+F51+F56+F59+F63+F66+F69+F72+F77+F79+F83+F81+F85</f>
        <v>36727873</v>
      </c>
      <c r="G12" s="677">
        <f aca="true" t="shared" si="2" ref="G12:G75">F12/E12*100</f>
        <v>36.593857511267935</v>
      </c>
      <c r="H12" s="396">
        <f t="shared" si="0"/>
        <v>145335515</v>
      </c>
      <c r="I12" s="396">
        <f t="shared" si="0"/>
        <v>1817330</v>
      </c>
      <c r="J12" s="677">
        <f>I12/H12*100</f>
        <v>1.2504376511137005</v>
      </c>
      <c r="K12" s="466" t="s">
        <v>12</v>
      </c>
      <c r="L12" s="396">
        <f>L19+L23+L26+L30+L35+L40+L46+L51+L56+L59+L63+L66+L69+L72+L77+L79+L83+L81+L85</f>
        <v>103812</v>
      </c>
      <c r="M12" s="396">
        <f aca="true" t="shared" si="3" ref="M12:S12">M19+M23+M26+M30+M35+M40+M46+M51+M56+M59+M63+M66+M69+M72+M77+M79+M83+M81+M85</f>
        <v>41270</v>
      </c>
      <c r="N12" s="677">
        <f aca="true" t="shared" si="4" ref="N12:N75">M12/L12*100</f>
        <v>39.75455631333564</v>
      </c>
      <c r="O12" s="396">
        <f t="shared" si="3"/>
        <v>100366</v>
      </c>
      <c r="P12" s="396">
        <f t="shared" si="3"/>
        <v>36728</v>
      </c>
      <c r="Q12" s="677">
        <f aca="true" t="shared" si="5" ref="Q12:Q75">P12/O12*100</f>
        <v>36.59406571946675</v>
      </c>
      <c r="R12" s="396">
        <f t="shared" si="3"/>
        <v>145335</v>
      </c>
      <c r="S12" s="396">
        <f t="shared" si="3"/>
        <v>1817</v>
      </c>
      <c r="T12" s="677">
        <f>S12/R12*100</f>
        <v>1.2502150204699487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</row>
    <row r="13" spans="1:107" s="680" customFormat="1" ht="15" customHeight="1">
      <c r="A13" s="678" t="s">
        <v>104</v>
      </c>
      <c r="B13" s="478">
        <f>B31+B52+B73</f>
        <v>250090</v>
      </c>
      <c r="C13" s="478">
        <f>C31+C52+C73</f>
        <v>0</v>
      </c>
      <c r="D13" s="568">
        <f t="shared" si="1"/>
        <v>0</v>
      </c>
      <c r="E13" s="478">
        <f>E31+E52+E73</f>
        <v>221504</v>
      </c>
      <c r="F13" s="478">
        <f>F31+F52+F73</f>
        <v>0</v>
      </c>
      <c r="G13" s="568">
        <f t="shared" si="2"/>
        <v>0</v>
      </c>
      <c r="H13" s="478">
        <f>H31+H52+H73</f>
        <v>884917</v>
      </c>
      <c r="I13" s="478">
        <f>I31+I52+I73</f>
        <v>0</v>
      </c>
      <c r="J13" s="568">
        <f aca="true" t="shared" si="6" ref="J13:J75">I13/H13*100</f>
        <v>0</v>
      </c>
      <c r="K13" s="678" t="s">
        <v>104</v>
      </c>
      <c r="L13" s="478">
        <f>L31+L52+L73</f>
        <v>250</v>
      </c>
      <c r="M13" s="478">
        <f>M31+M52+M73</f>
        <v>0</v>
      </c>
      <c r="N13" s="568">
        <f t="shared" si="4"/>
        <v>0</v>
      </c>
      <c r="O13" s="478">
        <f>O31+O52+O73</f>
        <v>221</v>
      </c>
      <c r="P13" s="478">
        <f>P31+P52+P73</f>
        <v>0</v>
      </c>
      <c r="Q13" s="568">
        <f t="shared" si="5"/>
        <v>0</v>
      </c>
      <c r="R13" s="478">
        <f>R31+R52+R73</f>
        <v>885</v>
      </c>
      <c r="S13" s="478">
        <f>S31+S52+S73</f>
        <v>0</v>
      </c>
      <c r="T13" s="568">
        <f aca="true" t="shared" si="7" ref="T13:T75">S13/R13*100</f>
        <v>0</v>
      </c>
      <c r="U13" s="679"/>
      <c r="V13" s="679"/>
      <c r="W13" s="679"/>
      <c r="X13" s="679"/>
      <c r="Y13" s="679"/>
      <c r="Z13" s="679"/>
      <c r="AA13" s="679"/>
      <c r="AB13" s="679"/>
      <c r="AC13" s="679"/>
      <c r="AD13" s="679"/>
      <c r="AE13" s="679"/>
      <c r="AF13" s="679"/>
      <c r="AG13" s="679"/>
      <c r="AH13" s="679"/>
      <c r="AI13" s="679"/>
      <c r="AJ13" s="679"/>
      <c r="AK13" s="679"/>
      <c r="AL13" s="679"/>
      <c r="AM13" s="679"/>
      <c r="AN13" s="679"/>
      <c r="AO13" s="679"/>
      <c r="AP13" s="679"/>
      <c r="AQ13" s="679"/>
      <c r="AR13" s="679"/>
      <c r="AS13" s="679"/>
      <c r="AT13" s="679"/>
      <c r="AU13" s="679"/>
      <c r="AV13" s="679"/>
      <c r="AW13" s="679"/>
      <c r="AX13" s="679"/>
      <c r="AY13" s="679"/>
      <c r="AZ13" s="679"/>
      <c r="BA13" s="679"/>
      <c r="BB13" s="679"/>
      <c r="BC13" s="679"/>
      <c r="BD13" s="679"/>
      <c r="BE13" s="679"/>
      <c r="BF13" s="679"/>
      <c r="BG13" s="679"/>
      <c r="BH13" s="679"/>
      <c r="BI13" s="679"/>
      <c r="BJ13" s="679"/>
      <c r="BK13" s="679"/>
      <c r="BL13" s="679"/>
      <c r="BM13" s="679"/>
      <c r="BN13" s="679"/>
      <c r="BO13" s="679"/>
      <c r="BP13" s="679"/>
      <c r="BQ13" s="679"/>
      <c r="BR13" s="679"/>
      <c r="BS13" s="679"/>
      <c r="BT13" s="679"/>
      <c r="BU13" s="679"/>
      <c r="BV13" s="679"/>
      <c r="BW13" s="679"/>
      <c r="BX13" s="679"/>
      <c r="BY13" s="679"/>
      <c r="BZ13" s="679"/>
      <c r="CA13" s="679"/>
      <c r="CB13" s="679"/>
      <c r="CC13" s="679"/>
      <c r="CD13" s="679"/>
      <c r="CE13" s="679"/>
      <c r="CF13" s="679"/>
      <c r="CG13" s="679"/>
      <c r="CH13" s="679"/>
      <c r="CI13" s="679"/>
      <c r="CJ13" s="679"/>
      <c r="CK13" s="679"/>
      <c r="CL13" s="679"/>
      <c r="CM13" s="679"/>
      <c r="CN13" s="679"/>
      <c r="CO13" s="679"/>
      <c r="CP13" s="679"/>
      <c r="CQ13" s="679"/>
      <c r="CR13" s="679"/>
      <c r="CS13" s="679"/>
      <c r="CT13" s="679"/>
      <c r="CU13" s="679"/>
      <c r="CV13" s="679"/>
      <c r="CW13" s="679"/>
      <c r="CX13" s="679"/>
      <c r="CY13" s="679"/>
      <c r="CZ13" s="679"/>
      <c r="DA13" s="679"/>
      <c r="DB13" s="679"/>
      <c r="DC13" s="679"/>
    </row>
    <row r="14" spans="1:107" s="680" customFormat="1" ht="15" customHeight="1">
      <c r="A14" s="678" t="s">
        <v>477</v>
      </c>
      <c r="B14" s="478">
        <f>B32+B36+B41+B53+B60+B74</f>
        <v>54157124</v>
      </c>
      <c r="C14" s="478">
        <f>C32+C36+C41+C53+C60+C20+C74</f>
        <v>36750314</v>
      </c>
      <c r="D14" s="568">
        <f t="shared" si="1"/>
        <v>67.85868836018693</v>
      </c>
      <c r="E14" s="478">
        <f>E32+E36+E41+E53+E60+E74</f>
        <v>59438812</v>
      </c>
      <c r="F14" s="478">
        <f>F32+F36+F41+F53+F60+F74+F20</f>
        <v>34181005</v>
      </c>
      <c r="G14" s="568">
        <f t="shared" si="2"/>
        <v>57.5062048682938</v>
      </c>
      <c r="H14" s="478">
        <f>H32+H36+H41+H53+H60+H74</f>
        <v>552321</v>
      </c>
      <c r="I14" s="478">
        <f>I32+I36+I41+I53+I60+I74</f>
        <v>72330</v>
      </c>
      <c r="J14" s="568">
        <f t="shared" si="6"/>
        <v>13.095645467038189</v>
      </c>
      <c r="K14" s="678" t="s">
        <v>477</v>
      </c>
      <c r="L14" s="478">
        <f>L32+L36+L41+L53+L60+L74</f>
        <v>54157</v>
      </c>
      <c r="M14" s="478">
        <f>M32+M36+M41+M53+M60+M20+M74</f>
        <v>36750</v>
      </c>
      <c r="N14" s="568">
        <f t="shared" si="4"/>
        <v>67.85826393633326</v>
      </c>
      <c r="O14" s="478">
        <f>O32+O36+O41+O53+O60+O74</f>
        <v>59439</v>
      </c>
      <c r="P14" s="478">
        <f>P32+P36+P41+P53+P60+P74+P20</f>
        <v>34181</v>
      </c>
      <c r="Q14" s="568">
        <f t="shared" si="5"/>
        <v>57.50601456955871</v>
      </c>
      <c r="R14" s="478">
        <f>R32+R36+R41+R53+R60+R74</f>
        <v>552</v>
      </c>
      <c r="S14" s="478">
        <f>S32+S36+S41+S53+S60+S74+S20</f>
        <v>72</v>
      </c>
      <c r="T14" s="568">
        <f t="shared" si="7"/>
        <v>13.043478260869565</v>
      </c>
      <c r="U14" s="679"/>
      <c r="V14" s="679"/>
      <c r="W14" s="679"/>
      <c r="X14" s="679"/>
      <c r="Y14" s="679"/>
      <c r="Z14" s="679"/>
      <c r="AA14" s="679"/>
      <c r="AB14" s="679"/>
      <c r="AC14" s="679"/>
      <c r="AD14" s="679"/>
      <c r="AE14" s="679"/>
      <c r="AF14" s="679"/>
      <c r="AG14" s="679"/>
      <c r="AH14" s="679"/>
      <c r="AI14" s="679"/>
      <c r="AJ14" s="679"/>
      <c r="AK14" s="679"/>
      <c r="AL14" s="679"/>
      <c r="AM14" s="679"/>
      <c r="AN14" s="679"/>
      <c r="AO14" s="679"/>
      <c r="AP14" s="679"/>
      <c r="AQ14" s="679"/>
      <c r="AR14" s="679"/>
      <c r="AS14" s="679"/>
      <c r="AT14" s="679"/>
      <c r="AU14" s="679"/>
      <c r="AV14" s="679"/>
      <c r="AW14" s="679"/>
      <c r="AX14" s="679"/>
      <c r="AY14" s="679"/>
      <c r="AZ14" s="679"/>
      <c r="BA14" s="679"/>
      <c r="BB14" s="679"/>
      <c r="BC14" s="679"/>
      <c r="BD14" s="679"/>
      <c r="BE14" s="679"/>
      <c r="BF14" s="679"/>
      <c r="BG14" s="679"/>
      <c r="BH14" s="679"/>
      <c r="BI14" s="679"/>
      <c r="BJ14" s="679"/>
      <c r="BK14" s="679"/>
      <c r="BL14" s="679"/>
      <c r="BM14" s="679"/>
      <c r="BN14" s="679"/>
      <c r="BO14" s="679"/>
      <c r="BP14" s="679"/>
      <c r="BQ14" s="679"/>
      <c r="BR14" s="679"/>
      <c r="BS14" s="679"/>
      <c r="BT14" s="679"/>
      <c r="BU14" s="679"/>
      <c r="BV14" s="679"/>
      <c r="BW14" s="679"/>
      <c r="BX14" s="679"/>
      <c r="BY14" s="679"/>
      <c r="BZ14" s="679"/>
      <c r="CA14" s="679"/>
      <c r="CB14" s="679"/>
      <c r="CC14" s="679"/>
      <c r="CD14" s="679"/>
      <c r="CE14" s="679"/>
      <c r="CF14" s="679"/>
      <c r="CG14" s="679"/>
      <c r="CH14" s="679"/>
      <c r="CI14" s="679"/>
      <c r="CJ14" s="679"/>
      <c r="CK14" s="679"/>
      <c r="CL14" s="679"/>
      <c r="CM14" s="679"/>
      <c r="CN14" s="679"/>
      <c r="CO14" s="679"/>
      <c r="CP14" s="679"/>
      <c r="CQ14" s="679"/>
      <c r="CR14" s="679"/>
      <c r="CS14" s="679"/>
      <c r="CT14" s="679"/>
      <c r="CU14" s="679"/>
      <c r="CV14" s="679"/>
      <c r="CW14" s="679"/>
      <c r="CX14" s="679"/>
      <c r="CY14" s="679"/>
      <c r="CZ14" s="679"/>
      <c r="DA14" s="679"/>
      <c r="DB14" s="679"/>
      <c r="DC14" s="679"/>
    </row>
    <row r="15" spans="1:107" s="74" customFormat="1" ht="13.5" customHeight="1">
      <c r="A15" s="474" t="s">
        <v>105</v>
      </c>
      <c r="B15" s="478">
        <f>B21+B24+B27+B33+B37+B42+B47+B54+B57+B61+B64+B67+B70+B75+B78+B80</f>
        <v>6665290</v>
      </c>
      <c r="C15" s="478">
        <f>C21+C24+C27+C33+C37+C42+C47+C54+C57+C61+C64+C67+C70+C75+C78+C80</f>
        <v>2550840</v>
      </c>
      <c r="D15" s="568">
        <f t="shared" si="1"/>
        <v>38.27050285884035</v>
      </c>
      <c r="E15" s="478">
        <f>E21+E24+E27+E33+E37+E42+E47+E54+E57+E61+E64+E67+E70+E75+E78+E80</f>
        <v>4960075</v>
      </c>
      <c r="F15" s="478">
        <f>F21+F24+F27+F33+F37+F42+F47+F54+F57+F61+F64+F67+F70+F75+F78+F80</f>
        <v>1661840</v>
      </c>
      <c r="G15" s="568">
        <f t="shared" si="2"/>
        <v>33.504332091752644</v>
      </c>
      <c r="H15" s="478">
        <f>H21+H24+H27+H33+H37+H42+H47+H54+H57+H61+H64+H67+H70+H75+H78+H80</f>
        <v>10717433</v>
      </c>
      <c r="I15" s="478">
        <f>I21+I24+I27+I33+I37+I42+I47+I54+I57+I61+I64+I67+I70+I75+I78+I80</f>
        <v>50000</v>
      </c>
      <c r="J15" s="568">
        <f t="shared" si="6"/>
        <v>0.46652962514437923</v>
      </c>
      <c r="K15" s="474" t="s">
        <v>105</v>
      </c>
      <c r="L15" s="478">
        <f>L21+L24+L27+L33+L37+L42+L47+L54+L57+L61+L64+L67+L70+L75+L78+L80</f>
        <v>6665</v>
      </c>
      <c r="M15" s="478">
        <f>M21+M24+M27+M33+M37+M42+M47+M54+M57+M61+M64+M67+M70+M75+M78+M80</f>
        <v>2551</v>
      </c>
      <c r="N15" s="568">
        <f t="shared" si="4"/>
        <v>38.27456864216054</v>
      </c>
      <c r="O15" s="478">
        <f>O21+O24+O27+O33+O37+O42+O47+O54+O57+O61+O64+O67+O70+O75+O78+O80</f>
        <v>4960</v>
      </c>
      <c r="P15" s="478">
        <f>P21+P24+P27+P33+P37+P42+P47+P54+P57+P61+P64+P67+P70+P75+P78+P80</f>
        <v>1662</v>
      </c>
      <c r="Q15" s="568">
        <f t="shared" si="5"/>
        <v>33.50806451612903</v>
      </c>
      <c r="R15" s="478">
        <f>R21+R24+R27+R33+R37+R42+R47+R54+R57+R61+R64+R67+R70+R75+R78+R80</f>
        <v>10717</v>
      </c>
      <c r="S15" s="478">
        <f>S21+S24+S27+S33+S37+S42+S47+S54+S57+S61+S64+S67+S70+S75+S78+S80</f>
        <v>50</v>
      </c>
      <c r="T15" s="568">
        <f t="shared" si="7"/>
        <v>0.4665484743864887</v>
      </c>
      <c r="U15" s="679"/>
      <c r="V15" s="679"/>
      <c r="W15" s="679"/>
      <c r="X15" s="679"/>
      <c r="Y15" s="679"/>
      <c r="Z15" s="679"/>
      <c r="AA15" s="679"/>
      <c r="AB15" s="679"/>
      <c r="AC15" s="679"/>
      <c r="AD15" s="679"/>
      <c r="AE15" s="679"/>
      <c r="AF15" s="679"/>
      <c r="AG15" s="679"/>
      <c r="AH15" s="679"/>
      <c r="AI15" s="679"/>
      <c r="AJ15" s="679"/>
      <c r="AK15" s="679"/>
      <c r="AL15" s="679"/>
      <c r="AM15" s="679"/>
      <c r="AN15" s="679"/>
      <c r="AO15" s="679"/>
      <c r="AP15" s="679"/>
      <c r="AQ15" s="679"/>
      <c r="AR15" s="679"/>
      <c r="AS15" s="679"/>
      <c r="AT15" s="679"/>
      <c r="AU15" s="679"/>
      <c r="AV15" s="679"/>
      <c r="AW15" s="679"/>
      <c r="AX15" s="679"/>
      <c r="AY15" s="679"/>
      <c r="AZ15" s="679"/>
      <c r="BA15" s="679"/>
      <c r="BB15" s="679"/>
      <c r="BC15" s="679"/>
      <c r="BD15" s="679"/>
      <c r="BE15" s="679"/>
      <c r="BF15" s="679"/>
      <c r="BG15" s="679"/>
      <c r="BH15" s="679"/>
      <c r="BI15" s="679"/>
      <c r="BJ15" s="679"/>
      <c r="BK15" s="679"/>
      <c r="BL15" s="679"/>
      <c r="BM15" s="679"/>
      <c r="BN15" s="679"/>
      <c r="BO15" s="679"/>
      <c r="BP15" s="679"/>
      <c r="BQ15" s="679"/>
      <c r="BR15" s="679"/>
      <c r="BS15" s="679"/>
      <c r="BT15" s="679"/>
      <c r="BU15" s="679"/>
      <c r="BV15" s="679"/>
      <c r="BW15" s="679"/>
      <c r="BX15" s="679"/>
      <c r="BY15" s="679"/>
      <c r="BZ15" s="679"/>
      <c r="CA15" s="679"/>
      <c r="CB15" s="679"/>
      <c r="CC15" s="679"/>
      <c r="CD15" s="679"/>
      <c r="CE15" s="679"/>
      <c r="CF15" s="679"/>
      <c r="CG15" s="679"/>
      <c r="CH15" s="679"/>
      <c r="CI15" s="679"/>
      <c r="CJ15" s="679"/>
      <c r="CK15" s="679"/>
      <c r="CL15" s="679"/>
      <c r="CM15" s="679"/>
      <c r="CN15" s="679"/>
      <c r="CO15" s="679"/>
      <c r="CP15" s="679"/>
      <c r="CQ15" s="679"/>
      <c r="CR15" s="679"/>
      <c r="CS15" s="679"/>
      <c r="CT15" s="679"/>
      <c r="CU15" s="679"/>
      <c r="CV15" s="679"/>
      <c r="CW15" s="679"/>
      <c r="CX15" s="679"/>
      <c r="CY15" s="679"/>
      <c r="CZ15" s="679"/>
      <c r="DA15" s="679"/>
      <c r="DB15" s="679"/>
      <c r="DC15" s="679"/>
    </row>
    <row r="16" spans="1:107" s="74" customFormat="1" ht="14.25" customHeight="1">
      <c r="A16" s="474" t="s">
        <v>712</v>
      </c>
      <c r="B16" s="478">
        <f>B25+B38+B43+B48+B55+B58+B62+B65+B68+B71+B76+B84+B86</f>
        <v>37789881</v>
      </c>
      <c r="C16" s="478">
        <f>C25+C38+C43+C48+C55+C58+C62+C65+C68+C71+C76+C84+C86</f>
        <v>1764662</v>
      </c>
      <c r="D16" s="568">
        <f t="shared" si="1"/>
        <v>4.669668052143376</v>
      </c>
      <c r="E16" s="478">
        <f>E25+E38+E43+E48+E55+E58+E62+E65+E68+E71+E76+E84+E86</f>
        <v>33023681</v>
      </c>
      <c r="F16" s="478">
        <f>F25+F38+F43+F48+F55+F58+F62+F65+F68+F71+F76+F84+F86</f>
        <v>862000</v>
      </c>
      <c r="G16" s="568">
        <f t="shared" si="2"/>
        <v>2.6102480822776846</v>
      </c>
      <c r="H16" s="478">
        <f>H25+H38+H43+H48+H55+H58+H62+H65+H68+H71+H76+H84+H86</f>
        <v>124710064</v>
      </c>
      <c r="I16" s="478">
        <f>I25+I38+I43+I48+I55+I58+I62+I65+I68+I71+I76+I84+I86</f>
        <v>1695000</v>
      </c>
      <c r="J16" s="568">
        <f t="shared" si="6"/>
        <v>1.3591525380020655</v>
      </c>
      <c r="K16" s="474" t="s">
        <v>712</v>
      </c>
      <c r="L16" s="478">
        <f>L25+L38+L43+L48+L55+L58+L62+L65+L68+L71+L76+L84+L86</f>
        <v>37790</v>
      </c>
      <c r="M16" s="478">
        <f aca="true" t="shared" si="8" ref="M16:S16">M25+M38+M43+M48+M55+M58+M62+M65+M68+M71+M76+M84+M86</f>
        <v>1765</v>
      </c>
      <c r="N16" s="568">
        <f t="shared" si="4"/>
        <v>4.670547763958719</v>
      </c>
      <c r="O16" s="478">
        <f t="shared" si="8"/>
        <v>33024</v>
      </c>
      <c r="P16" s="478">
        <f t="shared" si="8"/>
        <v>862</v>
      </c>
      <c r="Q16" s="568">
        <f t="shared" si="5"/>
        <v>2.6102228682170545</v>
      </c>
      <c r="R16" s="478">
        <f t="shared" si="8"/>
        <v>124710</v>
      </c>
      <c r="S16" s="478">
        <f t="shared" si="8"/>
        <v>1695</v>
      </c>
      <c r="T16" s="568">
        <f t="shared" si="7"/>
        <v>1.3591532355063747</v>
      </c>
      <c r="U16" s="679"/>
      <c r="V16" s="679"/>
      <c r="W16" s="679"/>
      <c r="X16" s="679"/>
      <c r="Y16" s="679"/>
      <c r="Z16" s="679"/>
      <c r="AA16" s="679"/>
      <c r="AB16" s="679"/>
      <c r="AC16" s="679"/>
      <c r="AD16" s="679"/>
      <c r="AE16" s="679"/>
      <c r="AF16" s="679"/>
      <c r="AG16" s="679"/>
      <c r="AH16" s="679"/>
      <c r="AI16" s="679"/>
      <c r="AJ16" s="679"/>
      <c r="AK16" s="679"/>
      <c r="AL16" s="679"/>
      <c r="AM16" s="679"/>
      <c r="AN16" s="679"/>
      <c r="AO16" s="679"/>
      <c r="AP16" s="679"/>
      <c r="AQ16" s="679"/>
      <c r="AR16" s="679"/>
      <c r="AS16" s="679"/>
      <c r="AT16" s="679"/>
      <c r="AU16" s="679"/>
      <c r="AV16" s="679"/>
      <c r="AW16" s="679"/>
      <c r="AX16" s="679"/>
      <c r="AY16" s="679"/>
      <c r="AZ16" s="679"/>
      <c r="BA16" s="679"/>
      <c r="BB16" s="679"/>
      <c r="BC16" s="679"/>
      <c r="BD16" s="679"/>
      <c r="BE16" s="679"/>
      <c r="BF16" s="679"/>
      <c r="BG16" s="679"/>
      <c r="BH16" s="679"/>
      <c r="BI16" s="679"/>
      <c r="BJ16" s="679"/>
      <c r="BK16" s="679"/>
      <c r="BL16" s="679"/>
      <c r="BM16" s="679"/>
      <c r="BN16" s="679"/>
      <c r="BO16" s="679"/>
      <c r="BP16" s="679"/>
      <c r="BQ16" s="679"/>
      <c r="BR16" s="679"/>
      <c r="BS16" s="679"/>
      <c r="BT16" s="679"/>
      <c r="BU16" s="679"/>
      <c r="BV16" s="679"/>
      <c r="BW16" s="679"/>
      <c r="BX16" s="679"/>
      <c r="BY16" s="679"/>
      <c r="BZ16" s="679"/>
      <c r="CA16" s="679"/>
      <c r="CB16" s="679"/>
      <c r="CC16" s="679"/>
      <c r="CD16" s="679"/>
      <c r="CE16" s="679"/>
      <c r="CF16" s="679"/>
      <c r="CG16" s="679"/>
      <c r="CH16" s="679"/>
      <c r="CI16" s="679"/>
      <c r="CJ16" s="679"/>
      <c r="CK16" s="679"/>
      <c r="CL16" s="679"/>
      <c r="CM16" s="679"/>
      <c r="CN16" s="679"/>
      <c r="CO16" s="679"/>
      <c r="CP16" s="679"/>
      <c r="CQ16" s="679"/>
      <c r="CR16" s="679"/>
      <c r="CS16" s="679"/>
      <c r="CT16" s="679"/>
      <c r="CU16" s="679"/>
      <c r="CV16" s="679"/>
      <c r="CW16" s="679"/>
      <c r="CX16" s="679"/>
      <c r="CY16" s="679"/>
      <c r="CZ16" s="679"/>
      <c r="DA16" s="679"/>
      <c r="DB16" s="679"/>
      <c r="DC16" s="679"/>
    </row>
    <row r="17" spans="1:107" s="74" customFormat="1" ht="14.25" customHeight="1">
      <c r="A17" s="678" t="s">
        <v>106</v>
      </c>
      <c r="B17" s="478">
        <f>B28+B44+B49</f>
        <v>269904</v>
      </c>
      <c r="C17" s="478">
        <f>C28+C44+C49+C22</f>
        <v>28171</v>
      </c>
      <c r="D17" s="568">
        <f t="shared" si="1"/>
        <v>10.437414784515976</v>
      </c>
      <c r="E17" s="478">
        <f>E28+E44+E49</f>
        <v>149500</v>
      </c>
      <c r="F17" s="478">
        <f>F28+F44+F49+F22</f>
        <v>23028</v>
      </c>
      <c r="G17" s="568">
        <f t="shared" si="2"/>
        <v>15.403344481605352</v>
      </c>
      <c r="H17" s="478">
        <f>H28+H44+H49</f>
        <v>9600</v>
      </c>
      <c r="I17" s="478">
        <f>I28+I44+I49</f>
        <v>0</v>
      </c>
      <c r="J17" s="568">
        <f t="shared" si="6"/>
        <v>0</v>
      </c>
      <c r="K17" s="678" t="s">
        <v>106</v>
      </c>
      <c r="L17" s="478">
        <f>L28+L44+L49</f>
        <v>270</v>
      </c>
      <c r="M17" s="478">
        <f>M28+M44+M22+M49</f>
        <v>28</v>
      </c>
      <c r="N17" s="568">
        <f t="shared" si="4"/>
        <v>10.37037037037037</v>
      </c>
      <c r="O17" s="478">
        <f>O28+O44+O49</f>
        <v>149</v>
      </c>
      <c r="P17" s="478">
        <f>P28+P44+P49+P22</f>
        <v>23</v>
      </c>
      <c r="Q17" s="568">
        <f t="shared" si="5"/>
        <v>15.436241610738255</v>
      </c>
      <c r="R17" s="478">
        <f>R28+R44+R49</f>
        <v>10</v>
      </c>
      <c r="S17" s="478">
        <f>S28+S44+S49+S22</f>
        <v>0</v>
      </c>
      <c r="T17" s="568">
        <f t="shared" si="7"/>
        <v>0</v>
      </c>
      <c r="U17" s="679"/>
      <c r="V17" s="679"/>
      <c r="W17" s="679"/>
      <c r="X17" s="679"/>
      <c r="Y17" s="679"/>
      <c r="Z17" s="679"/>
      <c r="AA17" s="679"/>
      <c r="AB17" s="679"/>
      <c r="AC17" s="679"/>
      <c r="AD17" s="679"/>
      <c r="AE17" s="679"/>
      <c r="AF17" s="679"/>
      <c r="AG17" s="679"/>
      <c r="AH17" s="679"/>
      <c r="AI17" s="679"/>
      <c r="AJ17" s="679"/>
      <c r="AK17" s="679"/>
      <c r="AL17" s="679"/>
      <c r="AM17" s="679"/>
      <c r="AN17" s="679"/>
      <c r="AO17" s="679"/>
      <c r="AP17" s="679"/>
      <c r="AQ17" s="679"/>
      <c r="AR17" s="679"/>
      <c r="AS17" s="679"/>
      <c r="AT17" s="679"/>
      <c r="AU17" s="679"/>
      <c r="AV17" s="679"/>
      <c r="AW17" s="679"/>
      <c r="AX17" s="679"/>
      <c r="AY17" s="679"/>
      <c r="AZ17" s="679"/>
      <c r="BA17" s="679"/>
      <c r="BB17" s="679"/>
      <c r="BC17" s="679"/>
      <c r="BD17" s="679"/>
      <c r="BE17" s="679"/>
      <c r="BF17" s="679"/>
      <c r="BG17" s="679"/>
      <c r="BH17" s="679"/>
      <c r="BI17" s="679"/>
      <c r="BJ17" s="679"/>
      <c r="BK17" s="679"/>
      <c r="BL17" s="679"/>
      <c r="BM17" s="679"/>
      <c r="BN17" s="679"/>
      <c r="BO17" s="679"/>
      <c r="BP17" s="679"/>
      <c r="BQ17" s="679"/>
      <c r="BR17" s="679"/>
      <c r="BS17" s="679"/>
      <c r="BT17" s="679"/>
      <c r="BU17" s="679"/>
      <c r="BV17" s="679"/>
      <c r="BW17" s="679"/>
      <c r="BX17" s="679"/>
      <c r="BY17" s="679"/>
      <c r="BZ17" s="679"/>
      <c r="CA17" s="679"/>
      <c r="CB17" s="679"/>
      <c r="CC17" s="679"/>
      <c r="CD17" s="679"/>
      <c r="CE17" s="679"/>
      <c r="CF17" s="679"/>
      <c r="CG17" s="679"/>
      <c r="CH17" s="679"/>
      <c r="CI17" s="679"/>
      <c r="CJ17" s="679"/>
      <c r="CK17" s="679"/>
      <c r="CL17" s="679"/>
      <c r="CM17" s="679"/>
      <c r="CN17" s="679"/>
      <c r="CO17" s="679"/>
      <c r="CP17" s="679"/>
      <c r="CQ17" s="679"/>
      <c r="CR17" s="679"/>
      <c r="CS17" s="679"/>
      <c r="CT17" s="679"/>
      <c r="CU17" s="679"/>
      <c r="CV17" s="679"/>
      <c r="CW17" s="679"/>
      <c r="CX17" s="679"/>
      <c r="CY17" s="679"/>
      <c r="CZ17" s="679"/>
      <c r="DA17" s="679"/>
      <c r="DB17" s="679"/>
      <c r="DC17" s="679"/>
    </row>
    <row r="18" spans="1:107" s="74" customFormat="1" ht="13.5" customHeight="1">
      <c r="A18" s="474" t="s">
        <v>107</v>
      </c>
      <c r="B18" s="478">
        <f>B29+B34+B39+B45+B50+B82</f>
        <v>4680192</v>
      </c>
      <c r="C18" s="478">
        <f aca="true" t="shared" si="9" ref="C18:I18">C29+C34+C39+C45+C50+C82</f>
        <v>175800</v>
      </c>
      <c r="D18" s="568">
        <f t="shared" si="1"/>
        <v>3.756256153593699</v>
      </c>
      <c r="E18" s="478">
        <f t="shared" si="9"/>
        <v>2572652</v>
      </c>
      <c r="F18" s="478">
        <f t="shared" si="9"/>
        <v>0</v>
      </c>
      <c r="G18" s="568">
        <f t="shared" si="2"/>
        <v>0</v>
      </c>
      <c r="H18" s="478">
        <f t="shared" si="9"/>
        <v>8461180</v>
      </c>
      <c r="I18" s="478">
        <f t="shared" si="9"/>
        <v>0</v>
      </c>
      <c r="J18" s="568">
        <f t="shared" si="6"/>
        <v>0</v>
      </c>
      <c r="K18" s="474" t="s">
        <v>107</v>
      </c>
      <c r="L18" s="478">
        <f>L29+L34+L39+L45+L50+L82</f>
        <v>4680</v>
      </c>
      <c r="M18" s="478">
        <f aca="true" t="shared" si="10" ref="M18:S18">M29+M34+M39+M45+M50+M82</f>
        <v>176</v>
      </c>
      <c r="N18" s="568">
        <f t="shared" si="4"/>
        <v>3.7606837606837606</v>
      </c>
      <c r="O18" s="478">
        <f t="shared" si="10"/>
        <v>2573</v>
      </c>
      <c r="P18" s="478">
        <f t="shared" si="10"/>
        <v>0</v>
      </c>
      <c r="Q18" s="568">
        <f t="shared" si="5"/>
        <v>0</v>
      </c>
      <c r="R18" s="478">
        <f t="shared" si="10"/>
        <v>8461</v>
      </c>
      <c r="S18" s="478">
        <f t="shared" si="10"/>
        <v>0</v>
      </c>
      <c r="T18" s="568">
        <f t="shared" si="7"/>
        <v>0</v>
      </c>
      <c r="U18" s="679"/>
      <c r="V18" s="679"/>
      <c r="W18" s="679"/>
      <c r="X18" s="679"/>
      <c r="Y18" s="679"/>
      <c r="Z18" s="679"/>
      <c r="AA18" s="679"/>
      <c r="AB18" s="679"/>
      <c r="AC18" s="679"/>
      <c r="AD18" s="679"/>
      <c r="AE18" s="679"/>
      <c r="AF18" s="679"/>
      <c r="AG18" s="679"/>
      <c r="AH18" s="679"/>
      <c r="AI18" s="679"/>
      <c r="AJ18" s="679"/>
      <c r="AK18" s="679"/>
      <c r="AL18" s="679"/>
      <c r="AM18" s="679"/>
      <c r="AN18" s="679"/>
      <c r="AO18" s="679"/>
      <c r="AP18" s="679"/>
      <c r="AQ18" s="679"/>
      <c r="AR18" s="679"/>
      <c r="AS18" s="679"/>
      <c r="AT18" s="679"/>
      <c r="AU18" s="679"/>
      <c r="AV18" s="679"/>
      <c r="AW18" s="679"/>
      <c r="AX18" s="679"/>
      <c r="AY18" s="679"/>
      <c r="AZ18" s="679"/>
      <c r="BA18" s="679"/>
      <c r="BB18" s="679"/>
      <c r="BC18" s="679"/>
      <c r="BD18" s="679"/>
      <c r="BE18" s="679"/>
      <c r="BF18" s="679"/>
      <c r="BG18" s="679"/>
      <c r="BH18" s="679"/>
      <c r="BI18" s="679"/>
      <c r="BJ18" s="679"/>
      <c r="BK18" s="679"/>
      <c r="BL18" s="679"/>
      <c r="BM18" s="679"/>
      <c r="BN18" s="679"/>
      <c r="BO18" s="679"/>
      <c r="BP18" s="679"/>
      <c r="BQ18" s="679"/>
      <c r="BR18" s="679"/>
      <c r="BS18" s="679"/>
      <c r="BT18" s="679"/>
      <c r="BU18" s="679"/>
      <c r="BV18" s="679"/>
      <c r="BW18" s="679"/>
      <c r="BX18" s="679"/>
      <c r="BY18" s="679"/>
      <c r="BZ18" s="679"/>
      <c r="CA18" s="679"/>
      <c r="CB18" s="679"/>
      <c r="CC18" s="679"/>
      <c r="CD18" s="679"/>
      <c r="CE18" s="679"/>
      <c r="CF18" s="679"/>
      <c r="CG18" s="679"/>
      <c r="CH18" s="679"/>
      <c r="CI18" s="679"/>
      <c r="CJ18" s="679"/>
      <c r="CK18" s="679"/>
      <c r="CL18" s="679"/>
      <c r="CM18" s="679"/>
      <c r="CN18" s="679"/>
      <c r="CO18" s="679"/>
      <c r="CP18" s="679"/>
      <c r="CQ18" s="679"/>
      <c r="CR18" s="679"/>
      <c r="CS18" s="679"/>
      <c r="CT18" s="679"/>
      <c r="CU18" s="679"/>
      <c r="CV18" s="679"/>
      <c r="CW18" s="679"/>
      <c r="CX18" s="679"/>
      <c r="CY18" s="679"/>
      <c r="CZ18" s="679"/>
      <c r="DA18" s="679"/>
      <c r="DB18" s="679"/>
      <c r="DC18" s="679"/>
    </row>
    <row r="19" spans="1:107" s="477" customFormat="1" ht="12.75">
      <c r="A19" s="474" t="s">
        <v>400</v>
      </c>
      <c r="B19" s="11">
        <f>B21</f>
        <v>77100</v>
      </c>
      <c r="C19" s="11">
        <f>SUM(C20:C22)</f>
        <v>31402</v>
      </c>
      <c r="D19" s="681">
        <f>C19/B19*100</f>
        <v>40.728923476005185</v>
      </c>
      <c r="E19" s="11">
        <f>E21</f>
        <v>80000</v>
      </c>
      <c r="F19" s="11">
        <f>SUM(F20:F22)</f>
        <v>23842</v>
      </c>
      <c r="G19" s="681">
        <f>F19/E19*100</f>
        <v>29.8025</v>
      </c>
      <c r="H19" s="11">
        <f>H21</f>
        <v>0</v>
      </c>
      <c r="I19" s="11">
        <f>I21</f>
        <v>0</v>
      </c>
      <c r="J19" s="681" t="e">
        <f>I19/H19*100</f>
        <v>#DIV/0!</v>
      </c>
      <c r="K19" s="474" t="s">
        <v>400</v>
      </c>
      <c r="L19" s="11">
        <f>L21</f>
        <v>77</v>
      </c>
      <c r="M19" s="11">
        <f>SUM(M20:M22)</f>
        <v>31</v>
      </c>
      <c r="N19" s="681">
        <f>M19/L19*100</f>
        <v>40.25974025974026</v>
      </c>
      <c r="O19" s="11">
        <f>O21</f>
        <v>80</v>
      </c>
      <c r="P19" s="11">
        <f>SUM(P20:P22)</f>
        <v>24</v>
      </c>
      <c r="Q19" s="681">
        <f>P19/O19*100</f>
        <v>30</v>
      </c>
      <c r="R19" s="11">
        <f>R21</f>
        <v>0</v>
      </c>
      <c r="S19" s="11">
        <f>S21</f>
        <v>0</v>
      </c>
      <c r="T19" s="681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6"/>
      <c r="BH19" s="476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76"/>
      <c r="CK19" s="476"/>
      <c r="CL19" s="476"/>
      <c r="CM19" s="476"/>
      <c r="CN19" s="476"/>
      <c r="CO19" s="476"/>
      <c r="CP19" s="476"/>
      <c r="CQ19" s="476"/>
      <c r="CR19" s="476"/>
      <c r="CS19" s="476"/>
      <c r="CT19" s="476"/>
      <c r="CU19" s="476"/>
      <c r="CV19" s="476"/>
      <c r="CW19" s="476"/>
      <c r="CX19" s="476"/>
      <c r="CY19" s="476"/>
      <c r="CZ19" s="476"/>
      <c r="DA19" s="476"/>
      <c r="DB19" s="476"/>
      <c r="DC19" s="476"/>
    </row>
    <row r="20" spans="1:107" s="477" customFormat="1" ht="12.75">
      <c r="A20" s="482" t="s">
        <v>477</v>
      </c>
      <c r="B20" s="27"/>
      <c r="C20" s="27">
        <v>3231</v>
      </c>
      <c r="D20" s="682" t="e">
        <f t="shared" si="1"/>
        <v>#DIV/0!</v>
      </c>
      <c r="E20" s="27"/>
      <c r="F20" s="27">
        <v>814</v>
      </c>
      <c r="G20" s="682" t="e">
        <f t="shared" si="2"/>
        <v>#DIV/0!</v>
      </c>
      <c r="H20" s="27"/>
      <c r="I20" s="27"/>
      <c r="J20" s="682"/>
      <c r="K20" s="482" t="s">
        <v>477</v>
      </c>
      <c r="L20" s="27"/>
      <c r="M20" s="27">
        <f>ROUND(C20/1000,0)</f>
        <v>3</v>
      </c>
      <c r="N20" s="682"/>
      <c r="O20" s="27"/>
      <c r="P20" s="27">
        <f>ROUND(F20/1000,0)</f>
        <v>1</v>
      </c>
      <c r="Q20" s="682"/>
      <c r="R20" s="27"/>
      <c r="S20" s="27"/>
      <c r="T20" s="682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6"/>
      <c r="BH20" s="476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6"/>
      <c r="CI20" s="476"/>
      <c r="CJ20" s="476"/>
      <c r="CK20" s="476"/>
      <c r="CL20" s="476"/>
      <c r="CM20" s="476"/>
      <c r="CN20" s="476"/>
      <c r="CO20" s="476"/>
      <c r="CP20" s="476"/>
      <c r="CQ20" s="476"/>
      <c r="CR20" s="476"/>
      <c r="CS20" s="476"/>
      <c r="CT20" s="476"/>
      <c r="CU20" s="476"/>
      <c r="CV20" s="476"/>
      <c r="CW20" s="476"/>
      <c r="CX20" s="476"/>
      <c r="CY20" s="476"/>
      <c r="CZ20" s="476"/>
      <c r="DA20" s="476"/>
      <c r="DB20" s="476"/>
      <c r="DC20" s="476"/>
    </row>
    <row r="21" spans="1:107" s="477" customFormat="1" ht="12.75">
      <c r="A21" s="482" t="s">
        <v>105</v>
      </c>
      <c r="B21" s="27">
        <v>77100</v>
      </c>
      <c r="C21" s="27"/>
      <c r="D21" s="682">
        <f t="shared" si="1"/>
        <v>0</v>
      </c>
      <c r="E21" s="27">
        <v>80000</v>
      </c>
      <c r="F21" s="27"/>
      <c r="G21" s="682">
        <f t="shared" si="2"/>
        <v>0</v>
      </c>
      <c r="H21" s="27"/>
      <c r="I21" s="27"/>
      <c r="J21" s="682" t="e">
        <f t="shared" si="6"/>
        <v>#DIV/0!</v>
      </c>
      <c r="K21" s="482" t="s">
        <v>105</v>
      </c>
      <c r="L21" s="27">
        <f>ROUND(B21/1000,0)</f>
        <v>77</v>
      </c>
      <c r="M21" s="27">
        <f>ROUND(C21/1000,0)</f>
        <v>0</v>
      </c>
      <c r="N21" s="682">
        <f t="shared" si="4"/>
        <v>0</v>
      </c>
      <c r="O21" s="27">
        <f>ROUND(E21/1000,0)</f>
        <v>80</v>
      </c>
      <c r="P21" s="27">
        <f>ROUND(F21/1000,0)</f>
        <v>0</v>
      </c>
      <c r="Q21" s="682">
        <f t="shared" si="5"/>
        <v>0</v>
      </c>
      <c r="R21" s="27">
        <f>ROUND(H21/1000,0)</f>
        <v>0</v>
      </c>
      <c r="S21" s="27">
        <f>ROUND(I21/1000,0)</f>
        <v>0</v>
      </c>
      <c r="T21" s="682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6"/>
      <c r="BH21" s="476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6"/>
      <c r="CL21" s="476"/>
      <c r="CM21" s="476"/>
      <c r="CN21" s="476"/>
      <c r="CO21" s="476"/>
      <c r="CP21" s="476"/>
      <c r="CQ21" s="476"/>
      <c r="CR21" s="476"/>
      <c r="CS21" s="476"/>
      <c r="CT21" s="476"/>
      <c r="CU21" s="476"/>
      <c r="CV21" s="476"/>
      <c r="CW21" s="476"/>
      <c r="CX21" s="476"/>
      <c r="CY21" s="476"/>
      <c r="CZ21" s="476"/>
      <c r="DA21" s="476"/>
      <c r="DB21" s="476"/>
      <c r="DC21" s="476"/>
    </row>
    <row r="22" spans="1:107" s="477" customFormat="1" ht="12.75">
      <c r="A22" s="482" t="s">
        <v>106</v>
      </c>
      <c r="B22" s="27"/>
      <c r="C22" s="27">
        <v>28171</v>
      </c>
      <c r="D22" s="682" t="e">
        <f t="shared" si="1"/>
        <v>#DIV/0!</v>
      </c>
      <c r="E22" s="27"/>
      <c r="F22" s="27">
        <v>23028</v>
      </c>
      <c r="G22" s="682" t="e">
        <f t="shared" si="2"/>
        <v>#DIV/0!</v>
      </c>
      <c r="H22" s="27"/>
      <c r="I22" s="27"/>
      <c r="J22" s="682"/>
      <c r="K22" s="482" t="s">
        <v>106</v>
      </c>
      <c r="L22" s="27"/>
      <c r="M22" s="27">
        <f>ROUND(C22/1000,0)</f>
        <v>28</v>
      </c>
      <c r="N22" s="682"/>
      <c r="O22" s="27"/>
      <c r="P22" s="27">
        <f>ROUND(F22/1000,0)</f>
        <v>23</v>
      </c>
      <c r="Q22" s="682"/>
      <c r="R22" s="27"/>
      <c r="S22" s="27"/>
      <c r="T22" s="682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76"/>
      <c r="AS22" s="476"/>
      <c r="AT22" s="476"/>
      <c r="AU22" s="476"/>
      <c r="AV22" s="476"/>
      <c r="AW22" s="476"/>
      <c r="AX22" s="476"/>
      <c r="AY22" s="476"/>
      <c r="AZ22" s="476"/>
      <c r="BA22" s="476"/>
      <c r="BB22" s="476"/>
      <c r="BC22" s="476"/>
      <c r="BD22" s="476"/>
      <c r="BE22" s="476"/>
      <c r="BF22" s="476"/>
      <c r="BG22" s="476"/>
      <c r="BH22" s="476"/>
      <c r="BI22" s="476"/>
      <c r="BJ22" s="476"/>
      <c r="BK22" s="476"/>
      <c r="BL22" s="476"/>
      <c r="BM22" s="476"/>
      <c r="BN22" s="476"/>
      <c r="BO22" s="476"/>
      <c r="BP22" s="476"/>
      <c r="BQ22" s="476"/>
      <c r="BR22" s="476"/>
      <c r="BS22" s="476"/>
      <c r="BT22" s="476"/>
      <c r="BU22" s="476"/>
      <c r="BV22" s="476"/>
      <c r="BW22" s="476"/>
      <c r="BX22" s="476"/>
      <c r="BY22" s="476"/>
      <c r="BZ22" s="476"/>
      <c r="CA22" s="476"/>
      <c r="CB22" s="476"/>
      <c r="CC22" s="476"/>
      <c r="CD22" s="476"/>
      <c r="CE22" s="476"/>
      <c r="CF22" s="476"/>
      <c r="CG22" s="476"/>
      <c r="CH22" s="476"/>
      <c r="CI22" s="476"/>
      <c r="CJ22" s="476"/>
      <c r="CK22" s="476"/>
      <c r="CL22" s="476"/>
      <c r="CM22" s="476"/>
      <c r="CN22" s="476"/>
      <c r="CO22" s="476"/>
      <c r="CP22" s="476"/>
      <c r="CQ22" s="476"/>
      <c r="CR22" s="476"/>
      <c r="CS22" s="476"/>
      <c r="CT22" s="476"/>
      <c r="CU22" s="476"/>
      <c r="CV22" s="476"/>
      <c r="CW22" s="476"/>
      <c r="CX22" s="476"/>
      <c r="CY22" s="476"/>
      <c r="CZ22" s="476"/>
      <c r="DA22" s="476"/>
      <c r="DB22" s="476"/>
      <c r="DC22" s="476"/>
    </row>
    <row r="23" spans="1:20" ht="12.75">
      <c r="A23" s="74" t="s">
        <v>404</v>
      </c>
      <c r="B23" s="480">
        <f>SUM(B24:B25)</f>
        <v>3445510</v>
      </c>
      <c r="C23" s="480">
        <f aca="true" t="shared" si="11" ref="C23:I23">SUM(C24:C25)</f>
        <v>0</v>
      </c>
      <c r="D23" s="681">
        <f t="shared" si="1"/>
        <v>0</v>
      </c>
      <c r="E23" s="480">
        <f t="shared" si="11"/>
        <v>3279510</v>
      </c>
      <c r="F23" s="480">
        <f t="shared" si="11"/>
        <v>0</v>
      </c>
      <c r="G23" s="681">
        <f t="shared" si="2"/>
        <v>0</v>
      </c>
      <c r="H23" s="480">
        <f t="shared" si="11"/>
        <v>7392100</v>
      </c>
      <c r="I23" s="480">
        <f t="shared" si="11"/>
        <v>0</v>
      </c>
      <c r="J23" s="681">
        <f t="shared" si="6"/>
        <v>0</v>
      </c>
      <c r="K23" s="74" t="s">
        <v>404</v>
      </c>
      <c r="L23" s="480">
        <f aca="true" t="shared" si="12" ref="L23:S23">SUM(L24:L25)</f>
        <v>3445</v>
      </c>
      <c r="M23" s="480">
        <f t="shared" si="12"/>
        <v>0</v>
      </c>
      <c r="N23" s="681">
        <f t="shared" si="4"/>
        <v>0</v>
      </c>
      <c r="O23" s="480">
        <f t="shared" si="12"/>
        <v>3280</v>
      </c>
      <c r="P23" s="480">
        <f t="shared" si="12"/>
        <v>0</v>
      </c>
      <c r="Q23" s="681">
        <f t="shared" si="5"/>
        <v>0</v>
      </c>
      <c r="R23" s="480">
        <f t="shared" si="12"/>
        <v>7392</v>
      </c>
      <c r="S23" s="480">
        <f t="shared" si="12"/>
        <v>0</v>
      </c>
      <c r="T23" s="681">
        <f t="shared" si="7"/>
        <v>0</v>
      </c>
    </row>
    <row r="24" spans="1:107" s="477" customFormat="1" ht="12.75">
      <c r="A24" s="482" t="s">
        <v>105</v>
      </c>
      <c r="B24" s="27">
        <v>4510</v>
      </c>
      <c r="C24" s="27"/>
      <c r="D24" s="682">
        <f t="shared" si="1"/>
        <v>0</v>
      </c>
      <c r="E24" s="27">
        <v>4510</v>
      </c>
      <c r="F24" s="27"/>
      <c r="G24" s="682"/>
      <c r="H24" s="27"/>
      <c r="I24" s="27"/>
      <c r="J24" s="682"/>
      <c r="K24" s="482" t="s">
        <v>105</v>
      </c>
      <c r="L24" s="27">
        <f>ROUND(B24/1000,0)-1</f>
        <v>4</v>
      </c>
      <c r="M24" s="27">
        <f aca="true" t="shared" si="13" ref="M24:S25">ROUND(C24/1000,0)</f>
        <v>0</v>
      </c>
      <c r="N24" s="682">
        <f t="shared" si="4"/>
        <v>0</v>
      </c>
      <c r="O24" s="27">
        <f t="shared" si="13"/>
        <v>5</v>
      </c>
      <c r="P24" s="27">
        <f t="shared" si="13"/>
        <v>0</v>
      </c>
      <c r="Q24" s="682">
        <f t="shared" si="5"/>
        <v>0</v>
      </c>
      <c r="R24" s="27">
        <f t="shared" si="13"/>
        <v>0</v>
      </c>
      <c r="S24" s="27">
        <f t="shared" si="13"/>
        <v>0</v>
      </c>
      <c r="T24" s="682"/>
      <c r="U24" s="476"/>
      <c r="V24" s="476"/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76"/>
      <c r="AQ24" s="476"/>
      <c r="AR24" s="476"/>
      <c r="AS24" s="476"/>
      <c r="AT24" s="476"/>
      <c r="AU24" s="476"/>
      <c r="AV24" s="476"/>
      <c r="AW24" s="476"/>
      <c r="AX24" s="476"/>
      <c r="AY24" s="476"/>
      <c r="AZ24" s="476"/>
      <c r="BA24" s="476"/>
      <c r="BB24" s="476"/>
      <c r="BC24" s="476"/>
      <c r="BD24" s="476"/>
      <c r="BE24" s="476"/>
      <c r="BF24" s="476"/>
      <c r="BG24" s="476"/>
      <c r="BH24" s="476"/>
      <c r="BI24" s="476"/>
      <c r="BJ24" s="476"/>
      <c r="BK24" s="476"/>
      <c r="BL24" s="476"/>
      <c r="BM24" s="476"/>
      <c r="BN24" s="476"/>
      <c r="BO24" s="476"/>
      <c r="BP24" s="476"/>
      <c r="BQ24" s="476"/>
      <c r="BR24" s="476"/>
      <c r="BS24" s="476"/>
      <c r="BT24" s="476"/>
      <c r="BU24" s="476"/>
      <c r="BV24" s="476"/>
      <c r="BW24" s="476"/>
      <c r="BX24" s="476"/>
      <c r="BY24" s="476"/>
      <c r="BZ24" s="476"/>
      <c r="CA24" s="476"/>
      <c r="CB24" s="476"/>
      <c r="CC24" s="476"/>
      <c r="CD24" s="476"/>
      <c r="CE24" s="476"/>
      <c r="CF24" s="476"/>
      <c r="CG24" s="476"/>
      <c r="CH24" s="476"/>
      <c r="CI24" s="476"/>
      <c r="CJ24" s="476"/>
      <c r="CK24" s="476"/>
      <c r="CL24" s="476"/>
      <c r="CM24" s="476"/>
      <c r="CN24" s="476"/>
      <c r="CO24" s="476"/>
      <c r="CP24" s="476"/>
      <c r="CQ24" s="476"/>
      <c r="CR24" s="476"/>
      <c r="CS24" s="476"/>
      <c r="CT24" s="476"/>
      <c r="CU24" s="476"/>
      <c r="CV24" s="476"/>
      <c r="CW24" s="476"/>
      <c r="CX24" s="476"/>
      <c r="CY24" s="476"/>
      <c r="CZ24" s="476"/>
      <c r="DA24" s="476"/>
      <c r="DB24" s="476"/>
      <c r="DC24" s="476"/>
    </row>
    <row r="25" spans="1:107" s="477" customFormat="1" ht="12.75">
      <c r="A25" s="482" t="s">
        <v>712</v>
      </c>
      <c r="B25" s="27">
        <v>3441000</v>
      </c>
      <c r="D25" s="682">
        <f t="shared" si="1"/>
        <v>0</v>
      </c>
      <c r="E25" s="27">
        <v>3275000</v>
      </c>
      <c r="F25" s="27"/>
      <c r="G25" s="682">
        <f t="shared" si="2"/>
        <v>0</v>
      </c>
      <c r="H25" s="27">
        <v>7392100</v>
      </c>
      <c r="I25" s="27"/>
      <c r="J25" s="682">
        <f t="shared" si="6"/>
        <v>0</v>
      </c>
      <c r="K25" s="482" t="s">
        <v>712</v>
      </c>
      <c r="L25" s="27">
        <f>ROUND(B25/1000,0)</f>
        <v>3441</v>
      </c>
      <c r="M25" s="27">
        <f t="shared" si="13"/>
        <v>0</v>
      </c>
      <c r="N25" s="682">
        <f t="shared" si="4"/>
        <v>0</v>
      </c>
      <c r="O25" s="27">
        <f t="shared" si="13"/>
        <v>3275</v>
      </c>
      <c r="P25" s="27">
        <f t="shared" si="13"/>
        <v>0</v>
      </c>
      <c r="Q25" s="682">
        <f t="shared" si="5"/>
        <v>0</v>
      </c>
      <c r="R25" s="27">
        <f t="shared" si="13"/>
        <v>7392</v>
      </c>
      <c r="S25" s="27">
        <f t="shared" si="13"/>
        <v>0</v>
      </c>
      <c r="T25" s="682">
        <f t="shared" si="7"/>
        <v>0</v>
      </c>
      <c r="U25" s="476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76"/>
      <c r="AS25" s="476"/>
      <c r="AT25" s="476"/>
      <c r="AU25" s="476"/>
      <c r="AV25" s="476"/>
      <c r="AW25" s="476"/>
      <c r="AX25" s="476"/>
      <c r="AY25" s="476"/>
      <c r="AZ25" s="476"/>
      <c r="BA25" s="476"/>
      <c r="BB25" s="476"/>
      <c r="BC25" s="476"/>
      <c r="BD25" s="476"/>
      <c r="BE25" s="476"/>
      <c r="BF25" s="476"/>
      <c r="BG25" s="476"/>
      <c r="BH25" s="476"/>
      <c r="BI25" s="476"/>
      <c r="BJ25" s="476"/>
      <c r="BK25" s="476"/>
      <c r="BL25" s="476"/>
      <c r="BM25" s="476"/>
      <c r="BN25" s="476"/>
      <c r="BO25" s="476"/>
      <c r="BP25" s="476"/>
      <c r="BQ25" s="476"/>
      <c r="BR25" s="476"/>
      <c r="BS25" s="476"/>
      <c r="BT25" s="476"/>
      <c r="BU25" s="476"/>
      <c r="BV25" s="476"/>
      <c r="BW25" s="476"/>
      <c r="BX25" s="476"/>
      <c r="BY25" s="476"/>
      <c r="BZ25" s="476"/>
      <c r="CA25" s="476"/>
      <c r="CB25" s="476"/>
      <c r="CC25" s="476"/>
      <c r="CD25" s="476"/>
      <c r="CE25" s="476"/>
      <c r="CF25" s="476"/>
      <c r="CG25" s="476"/>
      <c r="CH25" s="476"/>
      <c r="CI25" s="476"/>
      <c r="CJ25" s="476"/>
      <c r="CK25" s="476"/>
      <c r="CL25" s="476"/>
      <c r="CM25" s="476"/>
      <c r="CN25" s="476"/>
      <c r="CO25" s="476"/>
      <c r="CP25" s="476"/>
      <c r="CQ25" s="476"/>
      <c r="CR25" s="476"/>
      <c r="CS25" s="476"/>
      <c r="CT25" s="476"/>
      <c r="CU25" s="476"/>
      <c r="CV25" s="476"/>
      <c r="CW25" s="476"/>
      <c r="CX25" s="476"/>
      <c r="CY25" s="476"/>
      <c r="CZ25" s="476"/>
      <c r="DA25" s="476"/>
      <c r="DB25" s="476"/>
      <c r="DC25" s="476"/>
    </row>
    <row r="26" spans="1:20" ht="12.75">
      <c r="A26" s="74" t="s">
        <v>406</v>
      </c>
      <c r="B26" s="480">
        <f>SUM(B27:B29)</f>
        <v>1416488</v>
      </c>
      <c r="C26" s="480">
        <f>SUM(C27:C29)</f>
        <v>1651840</v>
      </c>
      <c r="D26" s="681">
        <f t="shared" si="1"/>
        <v>116.61517782007331</v>
      </c>
      <c r="E26" s="480">
        <f>SUM(E27:E29)</f>
        <v>687936</v>
      </c>
      <c r="F26" s="480">
        <f>SUM(F27:F29)</f>
        <v>1651840</v>
      </c>
      <c r="G26" s="681">
        <f t="shared" si="2"/>
        <v>240.11535956833194</v>
      </c>
      <c r="H26" s="480">
        <f>SUM(H27:H29)</f>
        <v>893064</v>
      </c>
      <c r="I26" s="480">
        <f>SUM(I27:I29)</f>
        <v>0</v>
      </c>
      <c r="J26" s="681">
        <f t="shared" si="6"/>
        <v>0</v>
      </c>
      <c r="K26" s="74" t="s">
        <v>406</v>
      </c>
      <c r="L26" s="480">
        <f>SUM(L27:L29)</f>
        <v>1417</v>
      </c>
      <c r="M26" s="480">
        <f>SUM(M27:M29)</f>
        <v>1652</v>
      </c>
      <c r="N26" s="681">
        <f t="shared" si="4"/>
        <v>116.58433309809458</v>
      </c>
      <c r="O26" s="480">
        <f>SUM(O27:O29)</f>
        <v>688</v>
      </c>
      <c r="P26" s="480">
        <f>SUM(P27:P29)</f>
        <v>1652</v>
      </c>
      <c r="Q26" s="681">
        <f t="shared" si="5"/>
        <v>240.11627906976742</v>
      </c>
      <c r="R26" s="480">
        <f>SUM(R27:R29)</f>
        <v>894</v>
      </c>
      <c r="S26" s="480">
        <f>SUM(S27:S29)</f>
        <v>0</v>
      </c>
      <c r="T26" s="681">
        <f t="shared" si="7"/>
        <v>0</v>
      </c>
    </row>
    <row r="27" spans="1:107" s="477" customFormat="1" ht="12.75">
      <c r="A27" s="482" t="s">
        <v>105</v>
      </c>
      <c r="B27" s="27">
        <v>1388740</v>
      </c>
      <c r="C27" s="27">
        <v>1651840</v>
      </c>
      <c r="D27" s="682">
        <f t="shared" si="1"/>
        <v>118.94523092875555</v>
      </c>
      <c r="E27" s="27">
        <v>660740</v>
      </c>
      <c r="F27" s="27">
        <v>1651840</v>
      </c>
      <c r="G27" s="682">
        <f t="shared" si="2"/>
        <v>249.9984865453885</v>
      </c>
      <c r="H27" s="27">
        <v>654740</v>
      </c>
      <c r="I27" s="27"/>
      <c r="J27" s="682">
        <f t="shared" si="6"/>
        <v>0</v>
      </c>
      <c r="K27" s="482" t="s">
        <v>105</v>
      </c>
      <c r="L27" s="27">
        <f aca="true" t="shared" si="14" ref="L27:M29">ROUND(B27/1000,0)</f>
        <v>1389</v>
      </c>
      <c r="M27" s="27">
        <f t="shared" si="14"/>
        <v>1652</v>
      </c>
      <c r="N27" s="682">
        <f t="shared" si="4"/>
        <v>118.93448524118071</v>
      </c>
      <c r="O27" s="27">
        <f aca="true" t="shared" si="15" ref="O27:P29">ROUND(E27/1000,0)</f>
        <v>661</v>
      </c>
      <c r="P27" s="27">
        <f>ROUND(F27/1000,0)</f>
        <v>1652</v>
      </c>
      <c r="Q27" s="682">
        <f t="shared" si="5"/>
        <v>249.92435703479578</v>
      </c>
      <c r="R27" s="27">
        <f aca="true" t="shared" si="16" ref="R27:S29">ROUND(H27/1000,0)</f>
        <v>655</v>
      </c>
      <c r="S27" s="27">
        <f t="shared" si="16"/>
        <v>0</v>
      </c>
      <c r="T27" s="682">
        <f t="shared" si="7"/>
        <v>0</v>
      </c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6"/>
      <c r="AQ27" s="476"/>
      <c r="AR27" s="476"/>
      <c r="AS27" s="476"/>
      <c r="AT27" s="476"/>
      <c r="AU27" s="476"/>
      <c r="AV27" s="476"/>
      <c r="AW27" s="476"/>
      <c r="AX27" s="476"/>
      <c r="AY27" s="476"/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6"/>
      <c r="BK27" s="476"/>
      <c r="BL27" s="476"/>
      <c r="BM27" s="476"/>
      <c r="BN27" s="476"/>
      <c r="BO27" s="476"/>
      <c r="BP27" s="476"/>
      <c r="BQ27" s="476"/>
      <c r="BR27" s="476"/>
      <c r="BS27" s="476"/>
      <c r="BT27" s="476"/>
      <c r="BU27" s="476"/>
      <c r="BV27" s="476"/>
      <c r="BW27" s="476"/>
      <c r="BX27" s="476"/>
      <c r="BY27" s="476"/>
      <c r="BZ27" s="476"/>
      <c r="CA27" s="476"/>
      <c r="CB27" s="476"/>
      <c r="CC27" s="476"/>
      <c r="CD27" s="476"/>
      <c r="CE27" s="476"/>
      <c r="CF27" s="476"/>
      <c r="CG27" s="476"/>
      <c r="CH27" s="476"/>
      <c r="CI27" s="476"/>
      <c r="CJ27" s="476"/>
      <c r="CK27" s="476"/>
      <c r="CL27" s="476"/>
      <c r="CM27" s="476"/>
      <c r="CN27" s="476"/>
      <c r="CO27" s="476"/>
      <c r="CP27" s="476"/>
      <c r="CQ27" s="476"/>
      <c r="CR27" s="476"/>
      <c r="CS27" s="476"/>
      <c r="CT27" s="476"/>
      <c r="CU27" s="476"/>
      <c r="CV27" s="476"/>
      <c r="CW27" s="476"/>
      <c r="CX27" s="476"/>
      <c r="CY27" s="476"/>
      <c r="CZ27" s="476"/>
      <c r="DA27" s="476"/>
      <c r="DB27" s="476"/>
      <c r="DC27" s="476"/>
    </row>
    <row r="28" spans="1:107" s="477" customFormat="1" ht="12.75">
      <c r="A28" s="482" t="s">
        <v>106</v>
      </c>
      <c r="B28" s="27">
        <v>2400</v>
      </c>
      <c r="C28" s="27"/>
      <c r="D28" s="682">
        <f t="shared" si="1"/>
        <v>0</v>
      </c>
      <c r="E28" s="27">
        <v>2400</v>
      </c>
      <c r="F28" s="27"/>
      <c r="G28" s="682">
        <f t="shared" si="2"/>
        <v>0</v>
      </c>
      <c r="H28" s="27">
        <v>9600</v>
      </c>
      <c r="I28" s="27"/>
      <c r="J28" s="682">
        <f t="shared" si="6"/>
        <v>0</v>
      </c>
      <c r="K28" s="683" t="s">
        <v>106</v>
      </c>
      <c r="L28" s="27">
        <f>ROUND(B28/1000,0)+1</f>
        <v>3</v>
      </c>
      <c r="M28" s="27">
        <f t="shared" si="14"/>
        <v>0</v>
      </c>
      <c r="N28" s="682">
        <f t="shared" si="4"/>
        <v>0</v>
      </c>
      <c r="O28" s="27">
        <f t="shared" si="15"/>
        <v>2</v>
      </c>
      <c r="P28" s="27">
        <f t="shared" si="15"/>
        <v>0</v>
      </c>
      <c r="Q28" s="682">
        <f t="shared" si="5"/>
        <v>0</v>
      </c>
      <c r="R28" s="27">
        <f t="shared" si="16"/>
        <v>10</v>
      </c>
      <c r="S28" s="27">
        <f t="shared" si="16"/>
        <v>0</v>
      </c>
      <c r="T28" s="682">
        <f t="shared" si="7"/>
        <v>0</v>
      </c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6"/>
      <c r="AS28" s="476"/>
      <c r="AT28" s="476"/>
      <c r="AU28" s="476"/>
      <c r="AV28" s="476"/>
      <c r="AW28" s="476"/>
      <c r="AX28" s="476"/>
      <c r="AY28" s="476"/>
      <c r="AZ28" s="476"/>
      <c r="BA28" s="476"/>
      <c r="BB28" s="476"/>
      <c r="BC28" s="476"/>
      <c r="BD28" s="476"/>
      <c r="BE28" s="476"/>
      <c r="BF28" s="476"/>
      <c r="BG28" s="476"/>
      <c r="BH28" s="476"/>
      <c r="BI28" s="476"/>
      <c r="BJ28" s="476"/>
      <c r="BK28" s="476"/>
      <c r="BL28" s="476"/>
      <c r="BM28" s="476"/>
      <c r="BN28" s="476"/>
      <c r="BO28" s="476"/>
      <c r="BP28" s="476"/>
      <c r="BQ28" s="476"/>
      <c r="BR28" s="476"/>
      <c r="BS28" s="476"/>
      <c r="BT28" s="476"/>
      <c r="BU28" s="476"/>
      <c r="BV28" s="476"/>
      <c r="BW28" s="476"/>
      <c r="BX28" s="476"/>
      <c r="BY28" s="476"/>
      <c r="BZ28" s="476"/>
      <c r="CA28" s="476"/>
      <c r="CB28" s="476"/>
      <c r="CC28" s="476"/>
      <c r="CD28" s="476"/>
      <c r="CE28" s="476"/>
      <c r="CF28" s="476"/>
      <c r="CG28" s="476"/>
      <c r="CH28" s="476"/>
      <c r="CI28" s="476"/>
      <c r="CJ28" s="476"/>
      <c r="CK28" s="476"/>
      <c r="CL28" s="476"/>
      <c r="CM28" s="476"/>
      <c r="CN28" s="476"/>
      <c r="CO28" s="476"/>
      <c r="CP28" s="476"/>
      <c r="CQ28" s="476"/>
      <c r="CR28" s="476"/>
      <c r="CS28" s="476"/>
      <c r="CT28" s="476"/>
      <c r="CU28" s="476"/>
      <c r="CV28" s="476"/>
      <c r="CW28" s="476"/>
      <c r="CX28" s="476"/>
      <c r="CY28" s="476"/>
      <c r="CZ28" s="476"/>
      <c r="DA28" s="476"/>
      <c r="DB28" s="476"/>
      <c r="DC28" s="476"/>
    </row>
    <row r="29" spans="1:107" s="137" customFormat="1" ht="12.75">
      <c r="A29" s="482" t="s">
        <v>107</v>
      </c>
      <c r="B29" s="27">
        <v>25348</v>
      </c>
      <c r="C29" s="27"/>
      <c r="D29" s="682">
        <f t="shared" si="1"/>
        <v>0</v>
      </c>
      <c r="E29" s="27">
        <v>24796</v>
      </c>
      <c r="F29" s="27"/>
      <c r="G29" s="682">
        <f t="shared" si="2"/>
        <v>0</v>
      </c>
      <c r="H29" s="27">
        <v>228724</v>
      </c>
      <c r="I29" s="27"/>
      <c r="J29" s="684">
        <f t="shared" si="6"/>
        <v>0</v>
      </c>
      <c r="K29" s="482" t="s">
        <v>107</v>
      </c>
      <c r="L29" s="685">
        <f t="shared" si="14"/>
        <v>25</v>
      </c>
      <c r="M29" s="27">
        <f t="shared" si="14"/>
        <v>0</v>
      </c>
      <c r="N29" s="682">
        <f t="shared" si="4"/>
        <v>0</v>
      </c>
      <c r="O29" s="27">
        <f t="shared" si="15"/>
        <v>25</v>
      </c>
      <c r="P29" s="27">
        <f t="shared" si="15"/>
        <v>0</v>
      </c>
      <c r="Q29" s="682">
        <f t="shared" si="5"/>
        <v>0</v>
      </c>
      <c r="R29" s="27">
        <f t="shared" si="16"/>
        <v>229</v>
      </c>
      <c r="S29" s="27">
        <f t="shared" si="16"/>
        <v>0</v>
      </c>
      <c r="T29" s="682">
        <f t="shared" si="7"/>
        <v>0</v>
      </c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76"/>
      <c r="AP29" s="476"/>
      <c r="AQ29" s="476"/>
      <c r="AR29" s="476"/>
      <c r="AS29" s="476"/>
      <c r="AT29" s="476"/>
      <c r="AU29" s="476"/>
      <c r="AV29" s="476"/>
      <c r="AW29" s="476"/>
      <c r="AX29" s="476"/>
      <c r="AY29" s="476"/>
      <c r="AZ29" s="476"/>
      <c r="BA29" s="476"/>
      <c r="BB29" s="476"/>
      <c r="BC29" s="476"/>
      <c r="BD29" s="476"/>
      <c r="BE29" s="476"/>
      <c r="BF29" s="476"/>
      <c r="BG29" s="476"/>
      <c r="BH29" s="476"/>
      <c r="BI29" s="476"/>
      <c r="BJ29" s="476"/>
      <c r="BK29" s="476"/>
      <c r="BL29" s="476"/>
      <c r="BM29" s="476"/>
      <c r="BN29" s="476"/>
      <c r="BO29" s="476"/>
      <c r="BP29" s="476"/>
      <c r="BQ29" s="476"/>
      <c r="BR29" s="476"/>
      <c r="BS29" s="476"/>
      <c r="BT29" s="476"/>
      <c r="BU29" s="476"/>
      <c r="BV29" s="476"/>
      <c r="BW29" s="476"/>
      <c r="BX29" s="476"/>
      <c r="BY29" s="476"/>
      <c r="BZ29" s="476"/>
      <c r="CA29" s="476"/>
      <c r="CB29" s="476"/>
      <c r="CC29" s="476"/>
      <c r="CD29" s="476"/>
      <c r="CE29" s="476"/>
      <c r="CF29" s="476"/>
      <c r="CG29" s="476"/>
      <c r="CH29" s="476"/>
      <c r="CI29" s="476"/>
      <c r="CJ29" s="476"/>
      <c r="CK29" s="476"/>
      <c r="CL29" s="476"/>
      <c r="CM29" s="476"/>
      <c r="CN29" s="476"/>
      <c r="CO29" s="476"/>
      <c r="CP29" s="476"/>
      <c r="CQ29" s="476"/>
      <c r="CR29" s="476"/>
      <c r="CS29" s="476"/>
      <c r="CT29" s="476"/>
      <c r="CU29" s="476"/>
      <c r="CV29" s="476"/>
      <c r="CW29" s="476"/>
      <c r="CX29" s="476"/>
      <c r="CY29" s="476"/>
      <c r="CZ29" s="476"/>
      <c r="DA29" s="476"/>
      <c r="DB29" s="476"/>
      <c r="DC29" s="476"/>
    </row>
    <row r="30" spans="1:20" ht="12.75">
      <c r="A30" s="74" t="s">
        <v>408</v>
      </c>
      <c r="B30" s="480">
        <f>SUM(B31:B34)</f>
        <v>971281</v>
      </c>
      <c r="C30" s="480">
        <f>SUM(C31:C34)</f>
        <v>0</v>
      </c>
      <c r="D30" s="681">
        <f t="shared" si="1"/>
        <v>0</v>
      </c>
      <c r="E30" s="480">
        <f>SUM(E31:E34)</f>
        <v>987980</v>
      </c>
      <c r="F30" s="480">
        <f>SUM(F31:F34)</f>
        <v>0</v>
      </c>
      <c r="G30" s="681">
        <f t="shared" si="2"/>
        <v>0</v>
      </c>
      <c r="H30" s="480">
        <f>SUM(H31:H34)</f>
        <v>4179644</v>
      </c>
      <c r="I30" s="480">
        <f>SUM(I31:I34)</f>
        <v>0</v>
      </c>
      <c r="J30" s="681">
        <f t="shared" si="6"/>
        <v>0</v>
      </c>
      <c r="K30" s="686" t="s">
        <v>408</v>
      </c>
      <c r="L30" s="480">
        <f>SUM(L31:L34)</f>
        <v>971</v>
      </c>
      <c r="M30" s="480">
        <f>SUM(M31:M34)</f>
        <v>0</v>
      </c>
      <c r="N30" s="681">
        <f t="shared" si="4"/>
        <v>0</v>
      </c>
      <c r="O30" s="480">
        <f>SUM(O31:O34)</f>
        <v>988</v>
      </c>
      <c r="P30" s="480">
        <f>SUM(P31:P34)</f>
        <v>0</v>
      </c>
      <c r="Q30" s="681">
        <f t="shared" si="5"/>
        <v>0</v>
      </c>
      <c r="R30" s="480">
        <f>SUM(R31:R34)</f>
        <v>4180</v>
      </c>
      <c r="S30" s="480">
        <f>SUM(S31:S34)</f>
        <v>0</v>
      </c>
      <c r="T30" s="681">
        <f t="shared" si="7"/>
        <v>0</v>
      </c>
    </row>
    <row r="31" spans="1:107" s="477" customFormat="1" ht="12.75">
      <c r="A31" s="482" t="s">
        <v>104</v>
      </c>
      <c r="B31" s="27">
        <v>102930</v>
      </c>
      <c r="C31" s="27"/>
      <c r="D31" s="682">
        <f t="shared" si="1"/>
        <v>0</v>
      </c>
      <c r="E31" s="27">
        <v>77944</v>
      </c>
      <c r="F31" s="27"/>
      <c r="G31" s="682">
        <f t="shared" si="2"/>
        <v>0</v>
      </c>
      <c r="H31" s="27">
        <v>26847</v>
      </c>
      <c r="I31" s="27"/>
      <c r="J31" s="682">
        <f t="shared" si="6"/>
        <v>0</v>
      </c>
      <c r="K31" s="482" t="s">
        <v>104</v>
      </c>
      <c r="L31" s="27">
        <f aca="true" t="shared" si="17" ref="L31:M34">ROUND(B31/1000,0)</f>
        <v>103</v>
      </c>
      <c r="M31" s="27">
        <f t="shared" si="17"/>
        <v>0</v>
      </c>
      <c r="N31" s="682">
        <f t="shared" si="4"/>
        <v>0</v>
      </c>
      <c r="O31" s="27">
        <f aca="true" t="shared" si="18" ref="O31:P34">ROUND(E31/1000,0)</f>
        <v>78</v>
      </c>
      <c r="P31" s="27">
        <f t="shared" si="18"/>
        <v>0</v>
      </c>
      <c r="Q31" s="682">
        <f t="shared" si="5"/>
        <v>0</v>
      </c>
      <c r="R31" s="27">
        <f aca="true" t="shared" si="19" ref="R31:S34">ROUND(H31/1000,0)</f>
        <v>27</v>
      </c>
      <c r="S31" s="27">
        <f t="shared" si="19"/>
        <v>0</v>
      </c>
      <c r="T31" s="682">
        <f t="shared" si="7"/>
        <v>0</v>
      </c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6"/>
      <c r="BZ31" s="476"/>
      <c r="CA31" s="476"/>
      <c r="CB31" s="476"/>
      <c r="CC31" s="476"/>
      <c r="CD31" s="476"/>
      <c r="CE31" s="476"/>
      <c r="CF31" s="476"/>
      <c r="CG31" s="476"/>
      <c r="CH31" s="476"/>
      <c r="CI31" s="476"/>
      <c r="CJ31" s="476"/>
      <c r="CK31" s="476"/>
      <c r="CL31" s="476"/>
      <c r="CM31" s="476"/>
      <c r="CN31" s="476"/>
      <c r="CO31" s="476"/>
      <c r="CP31" s="476"/>
      <c r="CQ31" s="476"/>
      <c r="CR31" s="476"/>
      <c r="CS31" s="476"/>
      <c r="CT31" s="476"/>
      <c r="CU31" s="476"/>
      <c r="CV31" s="476"/>
      <c r="CW31" s="476"/>
      <c r="CX31" s="476"/>
      <c r="CY31" s="476"/>
      <c r="CZ31" s="476"/>
      <c r="DA31" s="476"/>
      <c r="DB31" s="476"/>
      <c r="DC31" s="476"/>
    </row>
    <row r="32" spans="1:107" s="477" customFormat="1" ht="12.75">
      <c r="A32" s="482" t="s">
        <v>477</v>
      </c>
      <c r="B32" s="27">
        <v>18351</v>
      </c>
      <c r="C32" s="27"/>
      <c r="D32" s="682">
        <f t="shared" si="1"/>
        <v>0</v>
      </c>
      <c r="E32" s="27">
        <v>10036</v>
      </c>
      <c r="F32" s="27"/>
      <c r="G32" s="682">
        <f t="shared" si="2"/>
        <v>0</v>
      </c>
      <c r="H32" s="27">
        <v>2797</v>
      </c>
      <c r="I32" s="27"/>
      <c r="J32" s="682">
        <f t="shared" si="6"/>
        <v>0</v>
      </c>
      <c r="K32" s="482" t="s">
        <v>477</v>
      </c>
      <c r="L32" s="27">
        <f t="shared" si="17"/>
        <v>18</v>
      </c>
      <c r="M32" s="27">
        <f t="shared" si="17"/>
        <v>0</v>
      </c>
      <c r="N32" s="682">
        <f t="shared" si="4"/>
        <v>0</v>
      </c>
      <c r="O32" s="27">
        <f t="shared" si="18"/>
        <v>10</v>
      </c>
      <c r="P32" s="27">
        <f t="shared" si="18"/>
        <v>0</v>
      </c>
      <c r="Q32" s="682">
        <f t="shared" si="5"/>
        <v>0</v>
      </c>
      <c r="R32" s="27">
        <f t="shared" si="19"/>
        <v>3</v>
      </c>
      <c r="S32" s="27">
        <f t="shared" si="19"/>
        <v>0</v>
      </c>
      <c r="T32" s="682">
        <f t="shared" si="7"/>
        <v>0</v>
      </c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6"/>
      <c r="AP32" s="476"/>
      <c r="AQ32" s="476"/>
      <c r="AR32" s="476"/>
      <c r="AS32" s="476"/>
      <c r="AT32" s="476"/>
      <c r="AU32" s="476"/>
      <c r="AV32" s="476"/>
      <c r="AW32" s="476"/>
      <c r="AX32" s="476"/>
      <c r="AY32" s="476"/>
      <c r="AZ32" s="476"/>
      <c r="BA32" s="476"/>
      <c r="BB32" s="476"/>
      <c r="BC32" s="476"/>
      <c r="BD32" s="476"/>
      <c r="BE32" s="476"/>
      <c r="BF32" s="476"/>
      <c r="BG32" s="476"/>
      <c r="BH32" s="476"/>
      <c r="BI32" s="476"/>
      <c r="BJ32" s="476"/>
      <c r="BK32" s="476"/>
      <c r="BL32" s="476"/>
      <c r="BM32" s="476"/>
      <c r="BN32" s="476"/>
      <c r="BO32" s="476"/>
      <c r="BP32" s="476"/>
      <c r="BQ32" s="476"/>
      <c r="BR32" s="476"/>
      <c r="BS32" s="476"/>
      <c r="BT32" s="476"/>
      <c r="BU32" s="476"/>
      <c r="BV32" s="476"/>
      <c r="BW32" s="476"/>
      <c r="BX32" s="476"/>
      <c r="BY32" s="476"/>
      <c r="BZ32" s="476"/>
      <c r="CA32" s="476"/>
      <c r="CB32" s="476"/>
      <c r="CC32" s="476"/>
      <c r="CD32" s="476"/>
      <c r="CE32" s="476"/>
      <c r="CF32" s="476"/>
      <c r="CG32" s="476"/>
      <c r="CH32" s="476"/>
      <c r="CI32" s="476"/>
      <c r="CJ32" s="476"/>
      <c r="CK32" s="476"/>
      <c r="CL32" s="476"/>
      <c r="CM32" s="476"/>
      <c r="CN32" s="476"/>
      <c r="CO32" s="476"/>
      <c r="CP32" s="476"/>
      <c r="CQ32" s="476"/>
      <c r="CR32" s="476"/>
      <c r="CS32" s="476"/>
      <c r="CT32" s="476"/>
      <c r="CU32" s="476"/>
      <c r="CV32" s="476"/>
      <c r="CW32" s="476"/>
      <c r="CX32" s="476"/>
      <c r="CY32" s="476"/>
      <c r="CZ32" s="476"/>
      <c r="DA32" s="476"/>
      <c r="DB32" s="476"/>
      <c r="DC32" s="476"/>
    </row>
    <row r="33" spans="1:107" s="477" customFormat="1" ht="12.75">
      <c r="A33" s="482" t="s">
        <v>105</v>
      </c>
      <c r="B33" s="27">
        <v>50000</v>
      </c>
      <c r="C33" s="27"/>
      <c r="D33" s="682">
        <f t="shared" si="1"/>
        <v>0</v>
      </c>
      <c r="E33" s="27">
        <v>50000</v>
      </c>
      <c r="F33" s="27"/>
      <c r="G33" s="682">
        <f t="shared" si="2"/>
        <v>0</v>
      </c>
      <c r="H33" s="27">
        <v>150000</v>
      </c>
      <c r="I33" s="27"/>
      <c r="J33" s="682">
        <f t="shared" si="6"/>
        <v>0</v>
      </c>
      <c r="K33" s="482" t="s">
        <v>105</v>
      </c>
      <c r="L33" s="27">
        <f t="shared" si="17"/>
        <v>50</v>
      </c>
      <c r="M33" s="27">
        <f t="shared" si="17"/>
        <v>0</v>
      </c>
      <c r="N33" s="682">
        <f t="shared" si="4"/>
        <v>0</v>
      </c>
      <c r="O33" s="27">
        <f t="shared" si="18"/>
        <v>50</v>
      </c>
      <c r="P33" s="27">
        <f t="shared" si="18"/>
        <v>0</v>
      </c>
      <c r="Q33" s="682">
        <f>P33/O33*100</f>
        <v>0</v>
      </c>
      <c r="R33" s="27">
        <f t="shared" si="19"/>
        <v>150</v>
      </c>
      <c r="S33" s="27">
        <f t="shared" si="19"/>
        <v>0</v>
      </c>
      <c r="T33" s="682">
        <f t="shared" si="7"/>
        <v>0</v>
      </c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  <c r="BQ33" s="476"/>
      <c r="BR33" s="476"/>
      <c r="BS33" s="476"/>
      <c r="BT33" s="476"/>
      <c r="BU33" s="476"/>
      <c r="BV33" s="476"/>
      <c r="BW33" s="476"/>
      <c r="BX33" s="476"/>
      <c r="BY33" s="476"/>
      <c r="BZ33" s="476"/>
      <c r="CA33" s="476"/>
      <c r="CB33" s="476"/>
      <c r="CC33" s="476"/>
      <c r="CD33" s="476"/>
      <c r="CE33" s="476"/>
      <c r="CF33" s="476"/>
      <c r="CG33" s="476"/>
      <c r="CH33" s="476"/>
      <c r="CI33" s="476"/>
      <c r="CJ33" s="476"/>
      <c r="CK33" s="476"/>
      <c r="CL33" s="476"/>
      <c r="CM33" s="476"/>
      <c r="CN33" s="476"/>
      <c r="CO33" s="476"/>
      <c r="CP33" s="476"/>
      <c r="CQ33" s="476"/>
      <c r="CR33" s="476"/>
      <c r="CS33" s="476"/>
      <c r="CT33" s="476"/>
      <c r="CU33" s="476"/>
      <c r="CV33" s="476"/>
      <c r="CW33" s="476"/>
      <c r="CX33" s="476"/>
      <c r="CY33" s="476"/>
      <c r="CZ33" s="476"/>
      <c r="DA33" s="476"/>
      <c r="DB33" s="476"/>
      <c r="DC33" s="476"/>
    </row>
    <row r="34" spans="1:107" s="137" customFormat="1" ht="12.75">
      <c r="A34" s="482" t="s">
        <v>107</v>
      </c>
      <c r="B34" s="27">
        <v>800000</v>
      </c>
      <c r="C34" s="27"/>
      <c r="D34" s="682">
        <f t="shared" si="1"/>
        <v>0</v>
      </c>
      <c r="E34" s="27">
        <v>850000</v>
      </c>
      <c r="F34" s="27"/>
      <c r="G34" s="682">
        <f t="shared" si="2"/>
        <v>0</v>
      </c>
      <c r="H34" s="27">
        <v>4000000</v>
      </c>
      <c r="I34" s="27"/>
      <c r="J34" s="682">
        <f t="shared" si="6"/>
        <v>0</v>
      </c>
      <c r="K34" s="482" t="s">
        <v>107</v>
      </c>
      <c r="L34" s="27">
        <f t="shared" si="17"/>
        <v>800</v>
      </c>
      <c r="M34" s="27">
        <f t="shared" si="17"/>
        <v>0</v>
      </c>
      <c r="N34" s="682">
        <f t="shared" si="4"/>
        <v>0</v>
      </c>
      <c r="O34" s="27">
        <f t="shared" si="18"/>
        <v>850</v>
      </c>
      <c r="P34" s="27">
        <f t="shared" si="18"/>
        <v>0</v>
      </c>
      <c r="Q34" s="682">
        <f>P34/O34*100</f>
        <v>0</v>
      </c>
      <c r="R34" s="27">
        <f t="shared" si="19"/>
        <v>4000</v>
      </c>
      <c r="S34" s="27">
        <f t="shared" si="19"/>
        <v>0</v>
      </c>
      <c r="T34" s="682">
        <f t="shared" si="7"/>
        <v>0</v>
      </c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6"/>
      <c r="AI34" s="476"/>
      <c r="AJ34" s="476"/>
      <c r="AK34" s="476"/>
      <c r="AL34" s="476"/>
      <c r="AM34" s="476"/>
      <c r="AN34" s="476"/>
      <c r="AO34" s="476"/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6"/>
      <c r="BD34" s="476"/>
      <c r="BE34" s="476"/>
      <c r="BF34" s="476"/>
      <c r="BG34" s="476"/>
      <c r="BH34" s="476"/>
      <c r="BI34" s="476"/>
      <c r="BJ34" s="476"/>
      <c r="BK34" s="476"/>
      <c r="BL34" s="476"/>
      <c r="BM34" s="476"/>
      <c r="BN34" s="476"/>
      <c r="BO34" s="476"/>
      <c r="BP34" s="476"/>
      <c r="BQ34" s="476"/>
      <c r="BR34" s="476"/>
      <c r="BS34" s="476"/>
      <c r="BT34" s="476"/>
      <c r="BU34" s="476"/>
      <c r="BV34" s="476"/>
      <c r="BW34" s="476"/>
      <c r="BX34" s="476"/>
      <c r="BY34" s="476"/>
      <c r="BZ34" s="476"/>
      <c r="CA34" s="476"/>
      <c r="CB34" s="476"/>
      <c r="CC34" s="476"/>
      <c r="CD34" s="476"/>
      <c r="CE34" s="476"/>
      <c r="CF34" s="476"/>
      <c r="CG34" s="476"/>
      <c r="CH34" s="476"/>
      <c r="CI34" s="476"/>
      <c r="CJ34" s="476"/>
      <c r="CK34" s="476"/>
      <c r="CL34" s="476"/>
      <c r="CM34" s="476"/>
      <c r="CN34" s="476"/>
      <c r="CO34" s="476"/>
      <c r="CP34" s="476"/>
      <c r="CQ34" s="476"/>
      <c r="CR34" s="476"/>
      <c r="CS34" s="476"/>
      <c r="CT34" s="476"/>
      <c r="CU34" s="476"/>
      <c r="CV34" s="476"/>
      <c r="CW34" s="476"/>
      <c r="CX34" s="476"/>
      <c r="CY34" s="476"/>
      <c r="CZ34" s="476"/>
      <c r="DA34" s="476"/>
      <c r="DB34" s="476"/>
      <c r="DC34" s="476"/>
    </row>
    <row r="35" spans="1:20" ht="12.75">
      <c r="A35" s="74" t="s">
        <v>410</v>
      </c>
      <c r="B35" s="480">
        <f>SUM(B36:B39)</f>
        <v>61070319</v>
      </c>
      <c r="C35" s="480">
        <f aca="true" t="shared" si="20" ref="C35:I35">SUM(C36:C39)</f>
        <v>37815900</v>
      </c>
      <c r="D35" s="681">
        <f t="shared" si="1"/>
        <v>61.92189695292078</v>
      </c>
      <c r="E35" s="480">
        <f t="shared" si="20"/>
        <v>65437000</v>
      </c>
      <c r="F35" s="480">
        <f t="shared" si="20"/>
        <v>34141417</v>
      </c>
      <c r="G35" s="681">
        <f t="shared" si="2"/>
        <v>52.174483854699936</v>
      </c>
      <c r="H35" s="480">
        <f t="shared" si="20"/>
        <v>2743403</v>
      </c>
      <c r="I35" s="480">
        <f t="shared" si="20"/>
        <v>0</v>
      </c>
      <c r="J35" s="681">
        <f t="shared" si="6"/>
        <v>0</v>
      </c>
      <c r="K35" s="74" t="s">
        <v>410</v>
      </c>
      <c r="L35" s="480">
        <f aca="true" t="shared" si="21" ref="L35:S35">SUM(L36:L39)</f>
        <v>61070</v>
      </c>
      <c r="M35" s="480">
        <f t="shared" si="21"/>
        <v>37816</v>
      </c>
      <c r="N35" s="681">
        <f t="shared" si="4"/>
        <v>61.92238414933683</v>
      </c>
      <c r="O35" s="480">
        <f t="shared" si="21"/>
        <v>65437</v>
      </c>
      <c r="P35" s="480">
        <f t="shared" si="21"/>
        <v>34141</v>
      </c>
      <c r="Q35" s="681">
        <f t="shared" si="5"/>
        <v>52.173846600547094</v>
      </c>
      <c r="R35" s="480">
        <f t="shared" si="21"/>
        <v>2743</v>
      </c>
      <c r="S35" s="480">
        <f t="shared" si="21"/>
        <v>0</v>
      </c>
      <c r="T35" s="681">
        <f t="shared" si="7"/>
        <v>0</v>
      </c>
    </row>
    <row r="36" spans="1:107" s="477" customFormat="1" ht="12.75">
      <c r="A36" s="482" t="s">
        <v>477</v>
      </c>
      <c r="B36" s="27">
        <v>54000000</v>
      </c>
      <c r="C36" s="27">
        <f>185100+18036400+18491600</f>
        <v>36713100</v>
      </c>
      <c r="D36" s="682">
        <f t="shared" si="1"/>
        <v>67.98722222222221</v>
      </c>
      <c r="E36" s="27">
        <v>59300000</v>
      </c>
      <c r="F36" s="27">
        <f>16524380+17617037</f>
        <v>34141417</v>
      </c>
      <c r="G36" s="682">
        <f t="shared" si="2"/>
        <v>57.57405902192243</v>
      </c>
      <c r="H36" s="27"/>
      <c r="I36" s="27"/>
      <c r="J36" s="682"/>
      <c r="K36" s="482" t="s">
        <v>477</v>
      </c>
      <c r="L36" s="27">
        <f aca="true" t="shared" si="22" ref="L36:M39">ROUND(B36/1000,0)</f>
        <v>54000</v>
      </c>
      <c r="M36" s="27">
        <f t="shared" si="22"/>
        <v>36713</v>
      </c>
      <c r="N36" s="682">
        <f t="shared" si="4"/>
        <v>67.98703703703704</v>
      </c>
      <c r="O36" s="27">
        <f aca="true" t="shared" si="23" ref="O36:P39">ROUND(E36/1000,0)</f>
        <v>59300</v>
      </c>
      <c r="P36" s="27">
        <f>ROUND(F36/1000,0)</f>
        <v>34141</v>
      </c>
      <c r="Q36" s="682">
        <f t="shared" si="5"/>
        <v>57.57335581787522</v>
      </c>
      <c r="R36" s="27">
        <f aca="true" t="shared" si="24" ref="R36:S39">ROUND(H36/1000,0)</f>
        <v>0</v>
      </c>
      <c r="S36" s="27">
        <f t="shared" si="24"/>
        <v>0</v>
      </c>
      <c r="T36" s="682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6"/>
      <c r="BD36" s="476"/>
      <c r="BE36" s="476"/>
      <c r="BF36" s="476"/>
      <c r="BG36" s="476"/>
      <c r="BH36" s="476"/>
      <c r="BI36" s="476"/>
      <c r="BJ36" s="476"/>
      <c r="BK36" s="476"/>
      <c r="BL36" s="476"/>
      <c r="BM36" s="476"/>
      <c r="BN36" s="476"/>
      <c r="BO36" s="476"/>
      <c r="BP36" s="476"/>
      <c r="BQ36" s="476"/>
      <c r="BR36" s="476"/>
      <c r="BS36" s="476"/>
      <c r="BT36" s="476"/>
      <c r="BU36" s="476"/>
      <c r="BV36" s="476"/>
      <c r="BW36" s="476"/>
      <c r="BX36" s="476"/>
      <c r="BY36" s="476"/>
      <c r="BZ36" s="476"/>
      <c r="CA36" s="476"/>
      <c r="CB36" s="476"/>
      <c r="CC36" s="476"/>
      <c r="CD36" s="476"/>
      <c r="CE36" s="476"/>
      <c r="CF36" s="476"/>
      <c r="CG36" s="476"/>
      <c r="CH36" s="476"/>
      <c r="CI36" s="476"/>
      <c r="CJ36" s="476"/>
      <c r="CK36" s="476"/>
      <c r="CL36" s="476"/>
      <c r="CM36" s="476"/>
      <c r="CN36" s="476"/>
      <c r="CO36" s="476"/>
      <c r="CP36" s="476"/>
      <c r="CQ36" s="476"/>
      <c r="CR36" s="476"/>
      <c r="CS36" s="476"/>
      <c r="CT36" s="476"/>
      <c r="CU36" s="476"/>
      <c r="CV36" s="476"/>
      <c r="CW36" s="476"/>
      <c r="CX36" s="476"/>
      <c r="CY36" s="476"/>
      <c r="CZ36" s="476"/>
      <c r="DA36" s="476"/>
      <c r="DB36" s="476"/>
      <c r="DC36" s="476"/>
    </row>
    <row r="37" spans="1:107" s="477" customFormat="1" ht="12.75">
      <c r="A37" s="482" t="s">
        <v>105</v>
      </c>
      <c r="B37" s="27">
        <v>947000</v>
      </c>
      <c r="C37" s="27">
        <f>3000+886000</f>
        <v>889000</v>
      </c>
      <c r="D37" s="682">
        <f t="shared" si="1"/>
        <v>93.8753959873284</v>
      </c>
      <c r="E37" s="27">
        <v>859000</v>
      </c>
      <c r="F37" s="27"/>
      <c r="G37" s="682">
        <f t="shared" si="2"/>
        <v>0</v>
      </c>
      <c r="H37" s="27">
        <v>2623403</v>
      </c>
      <c r="I37" s="27"/>
      <c r="J37" s="682"/>
      <c r="K37" s="482" t="s">
        <v>105</v>
      </c>
      <c r="L37" s="27">
        <f t="shared" si="22"/>
        <v>947</v>
      </c>
      <c r="M37" s="27">
        <f t="shared" si="22"/>
        <v>889</v>
      </c>
      <c r="N37" s="682">
        <f t="shared" si="4"/>
        <v>93.8753959873284</v>
      </c>
      <c r="O37" s="27">
        <f t="shared" si="23"/>
        <v>859</v>
      </c>
      <c r="P37" s="27">
        <f t="shared" si="23"/>
        <v>0</v>
      </c>
      <c r="Q37" s="682">
        <f t="shared" si="5"/>
        <v>0</v>
      </c>
      <c r="R37" s="27">
        <f t="shared" si="24"/>
        <v>2623</v>
      </c>
      <c r="S37" s="27">
        <f t="shared" si="24"/>
        <v>0</v>
      </c>
      <c r="T37" s="682">
        <f t="shared" si="7"/>
        <v>0</v>
      </c>
      <c r="U37" s="476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6"/>
      <c r="BD37" s="476"/>
      <c r="BE37" s="476"/>
      <c r="BF37" s="476"/>
      <c r="BG37" s="476"/>
      <c r="BH37" s="476"/>
      <c r="BI37" s="476"/>
      <c r="BJ37" s="476"/>
      <c r="BK37" s="476"/>
      <c r="BL37" s="476"/>
      <c r="BM37" s="476"/>
      <c r="BN37" s="476"/>
      <c r="BO37" s="476"/>
      <c r="BP37" s="476"/>
      <c r="BQ37" s="476"/>
      <c r="BR37" s="476"/>
      <c r="BS37" s="476"/>
      <c r="BT37" s="476"/>
      <c r="BU37" s="476"/>
      <c r="BV37" s="476"/>
      <c r="BW37" s="476"/>
      <c r="BX37" s="476"/>
      <c r="BY37" s="476"/>
      <c r="BZ37" s="476"/>
      <c r="CA37" s="476"/>
      <c r="CB37" s="476"/>
      <c r="CC37" s="476"/>
      <c r="CD37" s="476"/>
      <c r="CE37" s="476"/>
      <c r="CF37" s="476"/>
      <c r="CG37" s="476"/>
      <c r="CH37" s="476"/>
      <c r="CI37" s="476"/>
      <c r="CJ37" s="476"/>
      <c r="CK37" s="476"/>
      <c r="CL37" s="476"/>
      <c r="CM37" s="476"/>
      <c r="CN37" s="476"/>
      <c r="CO37" s="476"/>
      <c r="CP37" s="476"/>
      <c r="CQ37" s="476"/>
      <c r="CR37" s="476"/>
      <c r="CS37" s="476"/>
      <c r="CT37" s="476"/>
      <c r="CU37" s="476"/>
      <c r="CV37" s="476"/>
      <c r="CW37" s="476"/>
      <c r="CX37" s="476"/>
      <c r="CY37" s="476"/>
      <c r="CZ37" s="476"/>
      <c r="DA37" s="476"/>
      <c r="DB37" s="476"/>
      <c r="DC37" s="476"/>
    </row>
    <row r="38" spans="1:107" s="477" customFormat="1" ht="12.75">
      <c r="A38" s="482" t="s">
        <v>712</v>
      </c>
      <c r="B38" s="27">
        <v>5278000</v>
      </c>
      <c r="C38" s="27">
        <v>38000</v>
      </c>
      <c r="D38" s="682">
        <f t="shared" si="1"/>
        <v>0.7199696854869269</v>
      </c>
      <c r="E38" s="27">
        <v>5278000</v>
      </c>
      <c r="F38" s="27"/>
      <c r="G38" s="682">
        <f t="shared" si="2"/>
        <v>0</v>
      </c>
      <c r="H38" s="27">
        <v>120000</v>
      </c>
      <c r="I38" s="27"/>
      <c r="J38" s="682">
        <f t="shared" si="6"/>
        <v>0</v>
      </c>
      <c r="K38" s="482" t="s">
        <v>712</v>
      </c>
      <c r="L38" s="27">
        <f t="shared" si="22"/>
        <v>5278</v>
      </c>
      <c r="M38" s="27">
        <f t="shared" si="22"/>
        <v>38</v>
      </c>
      <c r="N38" s="682">
        <f t="shared" si="4"/>
        <v>0.7199696854869269</v>
      </c>
      <c r="O38" s="27">
        <f t="shared" si="23"/>
        <v>5278</v>
      </c>
      <c r="P38" s="27">
        <f t="shared" si="23"/>
        <v>0</v>
      </c>
      <c r="Q38" s="682">
        <f t="shared" si="5"/>
        <v>0</v>
      </c>
      <c r="R38" s="27">
        <f t="shared" si="24"/>
        <v>120</v>
      </c>
      <c r="S38" s="27">
        <f t="shared" si="24"/>
        <v>0</v>
      </c>
      <c r="T38" s="682">
        <f t="shared" si="7"/>
        <v>0</v>
      </c>
      <c r="U38" s="476"/>
      <c r="V38" s="476"/>
      <c r="W38" s="476"/>
      <c r="X38" s="476"/>
      <c r="Y38" s="476"/>
      <c r="Z38" s="476"/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476"/>
      <c r="AL38" s="476"/>
      <c r="AM38" s="476"/>
      <c r="AN38" s="476"/>
      <c r="AO38" s="476"/>
      <c r="AP38" s="476"/>
      <c r="AQ38" s="476"/>
      <c r="AR38" s="476"/>
      <c r="AS38" s="476"/>
      <c r="AT38" s="476"/>
      <c r="AU38" s="476"/>
      <c r="AV38" s="476"/>
      <c r="AW38" s="476"/>
      <c r="AX38" s="476"/>
      <c r="AY38" s="476"/>
      <c r="AZ38" s="476"/>
      <c r="BA38" s="476"/>
      <c r="BB38" s="476"/>
      <c r="BC38" s="476"/>
      <c r="BD38" s="476"/>
      <c r="BE38" s="476"/>
      <c r="BF38" s="476"/>
      <c r="BG38" s="476"/>
      <c r="BH38" s="476"/>
      <c r="BI38" s="476"/>
      <c r="BJ38" s="476"/>
      <c r="BK38" s="476"/>
      <c r="BL38" s="476"/>
      <c r="BM38" s="476"/>
      <c r="BN38" s="476"/>
      <c r="BO38" s="476"/>
      <c r="BP38" s="476"/>
      <c r="BQ38" s="476"/>
      <c r="BR38" s="476"/>
      <c r="BS38" s="476"/>
      <c r="BT38" s="476"/>
      <c r="BU38" s="476"/>
      <c r="BV38" s="476"/>
      <c r="BW38" s="476"/>
      <c r="BX38" s="476"/>
      <c r="BY38" s="476"/>
      <c r="BZ38" s="476"/>
      <c r="CA38" s="476"/>
      <c r="CB38" s="476"/>
      <c r="CC38" s="476"/>
      <c r="CD38" s="476"/>
      <c r="CE38" s="476"/>
      <c r="CF38" s="476"/>
      <c r="CG38" s="476"/>
      <c r="CH38" s="476"/>
      <c r="CI38" s="476"/>
      <c r="CJ38" s="476"/>
      <c r="CK38" s="476"/>
      <c r="CL38" s="476"/>
      <c r="CM38" s="476"/>
      <c r="CN38" s="476"/>
      <c r="CO38" s="476"/>
      <c r="CP38" s="476"/>
      <c r="CQ38" s="476"/>
      <c r="CR38" s="476"/>
      <c r="CS38" s="476"/>
      <c r="CT38" s="476"/>
      <c r="CU38" s="476"/>
      <c r="CV38" s="476"/>
      <c r="CW38" s="476"/>
      <c r="CX38" s="476"/>
      <c r="CY38" s="476"/>
      <c r="CZ38" s="476"/>
      <c r="DA38" s="476"/>
      <c r="DB38" s="476"/>
      <c r="DC38" s="476"/>
    </row>
    <row r="39" spans="1:107" s="137" customFormat="1" ht="12.75">
      <c r="A39" s="482" t="s">
        <v>107</v>
      </c>
      <c r="B39" s="27">
        <v>845319</v>
      </c>
      <c r="C39" s="27">
        <v>175800</v>
      </c>
      <c r="D39" s="682">
        <f t="shared" si="1"/>
        <v>20.796882596984098</v>
      </c>
      <c r="E39" s="27"/>
      <c r="F39" s="27"/>
      <c r="G39" s="682" t="e">
        <f t="shared" si="2"/>
        <v>#DIV/0!</v>
      </c>
      <c r="H39" s="27"/>
      <c r="I39" s="27"/>
      <c r="J39" s="684"/>
      <c r="K39" s="482" t="s">
        <v>107</v>
      </c>
      <c r="L39" s="685">
        <f t="shared" si="22"/>
        <v>845</v>
      </c>
      <c r="M39" s="27">
        <f t="shared" si="22"/>
        <v>176</v>
      </c>
      <c r="N39" s="682">
        <f t="shared" si="4"/>
        <v>20.828402366863905</v>
      </c>
      <c r="O39" s="27">
        <f>ROUND(E39/1000,0)</f>
        <v>0</v>
      </c>
      <c r="P39" s="27">
        <f t="shared" si="23"/>
        <v>0</v>
      </c>
      <c r="Q39" s="682"/>
      <c r="R39" s="27">
        <f t="shared" si="24"/>
        <v>0</v>
      </c>
      <c r="S39" s="27">
        <f t="shared" si="24"/>
        <v>0</v>
      </c>
      <c r="T39" s="682"/>
      <c r="U39" s="476"/>
      <c r="V39" s="476"/>
      <c r="W39" s="476"/>
      <c r="X39" s="476"/>
      <c r="Y39" s="476"/>
      <c r="Z39" s="476"/>
      <c r="AA39" s="476"/>
      <c r="AB39" s="476"/>
      <c r="AC39" s="476"/>
      <c r="AD39" s="476"/>
      <c r="AE39" s="476"/>
      <c r="AF39" s="476"/>
      <c r="AG39" s="476"/>
      <c r="AH39" s="476"/>
      <c r="AI39" s="476"/>
      <c r="AJ39" s="476"/>
      <c r="AK39" s="476"/>
      <c r="AL39" s="476"/>
      <c r="AM39" s="476"/>
      <c r="AN39" s="476"/>
      <c r="AO39" s="476"/>
      <c r="AP39" s="476"/>
      <c r="AQ39" s="476"/>
      <c r="AR39" s="476"/>
      <c r="AS39" s="476"/>
      <c r="AT39" s="476"/>
      <c r="AU39" s="476"/>
      <c r="AV39" s="476"/>
      <c r="AW39" s="476"/>
      <c r="AX39" s="476"/>
      <c r="AY39" s="476"/>
      <c r="AZ39" s="476"/>
      <c r="BA39" s="476"/>
      <c r="BB39" s="476"/>
      <c r="BC39" s="476"/>
      <c r="BD39" s="476"/>
      <c r="BE39" s="476"/>
      <c r="BF39" s="476"/>
      <c r="BG39" s="476"/>
      <c r="BH39" s="476"/>
      <c r="BI39" s="476"/>
      <c r="BJ39" s="476"/>
      <c r="BK39" s="476"/>
      <c r="BL39" s="476"/>
      <c r="BM39" s="476"/>
      <c r="BN39" s="476"/>
      <c r="BO39" s="476"/>
      <c r="BP39" s="476"/>
      <c r="BQ39" s="476"/>
      <c r="BR39" s="476"/>
      <c r="BS39" s="476"/>
      <c r="BT39" s="476"/>
      <c r="BU39" s="476"/>
      <c r="BV39" s="476"/>
      <c r="BW39" s="476"/>
      <c r="BX39" s="476"/>
      <c r="BY39" s="476"/>
      <c r="BZ39" s="476"/>
      <c r="CA39" s="476"/>
      <c r="CB39" s="476"/>
      <c r="CC39" s="476"/>
      <c r="CD39" s="476"/>
      <c r="CE39" s="476"/>
      <c r="CF39" s="476"/>
      <c r="CG39" s="476"/>
      <c r="CH39" s="476"/>
      <c r="CI39" s="476"/>
      <c r="CJ39" s="476"/>
      <c r="CK39" s="476"/>
      <c r="CL39" s="476"/>
      <c r="CM39" s="476"/>
      <c r="CN39" s="476"/>
      <c r="CO39" s="476"/>
      <c r="CP39" s="476"/>
      <c r="CQ39" s="476"/>
      <c r="CR39" s="476"/>
      <c r="CS39" s="476"/>
      <c r="CT39" s="476"/>
      <c r="CU39" s="476"/>
      <c r="CV39" s="476"/>
      <c r="CW39" s="476"/>
      <c r="CX39" s="476"/>
      <c r="CY39" s="476"/>
      <c r="CZ39" s="476"/>
      <c r="DA39" s="476"/>
      <c r="DB39" s="476"/>
      <c r="DC39" s="476"/>
    </row>
    <row r="40" spans="1:20" ht="12.75">
      <c r="A40" s="74" t="s">
        <v>412</v>
      </c>
      <c r="B40" s="480">
        <f>SUM(B41:B45)</f>
        <v>13991372</v>
      </c>
      <c r="C40" s="480">
        <f>SUM(C41:C45)</f>
        <v>761662</v>
      </c>
      <c r="D40" s="681">
        <f t="shared" si="1"/>
        <v>5.443797791953498</v>
      </c>
      <c r="E40" s="480">
        <f>SUM(E41:E45)</f>
        <v>11569875</v>
      </c>
      <c r="F40" s="480">
        <f>SUM(F41:F45)</f>
        <v>0</v>
      </c>
      <c r="G40" s="681">
        <f t="shared" si="2"/>
        <v>0</v>
      </c>
      <c r="H40" s="480">
        <f>SUM(H41:H45)</f>
        <v>71576564</v>
      </c>
      <c r="I40" s="480">
        <f>SUM(I41:I45)</f>
        <v>0</v>
      </c>
      <c r="J40" s="681">
        <f t="shared" si="6"/>
        <v>0</v>
      </c>
      <c r="K40" s="686" t="s">
        <v>412</v>
      </c>
      <c r="L40" s="480">
        <f>SUM(L41:L45)</f>
        <v>13991</v>
      </c>
      <c r="M40" s="480">
        <f>SUM(M41:M45)</f>
        <v>762</v>
      </c>
      <c r="N40" s="681">
        <f t="shared" si="4"/>
        <v>5.44635837323994</v>
      </c>
      <c r="O40" s="480">
        <f>SUM(O41:O45)</f>
        <v>11571</v>
      </c>
      <c r="P40" s="480">
        <f>SUM(P41:P45)</f>
        <v>0</v>
      </c>
      <c r="Q40" s="681">
        <f t="shared" si="5"/>
        <v>0</v>
      </c>
      <c r="R40" s="480">
        <f>SUM(R41:R45)</f>
        <v>71576</v>
      </c>
      <c r="S40" s="480">
        <f>SUM(S41:S45)</f>
        <v>0</v>
      </c>
      <c r="T40" s="681">
        <f t="shared" si="7"/>
        <v>0</v>
      </c>
    </row>
    <row r="41" spans="1:107" s="477" customFormat="1" ht="12.75">
      <c r="A41" s="482" t="s">
        <v>477</v>
      </c>
      <c r="B41" s="27">
        <v>17200</v>
      </c>
      <c r="C41" s="27"/>
      <c r="D41" s="682">
        <f t="shared" si="1"/>
        <v>0</v>
      </c>
      <c r="E41" s="27">
        <v>7400</v>
      </c>
      <c r="F41" s="27"/>
      <c r="G41" s="682">
        <f t="shared" si="2"/>
        <v>0</v>
      </c>
      <c r="H41" s="27"/>
      <c r="I41" s="27"/>
      <c r="J41" s="682" t="e">
        <f t="shared" si="6"/>
        <v>#DIV/0!</v>
      </c>
      <c r="K41" s="482" t="s">
        <v>477</v>
      </c>
      <c r="L41" s="27">
        <f aca="true" t="shared" si="25" ref="L41:M44">ROUND(B41/1000,0)</f>
        <v>17</v>
      </c>
      <c r="M41" s="27">
        <f t="shared" si="25"/>
        <v>0</v>
      </c>
      <c r="N41" s="682">
        <f t="shared" si="4"/>
        <v>0</v>
      </c>
      <c r="O41" s="27">
        <f>ROUND(E41/1000,0)+1</f>
        <v>8</v>
      </c>
      <c r="P41" s="27">
        <f aca="true" t="shared" si="26" ref="O41:P44">ROUND(F41/1000,0)</f>
        <v>0</v>
      </c>
      <c r="Q41" s="682">
        <f t="shared" si="5"/>
        <v>0</v>
      </c>
      <c r="R41" s="27">
        <f aca="true" t="shared" si="27" ref="R41:S44">ROUND(H41/1000,0)</f>
        <v>0</v>
      </c>
      <c r="S41" s="27">
        <f t="shared" si="27"/>
        <v>0</v>
      </c>
      <c r="T41" s="682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6"/>
      <c r="AP41" s="476"/>
      <c r="AQ41" s="476"/>
      <c r="AR41" s="476"/>
      <c r="AS41" s="476"/>
      <c r="AT41" s="476"/>
      <c r="AU41" s="476"/>
      <c r="AV41" s="476"/>
      <c r="AW41" s="476"/>
      <c r="AX41" s="476"/>
      <c r="AY41" s="476"/>
      <c r="AZ41" s="476"/>
      <c r="BA41" s="476"/>
      <c r="BB41" s="476"/>
      <c r="BC41" s="476"/>
      <c r="BD41" s="476"/>
      <c r="BE41" s="476"/>
      <c r="BF41" s="476"/>
      <c r="BG41" s="476"/>
      <c r="BH41" s="476"/>
      <c r="BI41" s="476"/>
      <c r="BJ41" s="476"/>
      <c r="BK41" s="476"/>
      <c r="BL41" s="476"/>
      <c r="BM41" s="476"/>
      <c r="BN41" s="476"/>
      <c r="BO41" s="476"/>
      <c r="BP41" s="476"/>
      <c r="BQ41" s="476"/>
      <c r="BR41" s="476"/>
      <c r="BS41" s="476"/>
      <c r="BT41" s="476"/>
      <c r="BU41" s="476"/>
      <c r="BV41" s="476"/>
      <c r="BW41" s="476"/>
      <c r="BX41" s="476"/>
      <c r="BY41" s="476"/>
      <c r="BZ41" s="476"/>
      <c r="CA41" s="476"/>
      <c r="CB41" s="476"/>
      <c r="CC41" s="476"/>
      <c r="CD41" s="476"/>
      <c r="CE41" s="476"/>
      <c r="CF41" s="476"/>
      <c r="CG41" s="476"/>
      <c r="CH41" s="476"/>
      <c r="CI41" s="476"/>
      <c r="CJ41" s="476"/>
      <c r="CK41" s="476"/>
      <c r="CL41" s="476"/>
      <c r="CM41" s="476"/>
      <c r="CN41" s="476"/>
      <c r="CO41" s="476"/>
      <c r="CP41" s="476"/>
      <c r="CQ41" s="476"/>
      <c r="CR41" s="476"/>
      <c r="CS41" s="476"/>
      <c r="CT41" s="476"/>
      <c r="CU41" s="476"/>
      <c r="CV41" s="476"/>
      <c r="CW41" s="476"/>
      <c r="CX41" s="476"/>
      <c r="CY41" s="476"/>
      <c r="CZ41" s="476"/>
      <c r="DA41" s="476"/>
      <c r="DB41" s="476"/>
      <c r="DC41" s="476"/>
    </row>
    <row r="42" spans="1:107" s="477" customFormat="1" ht="12.75">
      <c r="A42" s="482" t="s">
        <v>105</v>
      </c>
      <c r="B42" s="27">
        <v>26680</v>
      </c>
      <c r="C42" s="27"/>
      <c r="D42" s="682">
        <f t="shared" si="1"/>
        <v>0</v>
      </c>
      <c r="E42" s="27">
        <v>26680</v>
      </c>
      <c r="F42" s="27"/>
      <c r="G42" s="682">
        <f t="shared" si="2"/>
        <v>0</v>
      </c>
      <c r="H42" s="27"/>
      <c r="I42" s="27"/>
      <c r="J42" s="682" t="e">
        <f t="shared" si="6"/>
        <v>#DIV/0!</v>
      </c>
      <c r="K42" s="482" t="s">
        <v>105</v>
      </c>
      <c r="L42" s="27">
        <f t="shared" si="25"/>
        <v>27</v>
      </c>
      <c r="M42" s="27">
        <f t="shared" si="25"/>
        <v>0</v>
      </c>
      <c r="N42" s="682">
        <f t="shared" si="4"/>
        <v>0</v>
      </c>
      <c r="O42" s="27">
        <f t="shared" si="26"/>
        <v>27</v>
      </c>
      <c r="P42" s="27">
        <f t="shared" si="26"/>
        <v>0</v>
      </c>
      <c r="Q42" s="682">
        <f t="shared" si="5"/>
        <v>0</v>
      </c>
      <c r="R42" s="27">
        <f t="shared" si="27"/>
        <v>0</v>
      </c>
      <c r="S42" s="27">
        <f t="shared" si="27"/>
        <v>0</v>
      </c>
      <c r="T42" s="682"/>
      <c r="U42" s="476"/>
      <c r="V42" s="476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76"/>
      <c r="AL42" s="476"/>
      <c r="AM42" s="476"/>
      <c r="AN42" s="476"/>
      <c r="AO42" s="476"/>
      <c r="AP42" s="476"/>
      <c r="AQ42" s="476"/>
      <c r="AR42" s="476"/>
      <c r="AS42" s="476"/>
      <c r="AT42" s="476"/>
      <c r="AU42" s="476"/>
      <c r="AV42" s="476"/>
      <c r="AW42" s="476"/>
      <c r="AX42" s="476"/>
      <c r="AY42" s="476"/>
      <c r="AZ42" s="476"/>
      <c r="BA42" s="476"/>
      <c r="BB42" s="476"/>
      <c r="BC42" s="476"/>
      <c r="BD42" s="476"/>
      <c r="BE42" s="476"/>
      <c r="BF42" s="476"/>
      <c r="BG42" s="476"/>
      <c r="BH42" s="476"/>
      <c r="BI42" s="476"/>
      <c r="BJ42" s="476"/>
      <c r="BK42" s="476"/>
      <c r="BL42" s="476"/>
      <c r="BM42" s="476"/>
      <c r="BN42" s="476"/>
      <c r="BO42" s="476"/>
      <c r="BP42" s="476"/>
      <c r="BQ42" s="476"/>
      <c r="BR42" s="476"/>
      <c r="BS42" s="476"/>
      <c r="BT42" s="476"/>
      <c r="BU42" s="476"/>
      <c r="BV42" s="476"/>
      <c r="BW42" s="476"/>
      <c r="BX42" s="476"/>
      <c r="BY42" s="476"/>
      <c r="BZ42" s="476"/>
      <c r="CA42" s="476"/>
      <c r="CB42" s="476"/>
      <c r="CC42" s="476"/>
      <c r="CD42" s="476"/>
      <c r="CE42" s="476"/>
      <c r="CF42" s="476"/>
      <c r="CG42" s="476"/>
      <c r="CH42" s="476"/>
      <c r="CI42" s="476"/>
      <c r="CJ42" s="476"/>
      <c r="CK42" s="476"/>
      <c r="CL42" s="476"/>
      <c r="CM42" s="476"/>
      <c r="CN42" s="476"/>
      <c r="CO42" s="476"/>
      <c r="CP42" s="476"/>
      <c r="CQ42" s="476"/>
      <c r="CR42" s="476"/>
      <c r="CS42" s="476"/>
      <c r="CT42" s="476"/>
      <c r="CU42" s="476"/>
      <c r="CV42" s="476"/>
      <c r="CW42" s="476"/>
      <c r="CX42" s="476"/>
      <c r="CY42" s="476"/>
      <c r="CZ42" s="476"/>
      <c r="DA42" s="476"/>
      <c r="DB42" s="476"/>
      <c r="DC42" s="476"/>
    </row>
    <row r="43" spans="1:107" s="477" customFormat="1" ht="12.75">
      <c r="A43" s="482" t="s">
        <v>712</v>
      </c>
      <c r="B43" s="27">
        <v>10849457</v>
      </c>
      <c r="C43" s="27">
        <v>761662</v>
      </c>
      <c r="D43" s="682">
        <f t="shared" si="1"/>
        <v>7.020277604676436</v>
      </c>
      <c r="E43" s="27">
        <v>9882457</v>
      </c>
      <c r="F43" s="27"/>
      <c r="G43" s="682">
        <f t="shared" si="2"/>
        <v>0</v>
      </c>
      <c r="H43" s="27">
        <v>67534464</v>
      </c>
      <c r="I43" s="27"/>
      <c r="J43" s="682">
        <f t="shared" si="6"/>
        <v>0</v>
      </c>
      <c r="K43" s="482" t="s">
        <v>712</v>
      </c>
      <c r="L43" s="27">
        <f t="shared" si="25"/>
        <v>10849</v>
      </c>
      <c r="M43" s="27">
        <f>ROUND(C43/1000,0)</f>
        <v>762</v>
      </c>
      <c r="N43" s="682">
        <f t="shared" si="4"/>
        <v>7.023688819246013</v>
      </c>
      <c r="O43" s="27">
        <f t="shared" si="26"/>
        <v>9882</v>
      </c>
      <c r="P43" s="27">
        <f>ROUND(F43/1000,0)</f>
        <v>0</v>
      </c>
      <c r="Q43" s="682">
        <f t="shared" si="5"/>
        <v>0</v>
      </c>
      <c r="R43" s="27">
        <f t="shared" si="27"/>
        <v>67534</v>
      </c>
      <c r="S43" s="27">
        <f t="shared" si="27"/>
        <v>0</v>
      </c>
      <c r="T43" s="682">
        <f t="shared" si="7"/>
        <v>0</v>
      </c>
      <c r="U43" s="476"/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6"/>
      <c r="AL43" s="476"/>
      <c r="AM43" s="476"/>
      <c r="AN43" s="476"/>
      <c r="AO43" s="476"/>
      <c r="AP43" s="476"/>
      <c r="AQ43" s="476"/>
      <c r="AR43" s="476"/>
      <c r="AS43" s="476"/>
      <c r="AT43" s="476"/>
      <c r="AU43" s="476"/>
      <c r="AV43" s="476"/>
      <c r="AW43" s="476"/>
      <c r="AX43" s="476"/>
      <c r="AY43" s="476"/>
      <c r="AZ43" s="476"/>
      <c r="BA43" s="476"/>
      <c r="BB43" s="476"/>
      <c r="BC43" s="476"/>
      <c r="BD43" s="476"/>
      <c r="BE43" s="476"/>
      <c r="BF43" s="476"/>
      <c r="BG43" s="476"/>
      <c r="BH43" s="476"/>
      <c r="BI43" s="476"/>
      <c r="BJ43" s="476"/>
      <c r="BK43" s="476"/>
      <c r="BL43" s="476"/>
      <c r="BM43" s="476"/>
      <c r="BN43" s="476"/>
      <c r="BO43" s="476"/>
      <c r="BP43" s="476"/>
      <c r="BQ43" s="476"/>
      <c r="BR43" s="476"/>
      <c r="BS43" s="476"/>
      <c r="BT43" s="476"/>
      <c r="BU43" s="476"/>
      <c r="BV43" s="476"/>
      <c r="BW43" s="476"/>
      <c r="BX43" s="476"/>
      <c r="BY43" s="476"/>
      <c r="BZ43" s="476"/>
      <c r="CA43" s="476"/>
      <c r="CB43" s="476"/>
      <c r="CC43" s="476"/>
      <c r="CD43" s="476"/>
      <c r="CE43" s="476"/>
      <c r="CF43" s="476"/>
      <c r="CG43" s="476"/>
      <c r="CH43" s="476"/>
      <c r="CI43" s="476"/>
      <c r="CJ43" s="476"/>
      <c r="CK43" s="476"/>
      <c r="CL43" s="476"/>
      <c r="CM43" s="476"/>
      <c r="CN43" s="476"/>
      <c r="CO43" s="476"/>
      <c r="CP43" s="476"/>
      <c r="CQ43" s="476"/>
      <c r="CR43" s="476"/>
      <c r="CS43" s="476"/>
      <c r="CT43" s="476"/>
      <c r="CU43" s="476"/>
      <c r="CV43" s="476"/>
      <c r="CW43" s="476"/>
      <c r="CX43" s="476"/>
      <c r="CY43" s="476"/>
      <c r="CZ43" s="476"/>
      <c r="DA43" s="476"/>
      <c r="DB43" s="476"/>
      <c r="DC43" s="476"/>
    </row>
    <row r="44" spans="1:107" s="477" customFormat="1" ht="12.75">
      <c r="A44" s="482" t="s">
        <v>106</v>
      </c>
      <c r="B44" s="27">
        <v>249235</v>
      </c>
      <c r="C44" s="27"/>
      <c r="D44" s="682">
        <f t="shared" si="1"/>
        <v>0</v>
      </c>
      <c r="E44" s="27">
        <v>145838</v>
      </c>
      <c r="F44" s="27"/>
      <c r="G44" s="682">
        <f t="shared" si="2"/>
        <v>0</v>
      </c>
      <c r="H44" s="27"/>
      <c r="I44" s="27"/>
      <c r="J44" s="682" t="e">
        <f t="shared" si="6"/>
        <v>#DIV/0!</v>
      </c>
      <c r="K44" s="482" t="s">
        <v>106</v>
      </c>
      <c r="L44" s="27">
        <f t="shared" si="25"/>
        <v>249</v>
      </c>
      <c r="M44" s="27">
        <f t="shared" si="25"/>
        <v>0</v>
      </c>
      <c r="N44" s="682">
        <f t="shared" si="4"/>
        <v>0</v>
      </c>
      <c r="O44" s="27">
        <f t="shared" si="26"/>
        <v>146</v>
      </c>
      <c r="P44" s="27">
        <f t="shared" si="26"/>
        <v>0</v>
      </c>
      <c r="Q44" s="682">
        <f t="shared" si="5"/>
        <v>0</v>
      </c>
      <c r="R44" s="27">
        <f t="shared" si="27"/>
        <v>0</v>
      </c>
      <c r="S44" s="27">
        <f t="shared" si="27"/>
        <v>0</v>
      </c>
      <c r="T44" s="682"/>
      <c r="U44" s="476"/>
      <c r="V44" s="476"/>
      <c r="W44" s="476"/>
      <c r="X44" s="476"/>
      <c r="Y44" s="476"/>
      <c r="Z44" s="476"/>
      <c r="AA44" s="476"/>
      <c r="AB44" s="476"/>
      <c r="AC44" s="476"/>
      <c r="AD44" s="476"/>
      <c r="AE44" s="476"/>
      <c r="AF44" s="476"/>
      <c r="AG44" s="476"/>
      <c r="AH44" s="476"/>
      <c r="AI44" s="476"/>
      <c r="AJ44" s="476"/>
      <c r="AK44" s="476"/>
      <c r="AL44" s="476"/>
      <c r="AM44" s="476"/>
      <c r="AN44" s="476"/>
      <c r="AO44" s="476"/>
      <c r="AP44" s="476"/>
      <c r="AQ44" s="476"/>
      <c r="AR44" s="476"/>
      <c r="AS44" s="476"/>
      <c r="AT44" s="476"/>
      <c r="AU44" s="476"/>
      <c r="AV44" s="476"/>
      <c r="AW44" s="476"/>
      <c r="AX44" s="476"/>
      <c r="AY44" s="476"/>
      <c r="AZ44" s="476"/>
      <c r="BA44" s="476"/>
      <c r="BB44" s="476"/>
      <c r="BC44" s="476"/>
      <c r="BD44" s="476"/>
      <c r="BE44" s="476"/>
      <c r="BF44" s="476"/>
      <c r="BG44" s="476"/>
      <c r="BH44" s="476"/>
      <c r="BI44" s="476"/>
      <c r="BJ44" s="476"/>
      <c r="BK44" s="476"/>
      <c r="BL44" s="476"/>
      <c r="BM44" s="476"/>
      <c r="BN44" s="476"/>
      <c r="BO44" s="476"/>
      <c r="BP44" s="476"/>
      <c r="BQ44" s="476"/>
      <c r="BR44" s="476"/>
      <c r="BS44" s="476"/>
      <c r="BT44" s="476"/>
      <c r="BU44" s="476"/>
      <c r="BV44" s="476"/>
      <c r="BW44" s="476"/>
      <c r="BX44" s="476"/>
      <c r="BY44" s="476"/>
      <c r="BZ44" s="476"/>
      <c r="CA44" s="476"/>
      <c r="CB44" s="476"/>
      <c r="CC44" s="476"/>
      <c r="CD44" s="476"/>
      <c r="CE44" s="476"/>
      <c r="CF44" s="476"/>
      <c r="CG44" s="476"/>
      <c r="CH44" s="476"/>
      <c r="CI44" s="476"/>
      <c r="CJ44" s="476"/>
      <c r="CK44" s="476"/>
      <c r="CL44" s="476"/>
      <c r="CM44" s="476"/>
      <c r="CN44" s="476"/>
      <c r="CO44" s="476"/>
      <c r="CP44" s="476"/>
      <c r="CQ44" s="476"/>
      <c r="CR44" s="476"/>
      <c r="CS44" s="476"/>
      <c r="CT44" s="476"/>
      <c r="CU44" s="476"/>
      <c r="CV44" s="476"/>
      <c r="CW44" s="476"/>
      <c r="CX44" s="476"/>
      <c r="CY44" s="476"/>
      <c r="CZ44" s="476"/>
      <c r="DA44" s="476"/>
      <c r="DB44" s="476"/>
      <c r="DC44" s="476"/>
    </row>
    <row r="45" spans="1:107" s="477" customFormat="1" ht="12.75">
      <c r="A45" s="482" t="s">
        <v>107</v>
      </c>
      <c r="B45" s="27">
        <v>2848800</v>
      </c>
      <c r="C45" s="27"/>
      <c r="D45" s="682">
        <f t="shared" si="1"/>
        <v>0</v>
      </c>
      <c r="E45" s="27">
        <v>1507500</v>
      </c>
      <c r="F45" s="27"/>
      <c r="G45" s="682">
        <f t="shared" si="2"/>
        <v>0</v>
      </c>
      <c r="H45" s="27">
        <v>4042100</v>
      </c>
      <c r="I45" s="27"/>
      <c r="J45" s="682">
        <f t="shared" si="6"/>
        <v>0</v>
      </c>
      <c r="K45" s="482" t="s">
        <v>107</v>
      </c>
      <c r="L45" s="27">
        <f>ROUND(B45/1000,0)</f>
        <v>2849</v>
      </c>
      <c r="M45" s="27">
        <f>ROUND(C45/1000,0)</f>
        <v>0</v>
      </c>
      <c r="N45" s="682">
        <f>M45/L45*100</f>
        <v>0</v>
      </c>
      <c r="O45" s="27">
        <f>ROUND(E45/1000,0)</f>
        <v>1508</v>
      </c>
      <c r="P45" s="27">
        <f>ROUND(F45/1000,0)</f>
        <v>0</v>
      </c>
      <c r="Q45" s="682">
        <f>P45/O45*100</f>
        <v>0</v>
      </c>
      <c r="R45" s="27">
        <f>ROUND(H45/1000,0)</f>
        <v>4042</v>
      </c>
      <c r="S45" s="27">
        <f>ROUND(I45/1000,0)</f>
        <v>0</v>
      </c>
      <c r="T45" s="682">
        <f>S45/R45*100</f>
        <v>0</v>
      </c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  <c r="AE45" s="476"/>
      <c r="AF45" s="476"/>
      <c r="AG45" s="476"/>
      <c r="AH45" s="476"/>
      <c r="AI45" s="476"/>
      <c r="AJ45" s="476"/>
      <c r="AK45" s="476"/>
      <c r="AL45" s="476"/>
      <c r="AM45" s="476"/>
      <c r="AN45" s="476"/>
      <c r="AO45" s="476"/>
      <c r="AP45" s="476"/>
      <c r="AQ45" s="476"/>
      <c r="AR45" s="476"/>
      <c r="AS45" s="476"/>
      <c r="AT45" s="476"/>
      <c r="AU45" s="476"/>
      <c r="AV45" s="476"/>
      <c r="AW45" s="476"/>
      <c r="AX45" s="476"/>
      <c r="AY45" s="476"/>
      <c r="AZ45" s="476"/>
      <c r="BA45" s="476"/>
      <c r="BB45" s="476"/>
      <c r="BC45" s="476"/>
      <c r="BD45" s="476"/>
      <c r="BE45" s="476"/>
      <c r="BF45" s="476"/>
      <c r="BG45" s="476"/>
      <c r="BH45" s="476"/>
      <c r="BI45" s="476"/>
      <c r="BJ45" s="476"/>
      <c r="BK45" s="476"/>
      <c r="BL45" s="476"/>
      <c r="BM45" s="476"/>
      <c r="BN45" s="476"/>
      <c r="BO45" s="476"/>
      <c r="BP45" s="476"/>
      <c r="BQ45" s="476"/>
      <c r="BR45" s="476"/>
      <c r="BS45" s="476"/>
      <c r="BT45" s="476"/>
      <c r="BU45" s="476"/>
      <c r="BV45" s="476"/>
      <c r="BW45" s="476"/>
      <c r="BX45" s="476"/>
      <c r="BY45" s="476"/>
      <c r="BZ45" s="476"/>
      <c r="CA45" s="476"/>
      <c r="CB45" s="476"/>
      <c r="CC45" s="476"/>
      <c r="CD45" s="476"/>
      <c r="CE45" s="476"/>
      <c r="CF45" s="476"/>
      <c r="CG45" s="476"/>
      <c r="CH45" s="476"/>
      <c r="CI45" s="476"/>
      <c r="CJ45" s="476"/>
      <c r="CK45" s="476"/>
      <c r="CL45" s="476"/>
      <c r="CM45" s="476"/>
      <c r="CN45" s="476"/>
      <c r="CO45" s="476"/>
      <c r="CP45" s="476"/>
      <c r="CQ45" s="476"/>
      <c r="CR45" s="476"/>
      <c r="CS45" s="476"/>
      <c r="CT45" s="476"/>
      <c r="CU45" s="476"/>
      <c r="CV45" s="476"/>
      <c r="CW45" s="476"/>
      <c r="CX45" s="476"/>
      <c r="CY45" s="476"/>
      <c r="CZ45" s="476"/>
      <c r="DA45" s="476"/>
      <c r="DB45" s="476"/>
      <c r="DC45" s="476"/>
    </row>
    <row r="46" spans="1:20" ht="12.75">
      <c r="A46" s="74" t="s">
        <v>414</v>
      </c>
      <c r="B46" s="480">
        <f>SUM(B47:B50)</f>
        <v>9583378</v>
      </c>
      <c r="C46" s="480">
        <f>SUM(C47:C50)</f>
        <v>0</v>
      </c>
      <c r="D46" s="681">
        <f t="shared" si="1"/>
        <v>0</v>
      </c>
      <c r="E46" s="480">
        <f>SUM(E47:E50)</f>
        <v>6944857</v>
      </c>
      <c r="F46" s="480">
        <f>SUM(F47:F50)</f>
        <v>0</v>
      </c>
      <c r="G46" s="681">
        <f t="shared" si="2"/>
        <v>0</v>
      </c>
      <c r="H46" s="480">
        <f>SUM(H47:H50)</f>
        <v>22381290</v>
      </c>
      <c r="I46" s="480">
        <f>SUM(I47:I50)</f>
        <v>0</v>
      </c>
      <c r="J46" s="681">
        <f t="shared" si="6"/>
        <v>0</v>
      </c>
      <c r="K46" s="74" t="s">
        <v>414</v>
      </c>
      <c r="L46" s="480">
        <f>SUM(L47:L50)</f>
        <v>9583</v>
      </c>
      <c r="M46" s="480">
        <f>SUM(M47:M50)</f>
        <v>0</v>
      </c>
      <c r="N46" s="681">
        <f t="shared" si="4"/>
        <v>0</v>
      </c>
      <c r="O46" s="480">
        <f>SUM(O47:O50)</f>
        <v>6944</v>
      </c>
      <c r="P46" s="480">
        <f>SUM(P47:P50)</f>
        <v>0</v>
      </c>
      <c r="Q46" s="681">
        <f t="shared" si="5"/>
        <v>0</v>
      </c>
      <c r="R46" s="480">
        <f>SUM(R47:R50)</f>
        <v>22381</v>
      </c>
      <c r="S46" s="480">
        <f>SUM(S47:S50)</f>
        <v>0</v>
      </c>
      <c r="T46" s="681">
        <f t="shared" si="7"/>
        <v>0</v>
      </c>
    </row>
    <row r="47" spans="1:107" s="477" customFormat="1" ht="12.75">
      <c r="A47" s="482" t="s">
        <v>105</v>
      </c>
      <c r="B47" s="27">
        <v>2873860</v>
      </c>
      <c r="C47" s="27"/>
      <c r="D47" s="682">
        <f t="shared" si="1"/>
        <v>0</v>
      </c>
      <c r="E47" s="27">
        <v>1813595</v>
      </c>
      <c r="F47" s="27"/>
      <c r="G47" s="682">
        <f t="shared" si="2"/>
        <v>0</v>
      </c>
      <c r="H47" s="27">
        <v>5623290</v>
      </c>
      <c r="I47" s="27"/>
      <c r="J47" s="682">
        <f t="shared" si="6"/>
        <v>0</v>
      </c>
      <c r="K47" s="482" t="s">
        <v>105</v>
      </c>
      <c r="L47" s="27">
        <f aca="true" t="shared" si="28" ref="L47:M50">ROUND(B47/1000,0)</f>
        <v>2874</v>
      </c>
      <c r="M47" s="27">
        <f t="shared" si="28"/>
        <v>0</v>
      </c>
      <c r="N47" s="682">
        <f t="shared" si="4"/>
        <v>0</v>
      </c>
      <c r="O47" s="27">
        <f>ROUND(E47/1000,0)-1</f>
        <v>1813</v>
      </c>
      <c r="P47" s="27">
        <f aca="true" t="shared" si="29" ref="O47:P50">ROUND(F47/1000,0)</f>
        <v>0</v>
      </c>
      <c r="Q47" s="682">
        <f t="shared" si="5"/>
        <v>0</v>
      </c>
      <c r="R47" s="27">
        <f aca="true" t="shared" si="30" ref="R47:S50">ROUND(H47/1000,0)</f>
        <v>5623</v>
      </c>
      <c r="S47" s="27">
        <f t="shared" si="30"/>
        <v>0</v>
      </c>
      <c r="T47" s="682">
        <f t="shared" si="7"/>
        <v>0</v>
      </c>
      <c r="U47" s="476"/>
      <c r="V47" s="476"/>
      <c r="W47" s="476"/>
      <c r="X47" s="476"/>
      <c r="Y47" s="476"/>
      <c r="Z47" s="476"/>
      <c r="AA47" s="476"/>
      <c r="AB47" s="476"/>
      <c r="AC47" s="476"/>
      <c r="AD47" s="476"/>
      <c r="AE47" s="476"/>
      <c r="AF47" s="476"/>
      <c r="AG47" s="476"/>
      <c r="AH47" s="476"/>
      <c r="AI47" s="476"/>
      <c r="AJ47" s="476"/>
      <c r="AK47" s="476"/>
      <c r="AL47" s="476"/>
      <c r="AM47" s="476"/>
      <c r="AN47" s="476"/>
      <c r="AO47" s="476"/>
      <c r="AP47" s="476"/>
      <c r="AQ47" s="476"/>
      <c r="AR47" s="476"/>
      <c r="AS47" s="476"/>
      <c r="AT47" s="476"/>
      <c r="AU47" s="476"/>
      <c r="AV47" s="476"/>
      <c r="AW47" s="476"/>
      <c r="AX47" s="476"/>
      <c r="AY47" s="476"/>
      <c r="AZ47" s="476"/>
      <c r="BA47" s="476"/>
      <c r="BB47" s="476"/>
      <c r="BC47" s="476"/>
      <c r="BD47" s="476"/>
      <c r="BE47" s="476"/>
      <c r="BF47" s="476"/>
      <c r="BG47" s="476"/>
      <c r="BH47" s="476"/>
      <c r="BI47" s="476"/>
      <c r="BJ47" s="476"/>
      <c r="BK47" s="476"/>
      <c r="BL47" s="476"/>
      <c r="BM47" s="476"/>
      <c r="BN47" s="476"/>
      <c r="BO47" s="476"/>
      <c r="BP47" s="476"/>
      <c r="BQ47" s="476"/>
      <c r="BR47" s="476"/>
      <c r="BS47" s="476"/>
      <c r="BT47" s="476"/>
      <c r="BU47" s="476"/>
      <c r="BV47" s="476"/>
      <c r="BW47" s="476"/>
      <c r="BX47" s="476"/>
      <c r="BY47" s="476"/>
      <c r="BZ47" s="476"/>
      <c r="CA47" s="476"/>
      <c r="CB47" s="476"/>
      <c r="CC47" s="476"/>
      <c r="CD47" s="476"/>
      <c r="CE47" s="476"/>
      <c r="CF47" s="476"/>
      <c r="CG47" s="476"/>
      <c r="CH47" s="476"/>
      <c r="CI47" s="476"/>
      <c r="CJ47" s="476"/>
      <c r="CK47" s="476"/>
      <c r="CL47" s="476"/>
      <c r="CM47" s="476"/>
      <c r="CN47" s="476"/>
      <c r="CO47" s="476"/>
      <c r="CP47" s="476"/>
      <c r="CQ47" s="476"/>
      <c r="CR47" s="476"/>
      <c r="CS47" s="476"/>
      <c r="CT47" s="476"/>
      <c r="CU47" s="476"/>
      <c r="CV47" s="476"/>
      <c r="CW47" s="476"/>
      <c r="CX47" s="476"/>
      <c r="CY47" s="476"/>
      <c r="CZ47" s="476"/>
      <c r="DA47" s="476"/>
      <c r="DB47" s="476"/>
      <c r="DC47" s="476"/>
    </row>
    <row r="48" spans="1:107" s="477" customFormat="1" ht="12.75">
      <c r="A48" s="482" t="s">
        <v>712</v>
      </c>
      <c r="B48" s="27">
        <v>6674000</v>
      </c>
      <c r="C48" s="27"/>
      <c r="D48" s="682">
        <f t="shared" si="1"/>
        <v>0</v>
      </c>
      <c r="E48" s="27">
        <v>5130000</v>
      </c>
      <c r="F48" s="27"/>
      <c r="G48" s="682">
        <f t="shared" si="2"/>
        <v>0</v>
      </c>
      <c r="H48" s="27">
        <v>16758000</v>
      </c>
      <c r="I48" s="27"/>
      <c r="J48" s="682">
        <f t="shared" si="6"/>
        <v>0</v>
      </c>
      <c r="K48" s="482" t="s">
        <v>712</v>
      </c>
      <c r="L48" s="27">
        <f t="shared" si="28"/>
        <v>6674</v>
      </c>
      <c r="M48" s="27">
        <f t="shared" si="28"/>
        <v>0</v>
      </c>
      <c r="N48" s="682">
        <f t="shared" si="4"/>
        <v>0</v>
      </c>
      <c r="O48" s="27">
        <f t="shared" si="29"/>
        <v>5130</v>
      </c>
      <c r="P48" s="27">
        <f t="shared" si="29"/>
        <v>0</v>
      </c>
      <c r="Q48" s="682">
        <f t="shared" si="5"/>
        <v>0</v>
      </c>
      <c r="R48" s="27">
        <f t="shared" si="30"/>
        <v>16758</v>
      </c>
      <c r="S48" s="27">
        <f t="shared" si="30"/>
        <v>0</v>
      </c>
      <c r="T48" s="682">
        <f t="shared" si="7"/>
        <v>0</v>
      </c>
      <c r="U48" s="476"/>
      <c r="V48" s="476"/>
      <c r="W48" s="476"/>
      <c r="X48" s="476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  <c r="AJ48" s="476"/>
      <c r="AK48" s="476"/>
      <c r="AL48" s="476"/>
      <c r="AM48" s="476"/>
      <c r="AN48" s="476"/>
      <c r="AO48" s="476"/>
      <c r="AP48" s="476"/>
      <c r="AQ48" s="476"/>
      <c r="AR48" s="476"/>
      <c r="AS48" s="476"/>
      <c r="AT48" s="476"/>
      <c r="AU48" s="476"/>
      <c r="AV48" s="476"/>
      <c r="AW48" s="476"/>
      <c r="AX48" s="476"/>
      <c r="AY48" s="476"/>
      <c r="AZ48" s="476"/>
      <c r="BA48" s="476"/>
      <c r="BB48" s="476"/>
      <c r="BC48" s="476"/>
      <c r="BD48" s="476"/>
      <c r="BE48" s="476"/>
      <c r="BF48" s="476"/>
      <c r="BG48" s="476"/>
      <c r="BH48" s="476"/>
      <c r="BI48" s="476"/>
      <c r="BJ48" s="476"/>
      <c r="BK48" s="476"/>
      <c r="BL48" s="476"/>
      <c r="BM48" s="476"/>
      <c r="BN48" s="476"/>
      <c r="BO48" s="476"/>
      <c r="BP48" s="476"/>
      <c r="BQ48" s="476"/>
      <c r="BR48" s="476"/>
      <c r="BS48" s="476"/>
      <c r="BT48" s="476"/>
      <c r="BU48" s="476"/>
      <c r="BV48" s="476"/>
      <c r="BW48" s="476"/>
      <c r="BX48" s="476"/>
      <c r="BY48" s="476"/>
      <c r="BZ48" s="476"/>
      <c r="CA48" s="476"/>
      <c r="CB48" s="476"/>
      <c r="CC48" s="476"/>
      <c r="CD48" s="476"/>
      <c r="CE48" s="476"/>
      <c r="CF48" s="476"/>
      <c r="CG48" s="476"/>
      <c r="CH48" s="476"/>
      <c r="CI48" s="476"/>
      <c r="CJ48" s="476"/>
      <c r="CK48" s="476"/>
      <c r="CL48" s="476"/>
      <c r="CM48" s="476"/>
      <c r="CN48" s="476"/>
      <c r="CO48" s="476"/>
      <c r="CP48" s="476"/>
      <c r="CQ48" s="476"/>
      <c r="CR48" s="476"/>
      <c r="CS48" s="476"/>
      <c r="CT48" s="476"/>
      <c r="CU48" s="476"/>
      <c r="CV48" s="476"/>
      <c r="CW48" s="476"/>
      <c r="CX48" s="476"/>
      <c r="CY48" s="476"/>
      <c r="CZ48" s="476"/>
      <c r="DA48" s="476"/>
      <c r="DB48" s="476"/>
      <c r="DC48" s="476"/>
    </row>
    <row r="49" spans="1:107" s="477" customFormat="1" ht="12.75">
      <c r="A49" s="482" t="s">
        <v>106</v>
      </c>
      <c r="B49" s="27">
        <v>18269</v>
      </c>
      <c r="C49" s="27"/>
      <c r="D49" s="682">
        <f t="shared" si="1"/>
        <v>0</v>
      </c>
      <c r="E49" s="27">
        <v>1262</v>
      </c>
      <c r="F49" s="27"/>
      <c r="G49" s="682">
        <f t="shared" si="2"/>
        <v>0</v>
      </c>
      <c r="H49" s="27"/>
      <c r="I49" s="27"/>
      <c r="J49" s="682" t="e">
        <f t="shared" si="6"/>
        <v>#DIV/0!</v>
      </c>
      <c r="K49" s="482" t="s">
        <v>106</v>
      </c>
      <c r="L49" s="27">
        <f t="shared" si="28"/>
        <v>18</v>
      </c>
      <c r="M49" s="27">
        <f t="shared" si="28"/>
        <v>0</v>
      </c>
      <c r="N49" s="682">
        <f t="shared" si="4"/>
        <v>0</v>
      </c>
      <c r="O49" s="27">
        <f t="shared" si="29"/>
        <v>1</v>
      </c>
      <c r="P49" s="27">
        <f t="shared" si="29"/>
        <v>0</v>
      </c>
      <c r="Q49" s="682">
        <f t="shared" si="5"/>
        <v>0</v>
      </c>
      <c r="R49" s="27">
        <f t="shared" si="30"/>
        <v>0</v>
      </c>
      <c r="S49" s="27">
        <f t="shared" si="30"/>
        <v>0</v>
      </c>
      <c r="T49" s="682"/>
      <c r="U49" s="476"/>
      <c r="V49" s="476"/>
      <c r="W49" s="476"/>
      <c r="X49" s="476"/>
      <c r="Y49" s="476"/>
      <c r="Z49" s="476"/>
      <c r="AA49" s="476"/>
      <c r="AB49" s="476"/>
      <c r="AC49" s="476"/>
      <c r="AD49" s="476"/>
      <c r="AE49" s="476"/>
      <c r="AF49" s="476"/>
      <c r="AG49" s="476"/>
      <c r="AH49" s="476"/>
      <c r="AI49" s="476"/>
      <c r="AJ49" s="476"/>
      <c r="AK49" s="476"/>
      <c r="AL49" s="476"/>
      <c r="AM49" s="476"/>
      <c r="AN49" s="476"/>
      <c r="AO49" s="476"/>
      <c r="AP49" s="476"/>
      <c r="AQ49" s="476"/>
      <c r="AR49" s="476"/>
      <c r="AS49" s="476"/>
      <c r="AT49" s="476"/>
      <c r="AU49" s="476"/>
      <c r="AV49" s="476"/>
      <c r="AW49" s="476"/>
      <c r="AX49" s="476"/>
      <c r="AY49" s="476"/>
      <c r="AZ49" s="476"/>
      <c r="BA49" s="476"/>
      <c r="BB49" s="476"/>
      <c r="BC49" s="476"/>
      <c r="BD49" s="476"/>
      <c r="BE49" s="476"/>
      <c r="BF49" s="476"/>
      <c r="BG49" s="476"/>
      <c r="BH49" s="476"/>
      <c r="BI49" s="476"/>
      <c r="BJ49" s="476"/>
      <c r="BK49" s="476"/>
      <c r="BL49" s="476"/>
      <c r="BM49" s="476"/>
      <c r="BN49" s="476"/>
      <c r="BO49" s="476"/>
      <c r="BP49" s="476"/>
      <c r="BQ49" s="476"/>
      <c r="BR49" s="476"/>
      <c r="BS49" s="476"/>
      <c r="BT49" s="476"/>
      <c r="BU49" s="476"/>
      <c r="BV49" s="476"/>
      <c r="BW49" s="476"/>
      <c r="BX49" s="476"/>
      <c r="BY49" s="476"/>
      <c r="BZ49" s="476"/>
      <c r="CA49" s="476"/>
      <c r="CB49" s="476"/>
      <c r="CC49" s="476"/>
      <c r="CD49" s="476"/>
      <c r="CE49" s="476"/>
      <c r="CF49" s="476"/>
      <c r="CG49" s="476"/>
      <c r="CH49" s="476"/>
      <c r="CI49" s="476"/>
      <c r="CJ49" s="476"/>
      <c r="CK49" s="476"/>
      <c r="CL49" s="476"/>
      <c r="CM49" s="476"/>
      <c r="CN49" s="476"/>
      <c r="CO49" s="476"/>
      <c r="CP49" s="476"/>
      <c r="CQ49" s="476"/>
      <c r="CR49" s="476"/>
      <c r="CS49" s="476"/>
      <c r="CT49" s="476"/>
      <c r="CU49" s="476"/>
      <c r="CV49" s="476"/>
      <c r="CW49" s="476"/>
      <c r="CX49" s="476"/>
      <c r="CY49" s="476"/>
      <c r="CZ49" s="476"/>
      <c r="DA49" s="476"/>
      <c r="DB49" s="476"/>
      <c r="DC49" s="476"/>
    </row>
    <row r="50" spans="1:107" s="477" customFormat="1" ht="12.75">
      <c r="A50" s="482" t="s">
        <v>107</v>
      </c>
      <c r="B50" s="27">
        <v>17249</v>
      </c>
      <c r="C50" s="27"/>
      <c r="D50" s="682">
        <f t="shared" si="1"/>
        <v>0</v>
      </c>
      <c r="E50" s="27"/>
      <c r="F50" s="27"/>
      <c r="G50" s="682" t="e">
        <f t="shared" si="2"/>
        <v>#DIV/0!</v>
      </c>
      <c r="H50" s="27"/>
      <c r="I50" s="27"/>
      <c r="J50" s="682"/>
      <c r="K50" s="482" t="s">
        <v>107</v>
      </c>
      <c r="L50" s="27">
        <f t="shared" si="28"/>
        <v>17</v>
      </c>
      <c r="M50" s="27">
        <f t="shared" si="28"/>
        <v>0</v>
      </c>
      <c r="N50" s="682">
        <f t="shared" si="4"/>
        <v>0</v>
      </c>
      <c r="O50" s="27">
        <f t="shared" si="29"/>
        <v>0</v>
      </c>
      <c r="P50" s="27">
        <f t="shared" si="29"/>
        <v>0</v>
      </c>
      <c r="Q50" s="682"/>
      <c r="R50" s="27">
        <f t="shared" si="30"/>
        <v>0</v>
      </c>
      <c r="S50" s="27">
        <f t="shared" si="30"/>
        <v>0</v>
      </c>
      <c r="T50" s="682"/>
      <c r="U50" s="476"/>
      <c r="V50" s="476"/>
      <c r="W50" s="476"/>
      <c r="X50" s="476"/>
      <c r="Y50" s="476"/>
      <c r="Z50" s="476"/>
      <c r="AA50" s="476"/>
      <c r="AB50" s="476"/>
      <c r="AC50" s="476"/>
      <c r="AD50" s="476"/>
      <c r="AE50" s="476"/>
      <c r="AF50" s="476"/>
      <c r="AG50" s="476"/>
      <c r="AH50" s="476"/>
      <c r="AI50" s="476"/>
      <c r="AJ50" s="476"/>
      <c r="AK50" s="476"/>
      <c r="AL50" s="476"/>
      <c r="AM50" s="476"/>
      <c r="AN50" s="476"/>
      <c r="AO50" s="476"/>
      <c r="AP50" s="476"/>
      <c r="AQ50" s="476"/>
      <c r="AR50" s="476"/>
      <c r="AS50" s="476"/>
      <c r="AT50" s="476"/>
      <c r="AU50" s="476"/>
      <c r="AV50" s="476"/>
      <c r="AW50" s="476"/>
      <c r="AX50" s="476"/>
      <c r="AY50" s="476"/>
      <c r="AZ50" s="476"/>
      <c r="BA50" s="476"/>
      <c r="BB50" s="476"/>
      <c r="BC50" s="476"/>
      <c r="BD50" s="476"/>
      <c r="BE50" s="476"/>
      <c r="BF50" s="476"/>
      <c r="BG50" s="476"/>
      <c r="BH50" s="476"/>
      <c r="BI50" s="476"/>
      <c r="BJ50" s="476"/>
      <c r="BK50" s="476"/>
      <c r="BL50" s="476"/>
      <c r="BM50" s="476"/>
      <c r="BN50" s="476"/>
      <c r="BO50" s="476"/>
      <c r="BP50" s="476"/>
      <c r="BQ50" s="476"/>
      <c r="BR50" s="476"/>
      <c r="BS50" s="476"/>
      <c r="BT50" s="476"/>
      <c r="BU50" s="476"/>
      <c r="BV50" s="476"/>
      <c r="BW50" s="476"/>
      <c r="BX50" s="476"/>
      <c r="BY50" s="476"/>
      <c r="BZ50" s="476"/>
      <c r="CA50" s="476"/>
      <c r="CB50" s="476"/>
      <c r="CC50" s="476"/>
      <c r="CD50" s="476"/>
      <c r="CE50" s="476"/>
      <c r="CF50" s="476"/>
      <c r="CG50" s="476"/>
      <c r="CH50" s="476"/>
      <c r="CI50" s="476"/>
      <c r="CJ50" s="476"/>
      <c r="CK50" s="476"/>
      <c r="CL50" s="476"/>
      <c r="CM50" s="476"/>
      <c r="CN50" s="476"/>
      <c r="CO50" s="476"/>
      <c r="CP50" s="476"/>
      <c r="CQ50" s="476"/>
      <c r="CR50" s="476"/>
      <c r="CS50" s="476"/>
      <c r="CT50" s="476"/>
      <c r="CU50" s="476"/>
      <c r="CV50" s="476"/>
      <c r="CW50" s="476"/>
      <c r="CX50" s="476"/>
      <c r="CY50" s="476"/>
      <c r="CZ50" s="476"/>
      <c r="DA50" s="476"/>
      <c r="DB50" s="476"/>
      <c r="DC50" s="476"/>
    </row>
    <row r="51" spans="1:20" ht="12.75">
      <c r="A51" s="74" t="s">
        <v>416</v>
      </c>
      <c r="B51" s="480">
        <f>SUM(B52:B55)</f>
        <v>2137309</v>
      </c>
      <c r="C51" s="480">
        <f>SUM(C52:C55)</f>
        <v>0</v>
      </c>
      <c r="D51" s="681">
        <f t="shared" si="1"/>
        <v>0</v>
      </c>
      <c r="E51" s="480">
        <f>SUM(E52:E55)</f>
        <v>2105430</v>
      </c>
      <c r="F51" s="480">
        <f>SUM(F52:F55)</f>
        <v>0</v>
      </c>
      <c r="G51" s="681">
        <f t="shared" si="2"/>
        <v>0</v>
      </c>
      <c r="H51" s="480">
        <f>SUM(H52:H55)</f>
        <v>16732560</v>
      </c>
      <c r="I51" s="480">
        <f>SUM(I52:I55)</f>
        <v>0</v>
      </c>
      <c r="J51" s="681">
        <f t="shared" si="6"/>
        <v>0</v>
      </c>
      <c r="K51" s="74" t="s">
        <v>416</v>
      </c>
      <c r="L51" s="480">
        <f>SUM(L52:L55)</f>
        <v>2138</v>
      </c>
      <c r="M51" s="480">
        <f>SUM(M52:M55)</f>
        <v>0</v>
      </c>
      <c r="N51" s="681">
        <f t="shared" si="4"/>
        <v>0</v>
      </c>
      <c r="O51" s="480">
        <f>SUM(O52:O55)</f>
        <v>2105</v>
      </c>
      <c r="P51" s="480">
        <f>SUM(P52:P55)</f>
        <v>0</v>
      </c>
      <c r="Q51" s="681">
        <f t="shared" si="5"/>
        <v>0</v>
      </c>
      <c r="R51" s="480">
        <f>SUM(R52:R55)</f>
        <v>16732</v>
      </c>
      <c r="S51" s="480">
        <f>SUM(S52:S55)</f>
        <v>0</v>
      </c>
      <c r="T51" s="681">
        <f t="shared" si="7"/>
        <v>0</v>
      </c>
    </row>
    <row r="52" spans="1:107" s="477" customFormat="1" ht="12.75">
      <c r="A52" s="482" t="s">
        <v>104</v>
      </c>
      <c r="B52" s="27">
        <v>43888</v>
      </c>
      <c r="C52" s="27"/>
      <c r="D52" s="682">
        <f t="shared" si="1"/>
        <v>0</v>
      </c>
      <c r="E52" s="27">
        <v>40288</v>
      </c>
      <c r="F52" s="27"/>
      <c r="G52" s="682">
        <f t="shared" si="2"/>
        <v>0</v>
      </c>
      <c r="H52" s="27">
        <v>37522</v>
      </c>
      <c r="I52" s="27"/>
      <c r="J52" s="682">
        <f t="shared" si="6"/>
        <v>0</v>
      </c>
      <c r="K52" s="482" t="s">
        <v>104</v>
      </c>
      <c r="L52" s="27">
        <f>ROUND(B52/1000,0)</f>
        <v>44</v>
      </c>
      <c r="M52" s="27">
        <f>ROUND(C52/1000,0)</f>
        <v>0</v>
      </c>
      <c r="N52" s="682">
        <f t="shared" si="4"/>
        <v>0</v>
      </c>
      <c r="O52" s="27">
        <f>ROUND(E52/1000,0)</f>
        <v>40</v>
      </c>
      <c r="P52" s="27">
        <f>ROUND(F52/1000,0)</f>
        <v>0</v>
      </c>
      <c r="Q52" s="682">
        <f t="shared" si="5"/>
        <v>0</v>
      </c>
      <c r="R52" s="27">
        <f>ROUND(H52/1000,0)-1</f>
        <v>37</v>
      </c>
      <c r="S52" s="27">
        <f>ROUND(I52/1000,0)</f>
        <v>0</v>
      </c>
      <c r="T52" s="682">
        <f t="shared" si="7"/>
        <v>0</v>
      </c>
      <c r="U52" s="476"/>
      <c r="V52" s="476"/>
      <c r="W52" s="476"/>
      <c r="X52" s="476"/>
      <c r="Y52" s="476"/>
      <c r="Z52" s="476"/>
      <c r="AA52" s="476"/>
      <c r="AB52" s="476"/>
      <c r="AC52" s="476"/>
      <c r="AD52" s="476"/>
      <c r="AE52" s="476"/>
      <c r="AF52" s="476"/>
      <c r="AG52" s="476"/>
      <c r="AH52" s="476"/>
      <c r="AI52" s="476"/>
      <c r="AJ52" s="476"/>
      <c r="AK52" s="476"/>
      <c r="AL52" s="476"/>
      <c r="AM52" s="476"/>
      <c r="AN52" s="476"/>
      <c r="AO52" s="476"/>
      <c r="AP52" s="476"/>
      <c r="AQ52" s="476"/>
      <c r="AR52" s="476"/>
      <c r="AS52" s="476"/>
      <c r="AT52" s="476"/>
      <c r="AU52" s="476"/>
      <c r="AV52" s="476"/>
      <c r="AW52" s="476"/>
      <c r="AX52" s="476"/>
      <c r="AY52" s="476"/>
      <c r="AZ52" s="476"/>
      <c r="BA52" s="476"/>
      <c r="BB52" s="476"/>
      <c r="BC52" s="476"/>
      <c r="BD52" s="476"/>
      <c r="BE52" s="476"/>
      <c r="BF52" s="476"/>
      <c r="BG52" s="476"/>
      <c r="BH52" s="476"/>
      <c r="BI52" s="476"/>
      <c r="BJ52" s="476"/>
      <c r="BK52" s="476"/>
      <c r="BL52" s="476"/>
      <c r="BM52" s="476"/>
      <c r="BN52" s="476"/>
      <c r="BO52" s="476"/>
      <c r="BP52" s="476"/>
      <c r="BQ52" s="476"/>
      <c r="BR52" s="476"/>
      <c r="BS52" s="476"/>
      <c r="BT52" s="476"/>
      <c r="BU52" s="476"/>
      <c r="BV52" s="476"/>
      <c r="BW52" s="476"/>
      <c r="BX52" s="476"/>
      <c r="BY52" s="476"/>
      <c r="BZ52" s="476"/>
      <c r="CA52" s="476"/>
      <c r="CB52" s="476"/>
      <c r="CC52" s="476"/>
      <c r="CD52" s="476"/>
      <c r="CE52" s="476"/>
      <c r="CF52" s="476"/>
      <c r="CG52" s="476"/>
      <c r="CH52" s="476"/>
      <c r="CI52" s="476"/>
      <c r="CJ52" s="476"/>
      <c r="CK52" s="476"/>
      <c r="CL52" s="476"/>
      <c r="CM52" s="476"/>
      <c r="CN52" s="476"/>
      <c r="CO52" s="476"/>
      <c r="CP52" s="476"/>
      <c r="CQ52" s="476"/>
      <c r="CR52" s="476"/>
      <c r="CS52" s="476"/>
      <c r="CT52" s="476"/>
      <c r="CU52" s="476"/>
      <c r="CV52" s="476"/>
      <c r="CW52" s="476"/>
      <c r="CX52" s="476"/>
      <c r="CY52" s="476"/>
      <c r="CZ52" s="476"/>
      <c r="DA52" s="476"/>
      <c r="DB52" s="476"/>
      <c r="DC52" s="476"/>
    </row>
    <row r="53" spans="1:107" s="477" customFormat="1" ht="12.75">
      <c r="A53" s="482" t="s">
        <v>477</v>
      </c>
      <c r="B53" s="27">
        <v>29487</v>
      </c>
      <c r="C53" s="27"/>
      <c r="D53" s="682">
        <f t="shared" si="1"/>
        <v>0</v>
      </c>
      <c r="E53" s="27">
        <v>28208</v>
      </c>
      <c r="F53" s="27"/>
      <c r="G53" s="682">
        <f t="shared" si="2"/>
        <v>0</v>
      </c>
      <c r="H53" s="27">
        <v>40008</v>
      </c>
      <c r="I53" s="27"/>
      <c r="J53" s="682">
        <f t="shared" si="6"/>
        <v>0</v>
      </c>
      <c r="K53" s="482" t="s">
        <v>477</v>
      </c>
      <c r="L53" s="27">
        <f>ROUND(B53/1000,0)+1</f>
        <v>30</v>
      </c>
      <c r="M53" s="27">
        <f>ROUND(C53/1000,0)</f>
        <v>0</v>
      </c>
      <c r="N53" s="682">
        <f t="shared" si="4"/>
        <v>0</v>
      </c>
      <c r="O53" s="27">
        <f aca="true" t="shared" si="31" ref="O53:P55">ROUND(E53/1000,0)</f>
        <v>28</v>
      </c>
      <c r="P53" s="27">
        <f t="shared" si="31"/>
        <v>0</v>
      </c>
      <c r="Q53" s="682">
        <f t="shared" si="5"/>
        <v>0</v>
      </c>
      <c r="R53" s="27">
        <f aca="true" t="shared" si="32" ref="R53:S55">ROUND(H53/1000,0)</f>
        <v>40</v>
      </c>
      <c r="S53" s="27">
        <f t="shared" si="32"/>
        <v>0</v>
      </c>
      <c r="T53" s="682">
        <f t="shared" si="7"/>
        <v>0</v>
      </c>
      <c r="U53" s="476"/>
      <c r="V53" s="476"/>
      <c r="W53" s="476"/>
      <c r="X53" s="476"/>
      <c r="Y53" s="476"/>
      <c r="Z53" s="476"/>
      <c r="AA53" s="476"/>
      <c r="AB53" s="476"/>
      <c r="AC53" s="476"/>
      <c r="AD53" s="476"/>
      <c r="AE53" s="476"/>
      <c r="AF53" s="476"/>
      <c r="AG53" s="476"/>
      <c r="AH53" s="476"/>
      <c r="AI53" s="476"/>
      <c r="AJ53" s="476"/>
      <c r="AK53" s="476"/>
      <c r="AL53" s="476"/>
      <c r="AM53" s="476"/>
      <c r="AN53" s="476"/>
      <c r="AO53" s="476"/>
      <c r="AP53" s="476"/>
      <c r="AQ53" s="476"/>
      <c r="AR53" s="476"/>
      <c r="AS53" s="476"/>
      <c r="AT53" s="476"/>
      <c r="AU53" s="476"/>
      <c r="AV53" s="476"/>
      <c r="AW53" s="476"/>
      <c r="AX53" s="476"/>
      <c r="AY53" s="476"/>
      <c r="AZ53" s="476"/>
      <c r="BA53" s="476"/>
      <c r="BB53" s="476"/>
      <c r="BC53" s="476"/>
      <c r="BD53" s="476"/>
      <c r="BE53" s="476"/>
      <c r="BF53" s="476"/>
      <c r="BG53" s="476"/>
      <c r="BH53" s="476"/>
      <c r="BI53" s="476"/>
      <c r="BJ53" s="476"/>
      <c r="BK53" s="476"/>
      <c r="BL53" s="476"/>
      <c r="BM53" s="476"/>
      <c r="BN53" s="476"/>
      <c r="BO53" s="476"/>
      <c r="BP53" s="476"/>
      <c r="BQ53" s="476"/>
      <c r="BR53" s="476"/>
      <c r="BS53" s="476"/>
      <c r="BT53" s="476"/>
      <c r="BU53" s="476"/>
      <c r="BV53" s="476"/>
      <c r="BW53" s="476"/>
      <c r="BX53" s="476"/>
      <c r="BY53" s="476"/>
      <c r="BZ53" s="476"/>
      <c r="CA53" s="476"/>
      <c r="CB53" s="476"/>
      <c r="CC53" s="476"/>
      <c r="CD53" s="476"/>
      <c r="CE53" s="476"/>
      <c r="CF53" s="476"/>
      <c r="CG53" s="476"/>
      <c r="CH53" s="476"/>
      <c r="CI53" s="476"/>
      <c r="CJ53" s="476"/>
      <c r="CK53" s="476"/>
      <c r="CL53" s="476"/>
      <c r="CM53" s="476"/>
      <c r="CN53" s="476"/>
      <c r="CO53" s="476"/>
      <c r="CP53" s="476"/>
      <c r="CQ53" s="476"/>
      <c r="CR53" s="476"/>
      <c r="CS53" s="476"/>
      <c r="CT53" s="476"/>
      <c r="CU53" s="476"/>
      <c r="CV53" s="476"/>
      <c r="CW53" s="476"/>
      <c r="CX53" s="476"/>
      <c r="CY53" s="476"/>
      <c r="CZ53" s="476"/>
      <c r="DA53" s="476"/>
      <c r="DB53" s="476"/>
      <c r="DC53" s="476"/>
    </row>
    <row r="54" spans="1:107" s="477" customFormat="1" ht="12.75">
      <c r="A54" s="482" t="s">
        <v>105</v>
      </c>
      <c r="B54" s="27">
        <v>242510</v>
      </c>
      <c r="C54" s="27"/>
      <c r="D54" s="682">
        <f t="shared" si="1"/>
        <v>0</v>
      </c>
      <c r="E54" s="27">
        <v>242510</v>
      </c>
      <c r="F54" s="27"/>
      <c r="G54" s="682">
        <f t="shared" si="2"/>
        <v>0</v>
      </c>
      <c r="H54" s="27">
        <v>727530</v>
      </c>
      <c r="I54" s="27"/>
      <c r="J54" s="682">
        <f t="shared" si="6"/>
        <v>0</v>
      </c>
      <c r="K54" s="482" t="s">
        <v>105</v>
      </c>
      <c r="L54" s="27">
        <f>ROUND(B54/1000,0)-1</f>
        <v>242</v>
      </c>
      <c r="M54" s="27">
        <f>ROUND(C54/1000,0)</f>
        <v>0</v>
      </c>
      <c r="N54" s="682">
        <f t="shared" si="4"/>
        <v>0</v>
      </c>
      <c r="O54" s="27">
        <f>ROUND(E54/1000,0)-1</f>
        <v>242</v>
      </c>
      <c r="P54" s="27">
        <f t="shared" si="31"/>
        <v>0</v>
      </c>
      <c r="Q54" s="682">
        <f t="shared" si="5"/>
        <v>0</v>
      </c>
      <c r="R54" s="27">
        <f>ROUND(H54/1000,0)-1</f>
        <v>727</v>
      </c>
      <c r="S54" s="27">
        <f t="shared" si="32"/>
        <v>0</v>
      </c>
      <c r="T54" s="682">
        <f t="shared" si="7"/>
        <v>0</v>
      </c>
      <c r="U54" s="476"/>
      <c r="V54" s="476"/>
      <c r="W54" s="476"/>
      <c r="X54" s="476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  <c r="AJ54" s="476"/>
      <c r="AK54" s="476"/>
      <c r="AL54" s="476"/>
      <c r="AM54" s="476"/>
      <c r="AN54" s="476"/>
      <c r="AO54" s="476"/>
      <c r="AP54" s="476"/>
      <c r="AQ54" s="476"/>
      <c r="AR54" s="476"/>
      <c r="AS54" s="476"/>
      <c r="AT54" s="476"/>
      <c r="AU54" s="476"/>
      <c r="AV54" s="476"/>
      <c r="AW54" s="476"/>
      <c r="AX54" s="476"/>
      <c r="AY54" s="476"/>
      <c r="AZ54" s="476"/>
      <c r="BA54" s="476"/>
      <c r="BB54" s="476"/>
      <c r="BC54" s="476"/>
      <c r="BD54" s="476"/>
      <c r="BE54" s="476"/>
      <c r="BF54" s="476"/>
      <c r="BG54" s="476"/>
      <c r="BH54" s="476"/>
      <c r="BI54" s="476"/>
      <c r="BJ54" s="476"/>
      <c r="BK54" s="476"/>
      <c r="BL54" s="476"/>
      <c r="BM54" s="476"/>
      <c r="BN54" s="476"/>
      <c r="BO54" s="476"/>
      <c r="BP54" s="476"/>
      <c r="BQ54" s="476"/>
      <c r="BR54" s="476"/>
      <c r="BS54" s="476"/>
      <c r="BT54" s="476"/>
      <c r="BU54" s="476"/>
      <c r="BV54" s="476"/>
      <c r="BW54" s="476"/>
      <c r="BX54" s="476"/>
      <c r="BY54" s="476"/>
      <c r="BZ54" s="476"/>
      <c r="CA54" s="476"/>
      <c r="CB54" s="476"/>
      <c r="CC54" s="476"/>
      <c r="CD54" s="476"/>
      <c r="CE54" s="476"/>
      <c r="CF54" s="476"/>
      <c r="CG54" s="476"/>
      <c r="CH54" s="476"/>
      <c r="CI54" s="476"/>
      <c r="CJ54" s="476"/>
      <c r="CK54" s="476"/>
      <c r="CL54" s="476"/>
      <c r="CM54" s="476"/>
      <c r="CN54" s="476"/>
      <c r="CO54" s="476"/>
      <c r="CP54" s="476"/>
      <c r="CQ54" s="476"/>
      <c r="CR54" s="476"/>
      <c r="CS54" s="476"/>
      <c r="CT54" s="476"/>
      <c r="CU54" s="476"/>
      <c r="CV54" s="476"/>
      <c r="CW54" s="476"/>
      <c r="CX54" s="476"/>
      <c r="CY54" s="476"/>
      <c r="CZ54" s="476"/>
      <c r="DA54" s="476"/>
      <c r="DB54" s="476"/>
      <c r="DC54" s="476"/>
    </row>
    <row r="55" spans="1:107" s="477" customFormat="1" ht="12.75">
      <c r="A55" s="482" t="s">
        <v>712</v>
      </c>
      <c r="B55" s="27">
        <v>1821424</v>
      </c>
      <c r="C55" s="27"/>
      <c r="D55" s="682">
        <f t="shared" si="1"/>
        <v>0</v>
      </c>
      <c r="E55" s="27">
        <v>1794424</v>
      </c>
      <c r="F55" s="27"/>
      <c r="G55" s="682">
        <f t="shared" si="2"/>
        <v>0</v>
      </c>
      <c r="H55" s="27">
        <v>15927500</v>
      </c>
      <c r="I55" s="27"/>
      <c r="J55" s="682">
        <f t="shared" si="6"/>
        <v>0</v>
      </c>
      <c r="K55" s="482" t="s">
        <v>712</v>
      </c>
      <c r="L55" s="27">
        <f>ROUND(B55/1000,0)+1</f>
        <v>1822</v>
      </c>
      <c r="M55" s="27">
        <f>ROUND(C55/1000,0)</f>
        <v>0</v>
      </c>
      <c r="N55" s="682">
        <f t="shared" si="4"/>
        <v>0</v>
      </c>
      <c r="O55" s="27">
        <f>ROUND(E55/1000,0)+1</f>
        <v>1795</v>
      </c>
      <c r="P55" s="27">
        <f t="shared" si="31"/>
        <v>0</v>
      </c>
      <c r="Q55" s="682">
        <f t="shared" si="5"/>
        <v>0</v>
      </c>
      <c r="R55" s="27">
        <f t="shared" si="32"/>
        <v>15928</v>
      </c>
      <c r="S55" s="27">
        <f t="shared" si="32"/>
        <v>0</v>
      </c>
      <c r="T55" s="682">
        <f t="shared" si="7"/>
        <v>0</v>
      </c>
      <c r="U55" s="476"/>
      <c r="V55" s="476"/>
      <c r="W55" s="476"/>
      <c r="X55" s="476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  <c r="AJ55" s="476"/>
      <c r="AK55" s="476"/>
      <c r="AL55" s="476"/>
      <c r="AM55" s="476"/>
      <c r="AN55" s="476"/>
      <c r="AO55" s="476"/>
      <c r="AP55" s="476"/>
      <c r="AQ55" s="476"/>
      <c r="AR55" s="476"/>
      <c r="AS55" s="476"/>
      <c r="AT55" s="476"/>
      <c r="AU55" s="476"/>
      <c r="AV55" s="476"/>
      <c r="AW55" s="476"/>
      <c r="AX55" s="476"/>
      <c r="AY55" s="476"/>
      <c r="AZ55" s="476"/>
      <c r="BA55" s="476"/>
      <c r="BB55" s="476"/>
      <c r="BC55" s="476"/>
      <c r="BD55" s="476"/>
      <c r="BE55" s="476"/>
      <c r="BF55" s="476"/>
      <c r="BG55" s="476"/>
      <c r="BH55" s="476"/>
      <c r="BI55" s="476"/>
      <c r="BJ55" s="476"/>
      <c r="BK55" s="476"/>
      <c r="BL55" s="476"/>
      <c r="BM55" s="476"/>
      <c r="BN55" s="476"/>
      <c r="BO55" s="476"/>
      <c r="BP55" s="476"/>
      <c r="BQ55" s="476"/>
      <c r="BR55" s="476"/>
      <c r="BS55" s="476"/>
      <c r="BT55" s="476"/>
      <c r="BU55" s="476"/>
      <c r="BV55" s="476"/>
      <c r="BW55" s="476"/>
      <c r="BX55" s="476"/>
      <c r="BY55" s="476"/>
      <c r="BZ55" s="476"/>
      <c r="CA55" s="476"/>
      <c r="CB55" s="476"/>
      <c r="CC55" s="476"/>
      <c r="CD55" s="476"/>
      <c r="CE55" s="476"/>
      <c r="CF55" s="476"/>
      <c r="CG55" s="476"/>
      <c r="CH55" s="476"/>
      <c r="CI55" s="476"/>
      <c r="CJ55" s="476"/>
      <c r="CK55" s="476"/>
      <c r="CL55" s="476"/>
      <c r="CM55" s="476"/>
      <c r="CN55" s="476"/>
      <c r="CO55" s="476"/>
      <c r="CP55" s="476"/>
      <c r="CQ55" s="476"/>
      <c r="CR55" s="476"/>
      <c r="CS55" s="476"/>
      <c r="CT55" s="476"/>
      <c r="CU55" s="476"/>
      <c r="CV55" s="476"/>
      <c r="CW55" s="476"/>
      <c r="CX55" s="476"/>
      <c r="CY55" s="476"/>
      <c r="CZ55" s="476"/>
      <c r="DA55" s="476"/>
      <c r="DB55" s="476"/>
      <c r="DC55" s="476"/>
    </row>
    <row r="56" spans="1:20" ht="12.75">
      <c r="A56" s="74" t="s">
        <v>418</v>
      </c>
      <c r="B56" s="480">
        <f>SUM(B57:B58)</f>
        <v>2770580</v>
      </c>
      <c r="C56" s="480">
        <f aca="true" t="shared" si="33" ref="C56:I56">SUM(C57:C58)</f>
        <v>0</v>
      </c>
      <c r="D56" s="681">
        <f t="shared" si="1"/>
        <v>0</v>
      </c>
      <c r="E56" s="480">
        <f t="shared" si="33"/>
        <v>2475580</v>
      </c>
      <c r="F56" s="480">
        <f t="shared" si="33"/>
        <v>0</v>
      </c>
      <c r="G56" s="681">
        <f t="shared" si="2"/>
        <v>0</v>
      </c>
      <c r="H56" s="480">
        <f t="shared" si="33"/>
        <v>11251580</v>
      </c>
      <c r="I56" s="480">
        <f t="shared" si="33"/>
        <v>0</v>
      </c>
      <c r="J56" s="681">
        <f t="shared" si="6"/>
        <v>0</v>
      </c>
      <c r="K56" s="74" t="s">
        <v>418</v>
      </c>
      <c r="L56" s="480">
        <f aca="true" t="shared" si="34" ref="L56:S56">SUM(L57:L58)</f>
        <v>2771</v>
      </c>
      <c r="M56" s="480">
        <f t="shared" si="34"/>
        <v>0</v>
      </c>
      <c r="N56" s="681">
        <f t="shared" si="4"/>
        <v>0</v>
      </c>
      <c r="O56" s="480">
        <f t="shared" si="34"/>
        <v>2475</v>
      </c>
      <c r="P56" s="480">
        <f t="shared" si="34"/>
        <v>0</v>
      </c>
      <c r="Q56" s="681">
        <f t="shared" si="5"/>
        <v>0</v>
      </c>
      <c r="R56" s="480">
        <f t="shared" si="34"/>
        <v>11252</v>
      </c>
      <c r="S56" s="480">
        <f t="shared" si="34"/>
        <v>0</v>
      </c>
      <c r="T56" s="681">
        <f t="shared" si="7"/>
        <v>0</v>
      </c>
    </row>
    <row r="57" spans="1:107" s="477" customFormat="1" ht="12.75">
      <c r="A57" s="482" t="s">
        <v>105</v>
      </c>
      <c r="B57" s="27">
        <v>75580</v>
      </c>
      <c r="C57" s="27"/>
      <c r="D57" s="682">
        <f t="shared" si="1"/>
        <v>0</v>
      </c>
      <c r="E57" s="27">
        <v>75580</v>
      </c>
      <c r="F57" s="27"/>
      <c r="G57" s="682">
        <f t="shared" si="2"/>
        <v>0</v>
      </c>
      <c r="H57" s="27">
        <v>75580</v>
      </c>
      <c r="I57" s="27"/>
      <c r="J57" s="682">
        <f t="shared" si="6"/>
        <v>0</v>
      </c>
      <c r="K57" s="482" t="s">
        <v>105</v>
      </c>
      <c r="L57" s="27">
        <f>ROUND(B57/1000,0)</f>
        <v>76</v>
      </c>
      <c r="M57" s="27">
        <f>ROUND(C57/1000,0)</f>
        <v>0</v>
      </c>
      <c r="N57" s="682">
        <f t="shared" si="4"/>
        <v>0</v>
      </c>
      <c r="O57" s="27">
        <f>ROUND(E57/1000,0)-1</f>
        <v>75</v>
      </c>
      <c r="P57" s="27">
        <f>ROUND(F57/1000,0)</f>
        <v>0</v>
      </c>
      <c r="Q57" s="682">
        <f t="shared" si="5"/>
        <v>0</v>
      </c>
      <c r="R57" s="27">
        <f>ROUND(H57/1000,0)</f>
        <v>76</v>
      </c>
      <c r="S57" s="27">
        <f>ROUND(I57/1000,0)</f>
        <v>0</v>
      </c>
      <c r="T57" s="682">
        <f t="shared" si="7"/>
        <v>0</v>
      </c>
      <c r="U57" s="476"/>
      <c r="V57" s="476"/>
      <c r="W57" s="476"/>
      <c r="X57" s="476"/>
      <c r="Y57" s="476"/>
      <c r="Z57" s="476"/>
      <c r="AA57" s="476"/>
      <c r="AB57" s="476"/>
      <c r="AC57" s="476"/>
      <c r="AD57" s="476"/>
      <c r="AE57" s="476"/>
      <c r="AF57" s="476"/>
      <c r="AG57" s="476"/>
      <c r="AH57" s="476"/>
      <c r="AI57" s="476"/>
      <c r="AJ57" s="476"/>
      <c r="AK57" s="476"/>
      <c r="AL57" s="476"/>
      <c r="AM57" s="476"/>
      <c r="AN57" s="476"/>
      <c r="AO57" s="476"/>
      <c r="AP57" s="476"/>
      <c r="AQ57" s="476"/>
      <c r="AR57" s="476"/>
      <c r="AS57" s="476"/>
      <c r="AT57" s="476"/>
      <c r="AU57" s="476"/>
      <c r="AV57" s="476"/>
      <c r="AW57" s="476"/>
      <c r="AX57" s="476"/>
      <c r="AY57" s="476"/>
      <c r="AZ57" s="476"/>
      <c r="BA57" s="476"/>
      <c r="BB57" s="476"/>
      <c r="BC57" s="476"/>
      <c r="BD57" s="476"/>
      <c r="BE57" s="476"/>
      <c r="BF57" s="476"/>
      <c r="BG57" s="476"/>
      <c r="BH57" s="476"/>
      <c r="BI57" s="476"/>
      <c r="BJ57" s="476"/>
      <c r="BK57" s="476"/>
      <c r="BL57" s="476"/>
      <c r="BM57" s="476"/>
      <c r="BN57" s="476"/>
      <c r="BO57" s="476"/>
      <c r="BP57" s="476"/>
      <c r="BQ57" s="476"/>
      <c r="BR57" s="476"/>
      <c r="BS57" s="476"/>
      <c r="BT57" s="476"/>
      <c r="BU57" s="476"/>
      <c r="BV57" s="476"/>
      <c r="BW57" s="476"/>
      <c r="BX57" s="476"/>
      <c r="BY57" s="476"/>
      <c r="BZ57" s="476"/>
      <c r="CA57" s="476"/>
      <c r="CB57" s="476"/>
      <c r="CC57" s="476"/>
      <c r="CD57" s="476"/>
      <c r="CE57" s="476"/>
      <c r="CF57" s="476"/>
      <c r="CG57" s="476"/>
      <c r="CH57" s="476"/>
      <c r="CI57" s="476"/>
      <c r="CJ57" s="476"/>
      <c r="CK57" s="476"/>
      <c r="CL57" s="476"/>
      <c r="CM57" s="476"/>
      <c r="CN57" s="476"/>
      <c r="CO57" s="476"/>
      <c r="CP57" s="476"/>
      <c r="CQ57" s="476"/>
      <c r="CR57" s="476"/>
      <c r="CS57" s="476"/>
      <c r="CT57" s="476"/>
      <c r="CU57" s="476"/>
      <c r="CV57" s="476"/>
      <c r="CW57" s="476"/>
      <c r="CX57" s="476"/>
      <c r="CY57" s="476"/>
      <c r="CZ57" s="476"/>
      <c r="DA57" s="476"/>
      <c r="DB57" s="476"/>
      <c r="DC57" s="476"/>
    </row>
    <row r="58" spans="1:107" s="477" customFormat="1" ht="12.75">
      <c r="A58" s="482" t="s">
        <v>712</v>
      </c>
      <c r="B58" s="27">
        <v>2695000</v>
      </c>
      <c r="C58" s="27"/>
      <c r="D58" s="682">
        <f t="shared" si="1"/>
        <v>0</v>
      </c>
      <c r="E58" s="27">
        <v>2400000</v>
      </c>
      <c r="F58" s="27"/>
      <c r="G58" s="682">
        <f t="shared" si="2"/>
        <v>0</v>
      </c>
      <c r="H58" s="27">
        <v>11176000</v>
      </c>
      <c r="I58" s="27"/>
      <c r="J58" s="682">
        <f t="shared" si="6"/>
        <v>0</v>
      </c>
      <c r="K58" s="482" t="s">
        <v>712</v>
      </c>
      <c r="L58" s="27">
        <f>ROUND(B58/1000,0)</f>
        <v>2695</v>
      </c>
      <c r="M58" s="27">
        <f>ROUND(C58/1000,0)</f>
        <v>0</v>
      </c>
      <c r="N58" s="682">
        <f t="shared" si="4"/>
        <v>0</v>
      </c>
      <c r="O58" s="27">
        <f>ROUND(E58/1000,0)</f>
        <v>2400</v>
      </c>
      <c r="P58" s="27">
        <f>ROUND(F58/1000,0)</f>
        <v>0</v>
      </c>
      <c r="Q58" s="682">
        <f t="shared" si="5"/>
        <v>0</v>
      </c>
      <c r="R58" s="27">
        <f>ROUND(H58/1000,0)</f>
        <v>11176</v>
      </c>
      <c r="S58" s="27">
        <f>ROUND(I58/1000,0)</f>
        <v>0</v>
      </c>
      <c r="T58" s="682">
        <f t="shared" si="7"/>
        <v>0</v>
      </c>
      <c r="U58" s="476"/>
      <c r="V58" s="476"/>
      <c r="W58" s="476"/>
      <c r="X58" s="476"/>
      <c r="Y58" s="476"/>
      <c r="Z58" s="476"/>
      <c r="AA58" s="476"/>
      <c r="AB58" s="476"/>
      <c r="AC58" s="476"/>
      <c r="AD58" s="476"/>
      <c r="AE58" s="476"/>
      <c r="AF58" s="476"/>
      <c r="AG58" s="476"/>
      <c r="AH58" s="476"/>
      <c r="AI58" s="476"/>
      <c r="AJ58" s="476"/>
      <c r="AK58" s="476"/>
      <c r="AL58" s="476"/>
      <c r="AM58" s="476"/>
      <c r="AN58" s="476"/>
      <c r="AO58" s="476"/>
      <c r="AP58" s="476"/>
      <c r="AQ58" s="476"/>
      <c r="AR58" s="476"/>
      <c r="AS58" s="476"/>
      <c r="AT58" s="476"/>
      <c r="AU58" s="476"/>
      <c r="AV58" s="476"/>
      <c r="AW58" s="476"/>
      <c r="AX58" s="476"/>
      <c r="AY58" s="476"/>
      <c r="AZ58" s="476"/>
      <c r="BA58" s="476"/>
      <c r="BB58" s="476"/>
      <c r="BC58" s="476"/>
      <c r="BD58" s="476"/>
      <c r="BE58" s="476"/>
      <c r="BF58" s="476"/>
      <c r="BG58" s="476"/>
      <c r="BH58" s="476"/>
      <c r="BI58" s="476"/>
      <c r="BJ58" s="476"/>
      <c r="BK58" s="476"/>
      <c r="BL58" s="476"/>
      <c r="BM58" s="476"/>
      <c r="BN58" s="476"/>
      <c r="BO58" s="476"/>
      <c r="BP58" s="476"/>
      <c r="BQ58" s="476"/>
      <c r="BR58" s="476"/>
      <c r="BS58" s="476"/>
      <c r="BT58" s="476"/>
      <c r="BU58" s="476"/>
      <c r="BV58" s="476"/>
      <c r="BW58" s="476"/>
      <c r="BX58" s="476"/>
      <c r="BY58" s="476"/>
      <c r="BZ58" s="476"/>
      <c r="CA58" s="476"/>
      <c r="CB58" s="476"/>
      <c r="CC58" s="476"/>
      <c r="CD58" s="476"/>
      <c r="CE58" s="476"/>
      <c r="CF58" s="476"/>
      <c r="CG58" s="476"/>
      <c r="CH58" s="476"/>
      <c r="CI58" s="476"/>
      <c r="CJ58" s="476"/>
      <c r="CK58" s="476"/>
      <c r="CL58" s="476"/>
      <c r="CM58" s="476"/>
      <c r="CN58" s="476"/>
      <c r="CO58" s="476"/>
      <c r="CP58" s="476"/>
      <c r="CQ58" s="476"/>
      <c r="CR58" s="476"/>
      <c r="CS58" s="476"/>
      <c r="CT58" s="476"/>
      <c r="CU58" s="476"/>
      <c r="CV58" s="476"/>
      <c r="CW58" s="476"/>
      <c r="CX58" s="476"/>
      <c r="CY58" s="476"/>
      <c r="CZ58" s="476"/>
      <c r="DA58" s="476"/>
      <c r="DB58" s="476"/>
      <c r="DC58" s="476"/>
    </row>
    <row r="59" spans="1:20" ht="12.75">
      <c r="A59" s="74" t="s">
        <v>420</v>
      </c>
      <c r="B59" s="480">
        <f>SUM(B60:B62)</f>
        <v>1855383</v>
      </c>
      <c r="C59" s="480">
        <f aca="true" t="shared" si="35" ref="C59:I59">SUM(C60:C62)</f>
        <v>33983</v>
      </c>
      <c r="D59" s="681">
        <f t="shared" si="1"/>
        <v>1.8315894885314783</v>
      </c>
      <c r="E59" s="480">
        <f t="shared" si="35"/>
        <v>3176974</v>
      </c>
      <c r="F59" s="480">
        <f t="shared" si="35"/>
        <v>38774</v>
      </c>
      <c r="G59" s="681">
        <f t="shared" si="2"/>
        <v>1.2204695411419797</v>
      </c>
      <c r="H59" s="480">
        <f t="shared" si="35"/>
        <v>973330</v>
      </c>
      <c r="I59" s="480">
        <f t="shared" si="35"/>
        <v>72330</v>
      </c>
      <c r="J59" s="681">
        <f t="shared" si="6"/>
        <v>7.431189832841893</v>
      </c>
      <c r="K59" s="74" t="s">
        <v>420</v>
      </c>
      <c r="L59" s="480">
        <f aca="true" t="shared" si="36" ref="L59:S59">SUM(L60:L62)</f>
        <v>1855</v>
      </c>
      <c r="M59" s="480">
        <f t="shared" si="36"/>
        <v>34</v>
      </c>
      <c r="N59" s="681">
        <f t="shared" si="4"/>
        <v>1.8328840970350404</v>
      </c>
      <c r="O59" s="480">
        <f t="shared" si="36"/>
        <v>3177</v>
      </c>
      <c r="P59" s="480">
        <f t="shared" si="36"/>
        <v>39</v>
      </c>
      <c r="Q59" s="681">
        <f t="shared" si="5"/>
        <v>1.2275731822474032</v>
      </c>
      <c r="R59" s="480">
        <f t="shared" si="36"/>
        <v>973</v>
      </c>
      <c r="S59" s="480">
        <f t="shared" si="36"/>
        <v>72</v>
      </c>
      <c r="T59" s="681">
        <f t="shared" si="7"/>
        <v>7.399794450154163</v>
      </c>
    </row>
    <row r="60" spans="1:107" s="477" customFormat="1" ht="12.75">
      <c r="A60" s="482" t="s">
        <v>477</v>
      </c>
      <c r="B60" s="27">
        <v>33983</v>
      </c>
      <c r="C60" s="27">
        <v>33983</v>
      </c>
      <c r="D60" s="682">
        <f t="shared" si="1"/>
        <v>100</v>
      </c>
      <c r="E60" s="27">
        <v>38774</v>
      </c>
      <c r="F60" s="27">
        <v>38774</v>
      </c>
      <c r="G60" s="682">
        <f t="shared" si="2"/>
        <v>100</v>
      </c>
      <c r="H60" s="27">
        <v>72330</v>
      </c>
      <c r="I60" s="27">
        <v>72330</v>
      </c>
      <c r="J60" s="682">
        <f t="shared" si="6"/>
        <v>100</v>
      </c>
      <c r="K60" s="482" t="s">
        <v>477</v>
      </c>
      <c r="L60" s="27">
        <f aca="true" t="shared" si="37" ref="L60:M62">ROUND(B60/1000,0)</f>
        <v>34</v>
      </c>
      <c r="M60" s="27">
        <f t="shared" si="37"/>
        <v>34</v>
      </c>
      <c r="N60" s="682">
        <f t="shared" si="4"/>
        <v>100</v>
      </c>
      <c r="O60" s="27">
        <f aca="true" t="shared" si="38" ref="O60:P62">ROUND(E60/1000,0)</f>
        <v>39</v>
      </c>
      <c r="P60" s="27">
        <f>ROUND(F60/1000,0)</f>
        <v>39</v>
      </c>
      <c r="Q60" s="682">
        <f t="shared" si="5"/>
        <v>100</v>
      </c>
      <c r="R60" s="27">
        <f aca="true" t="shared" si="39" ref="R60:S62">ROUND(H60/1000,0)</f>
        <v>72</v>
      </c>
      <c r="S60" s="27">
        <f t="shared" si="39"/>
        <v>72</v>
      </c>
      <c r="T60" s="682">
        <f t="shared" si="7"/>
        <v>100</v>
      </c>
      <c r="U60" s="476"/>
      <c r="V60" s="476"/>
      <c r="W60" s="476"/>
      <c r="X60" s="476"/>
      <c r="Y60" s="476"/>
      <c r="Z60" s="476"/>
      <c r="AA60" s="476"/>
      <c r="AB60" s="476"/>
      <c r="AC60" s="476"/>
      <c r="AD60" s="476"/>
      <c r="AE60" s="476"/>
      <c r="AF60" s="476"/>
      <c r="AG60" s="476"/>
      <c r="AH60" s="476"/>
      <c r="AI60" s="476"/>
      <c r="AJ60" s="476"/>
      <c r="AK60" s="476"/>
      <c r="AL60" s="476"/>
      <c r="AM60" s="476"/>
      <c r="AN60" s="476"/>
      <c r="AO60" s="476"/>
      <c r="AP60" s="476"/>
      <c r="AQ60" s="476"/>
      <c r="AR60" s="476"/>
      <c r="AS60" s="476"/>
      <c r="AT60" s="476"/>
      <c r="AU60" s="476"/>
      <c r="AV60" s="476"/>
      <c r="AW60" s="476"/>
      <c r="AX60" s="476"/>
      <c r="AY60" s="476"/>
      <c r="AZ60" s="476"/>
      <c r="BA60" s="476"/>
      <c r="BB60" s="476"/>
      <c r="BC60" s="476"/>
      <c r="BD60" s="476"/>
      <c r="BE60" s="476"/>
      <c r="BF60" s="476"/>
      <c r="BG60" s="476"/>
      <c r="BH60" s="476"/>
      <c r="BI60" s="476"/>
      <c r="BJ60" s="476"/>
      <c r="BK60" s="476"/>
      <c r="BL60" s="476"/>
      <c r="BM60" s="476"/>
      <c r="BN60" s="476"/>
      <c r="BO60" s="476"/>
      <c r="BP60" s="476"/>
      <c r="BQ60" s="476"/>
      <c r="BR60" s="476"/>
      <c r="BS60" s="476"/>
      <c r="BT60" s="476"/>
      <c r="BU60" s="476"/>
      <c r="BV60" s="476"/>
      <c r="BW60" s="476"/>
      <c r="BX60" s="476"/>
      <c r="BY60" s="476"/>
      <c r="BZ60" s="476"/>
      <c r="CA60" s="476"/>
      <c r="CB60" s="476"/>
      <c r="CC60" s="476"/>
      <c r="CD60" s="476"/>
      <c r="CE60" s="476"/>
      <c r="CF60" s="476"/>
      <c r="CG60" s="476"/>
      <c r="CH60" s="476"/>
      <c r="CI60" s="476"/>
      <c r="CJ60" s="476"/>
      <c r="CK60" s="476"/>
      <c r="CL60" s="476"/>
      <c r="CM60" s="476"/>
      <c r="CN60" s="476"/>
      <c r="CO60" s="476"/>
      <c r="CP60" s="476"/>
      <c r="CQ60" s="476"/>
      <c r="CR60" s="476"/>
      <c r="CS60" s="476"/>
      <c r="CT60" s="476"/>
      <c r="CU60" s="476"/>
      <c r="CV60" s="476"/>
      <c r="CW60" s="476"/>
      <c r="CX60" s="476"/>
      <c r="CY60" s="476"/>
      <c r="CZ60" s="476"/>
      <c r="DA60" s="476"/>
      <c r="DB60" s="476"/>
      <c r="DC60" s="476"/>
    </row>
    <row r="61" spans="1:107" s="477" customFormat="1" ht="12.75">
      <c r="A61" s="482" t="s">
        <v>105</v>
      </c>
      <c r="B61" s="27">
        <v>514400</v>
      </c>
      <c r="C61" s="27"/>
      <c r="D61" s="682">
        <f t="shared" si="1"/>
        <v>0</v>
      </c>
      <c r="E61" s="27">
        <v>514400</v>
      </c>
      <c r="F61" s="27"/>
      <c r="G61" s="682">
        <f t="shared" si="2"/>
        <v>0</v>
      </c>
      <c r="H61" s="27"/>
      <c r="I61" s="27"/>
      <c r="J61" s="682" t="e">
        <f t="shared" si="6"/>
        <v>#DIV/0!</v>
      </c>
      <c r="K61" s="482" t="s">
        <v>105</v>
      </c>
      <c r="L61" s="27">
        <f t="shared" si="37"/>
        <v>514</v>
      </c>
      <c r="M61" s="27">
        <f t="shared" si="37"/>
        <v>0</v>
      </c>
      <c r="N61" s="682">
        <f t="shared" si="4"/>
        <v>0</v>
      </c>
      <c r="O61" s="27">
        <f t="shared" si="38"/>
        <v>514</v>
      </c>
      <c r="P61" s="27">
        <f t="shared" si="38"/>
        <v>0</v>
      </c>
      <c r="Q61" s="682">
        <f t="shared" si="5"/>
        <v>0</v>
      </c>
      <c r="R61" s="27">
        <f t="shared" si="39"/>
        <v>0</v>
      </c>
      <c r="S61" s="27">
        <f t="shared" si="39"/>
        <v>0</v>
      </c>
      <c r="T61" s="682"/>
      <c r="U61" s="476"/>
      <c r="V61" s="476"/>
      <c r="W61" s="476"/>
      <c r="X61" s="476"/>
      <c r="Y61" s="476"/>
      <c r="Z61" s="476"/>
      <c r="AA61" s="476"/>
      <c r="AB61" s="476"/>
      <c r="AC61" s="476"/>
      <c r="AD61" s="476"/>
      <c r="AE61" s="476"/>
      <c r="AF61" s="476"/>
      <c r="AG61" s="476"/>
      <c r="AH61" s="476"/>
      <c r="AI61" s="476"/>
      <c r="AJ61" s="476"/>
      <c r="AK61" s="476"/>
      <c r="AL61" s="476"/>
      <c r="AM61" s="476"/>
      <c r="AN61" s="476"/>
      <c r="AO61" s="476"/>
      <c r="AP61" s="476"/>
      <c r="AQ61" s="476"/>
      <c r="AR61" s="476"/>
      <c r="AS61" s="476"/>
      <c r="AT61" s="476"/>
      <c r="AU61" s="476"/>
      <c r="AV61" s="476"/>
      <c r="AW61" s="476"/>
      <c r="AX61" s="476"/>
      <c r="AY61" s="476"/>
      <c r="AZ61" s="476"/>
      <c r="BA61" s="476"/>
      <c r="BB61" s="476"/>
      <c r="BC61" s="476"/>
      <c r="BD61" s="476"/>
      <c r="BE61" s="476"/>
      <c r="BF61" s="476"/>
      <c r="BG61" s="476"/>
      <c r="BH61" s="476"/>
      <c r="BI61" s="476"/>
      <c r="BJ61" s="476"/>
      <c r="BK61" s="476"/>
      <c r="BL61" s="476"/>
      <c r="BM61" s="476"/>
      <c r="BN61" s="476"/>
      <c r="BO61" s="476"/>
      <c r="BP61" s="476"/>
      <c r="BQ61" s="476"/>
      <c r="BR61" s="476"/>
      <c r="BS61" s="476"/>
      <c r="BT61" s="476"/>
      <c r="BU61" s="476"/>
      <c r="BV61" s="476"/>
      <c r="BW61" s="476"/>
      <c r="BX61" s="476"/>
      <c r="BY61" s="476"/>
      <c r="BZ61" s="476"/>
      <c r="CA61" s="476"/>
      <c r="CB61" s="476"/>
      <c r="CC61" s="476"/>
      <c r="CD61" s="476"/>
      <c r="CE61" s="476"/>
      <c r="CF61" s="476"/>
      <c r="CG61" s="476"/>
      <c r="CH61" s="476"/>
      <c r="CI61" s="476"/>
      <c r="CJ61" s="476"/>
      <c r="CK61" s="476"/>
      <c r="CL61" s="476"/>
      <c r="CM61" s="476"/>
      <c r="CN61" s="476"/>
      <c r="CO61" s="476"/>
      <c r="CP61" s="476"/>
      <c r="CQ61" s="476"/>
      <c r="CR61" s="476"/>
      <c r="CS61" s="476"/>
      <c r="CT61" s="476"/>
      <c r="CU61" s="476"/>
      <c r="CV61" s="476"/>
      <c r="CW61" s="476"/>
      <c r="CX61" s="476"/>
      <c r="CY61" s="476"/>
      <c r="CZ61" s="476"/>
      <c r="DA61" s="476"/>
      <c r="DB61" s="476"/>
      <c r="DC61" s="476"/>
    </row>
    <row r="62" spans="1:107" s="477" customFormat="1" ht="12.75">
      <c r="A62" s="482" t="s">
        <v>712</v>
      </c>
      <c r="B62" s="27">
        <v>1307000</v>
      </c>
      <c r="C62" s="27"/>
      <c r="D62" s="682">
        <f t="shared" si="1"/>
        <v>0</v>
      </c>
      <c r="E62" s="27">
        <v>2623800</v>
      </c>
      <c r="F62" s="27"/>
      <c r="G62" s="682">
        <f t="shared" si="2"/>
        <v>0</v>
      </c>
      <c r="H62" s="27">
        <v>901000</v>
      </c>
      <c r="I62" s="27"/>
      <c r="J62" s="682">
        <f t="shared" si="6"/>
        <v>0</v>
      </c>
      <c r="K62" s="482" t="s">
        <v>712</v>
      </c>
      <c r="L62" s="27">
        <f t="shared" si="37"/>
        <v>1307</v>
      </c>
      <c r="M62" s="27">
        <f t="shared" si="37"/>
        <v>0</v>
      </c>
      <c r="N62" s="682">
        <f t="shared" si="4"/>
        <v>0</v>
      </c>
      <c r="O62" s="27">
        <f t="shared" si="38"/>
        <v>2624</v>
      </c>
      <c r="P62" s="27">
        <f t="shared" si="38"/>
        <v>0</v>
      </c>
      <c r="Q62" s="682">
        <f t="shared" si="5"/>
        <v>0</v>
      </c>
      <c r="R62" s="27">
        <f t="shared" si="39"/>
        <v>901</v>
      </c>
      <c r="S62" s="27">
        <f t="shared" si="39"/>
        <v>0</v>
      </c>
      <c r="T62" s="682">
        <f t="shared" si="7"/>
        <v>0</v>
      </c>
      <c r="U62" s="476"/>
      <c r="V62" s="476"/>
      <c r="W62" s="476"/>
      <c r="X62" s="476"/>
      <c r="Y62" s="476"/>
      <c r="Z62" s="476"/>
      <c r="AA62" s="476"/>
      <c r="AB62" s="476"/>
      <c r="AC62" s="476"/>
      <c r="AD62" s="476"/>
      <c r="AE62" s="476"/>
      <c r="AF62" s="476"/>
      <c r="AG62" s="476"/>
      <c r="AH62" s="476"/>
      <c r="AI62" s="476"/>
      <c r="AJ62" s="476"/>
      <c r="AK62" s="476"/>
      <c r="AL62" s="476"/>
      <c r="AM62" s="476"/>
      <c r="AN62" s="476"/>
      <c r="AO62" s="476"/>
      <c r="AP62" s="476"/>
      <c r="AQ62" s="476"/>
      <c r="AR62" s="476"/>
      <c r="AS62" s="476"/>
      <c r="AT62" s="476"/>
      <c r="AU62" s="476"/>
      <c r="AV62" s="476"/>
      <c r="AW62" s="476"/>
      <c r="AX62" s="476"/>
      <c r="AY62" s="476"/>
      <c r="AZ62" s="476"/>
      <c r="BA62" s="476"/>
      <c r="BB62" s="476"/>
      <c r="BC62" s="476"/>
      <c r="BD62" s="476"/>
      <c r="BE62" s="476"/>
      <c r="BF62" s="476"/>
      <c r="BG62" s="476"/>
      <c r="BH62" s="476"/>
      <c r="BI62" s="476"/>
      <c r="BJ62" s="476"/>
      <c r="BK62" s="476"/>
      <c r="BL62" s="476"/>
      <c r="BM62" s="476"/>
      <c r="BN62" s="476"/>
      <c r="BO62" s="476"/>
      <c r="BP62" s="476"/>
      <c r="BQ62" s="476"/>
      <c r="BR62" s="476"/>
      <c r="BS62" s="476"/>
      <c r="BT62" s="476"/>
      <c r="BU62" s="476"/>
      <c r="BV62" s="476"/>
      <c r="BW62" s="476"/>
      <c r="BX62" s="476"/>
      <c r="BY62" s="476"/>
      <c r="BZ62" s="476"/>
      <c r="CA62" s="476"/>
      <c r="CB62" s="476"/>
      <c r="CC62" s="476"/>
      <c r="CD62" s="476"/>
      <c r="CE62" s="476"/>
      <c r="CF62" s="476"/>
      <c r="CG62" s="476"/>
      <c r="CH62" s="476"/>
      <c r="CI62" s="476"/>
      <c r="CJ62" s="476"/>
      <c r="CK62" s="476"/>
      <c r="CL62" s="476"/>
      <c r="CM62" s="476"/>
      <c r="CN62" s="476"/>
      <c r="CO62" s="476"/>
      <c r="CP62" s="476"/>
      <c r="CQ62" s="476"/>
      <c r="CR62" s="476"/>
      <c r="CS62" s="476"/>
      <c r="CT62" s="476"/>
      <c r="CU62" s="476"/>
      <c r="CV62" s="476"/>
      <c r="CW62" s="476"/>
      <c r="CX62" s="476"/>
      <c r="CY62" s="476"/>
      <c r="CZ62" s="476"/>
      <c r="DA62" s="476"/>
      <c r="DB62" s="476"/>
      <c r="DC62" s="476"/>
    </row>
    <row r="63" spans="1:20" ht="12.75">
      <c r="A63" s="74" t="s">
        <v>751</v>
      </c>
      <c r="B63" s="480">
        <f>SUM(B64:B65)</f>
        <v>2884000</v>
      </c>
      <c r="C63" s="480">
        <f aca="true" t="shared" si="40" ref="C63:H63">SUM(C64:C65)</f>
        <v>975000</v>
      </c>
      <c r="D63" s="681">
        <f t="shared" si="1"/>
        <v>33.80721220527046</v>
      </c>
      <c r="E63" s="480">
        <f t="shared" si="40"/>
        <v>1642000</v>
      </c>
      <c r="F63" s="480">
        <f t="shared" si="40"/>
        <v>872000</v>
      </c>
      <c r="G63" s="681">
        <f t="shared" si="2"/>
        <v>53.10596833130329</v>
      </c>
      <c r="H63" s="480">
        <f t="shared" si="40"/>
        <v>2880000</v>
      </c>
      <c r="I63" s="480">
        <f>SUM(I64:I65)</f>
        <v>1745000</v>
      </c>
      <c r="J63" s="681">
        <f t="shared" si="6"/>
        <v>60.59027777777778</v>
      </c>
      <c r="K63" s="74" t="s">
        <v>751</v>
      </c>
      <c r="L63" s="480">
        <f aca="true" t="shared" si="41" ref="L63:S63">SUM(L64:L65)</f>
        <v>2884</v>
      </c>
      <c r="M63" s="480">
        <f t="shared" si="41"/>
        <v>975</v>
      </c>
      <c r="N63" s="681">
        <f t="shared" si="4"/>
        <v>33.80721220527046</v>
      </c>
      <c r="O63" s="480">
        <f t="shared" si="41"/>
        <v>1642</v>
      </c>
      <c r="P63" s="480">
        <f t="shared" si="41"/>
        <v>872</v>
      </c>
      <c r="Q63" s="681">
        <f t="shared" si="5"/>
        <v>53.10596833130329</v>
      </c>
      <c r="R63" s="480">
        <f t="shared" si="41"/>
        <v>2880</v>
      </c>
      <c r="S63" s="480">
        <f t="shared" si="41"/>
        <v>1745</v>
      </c>
      <c r="T63" s="681">
        <f t="shared" si="7"/>
        <v>60.59027777777778</v>
      </c>
    </row>
    <row r="64" spans="1:107" s="477" customFormat="1" ht="12.75">
      <c r="A64" s="482" t="s">
        <v>105</v>
      </c>
      <c r="B64" s="27">
        <v>10000</v>
      </c>
      <c r="C64" s="27">
        <v>10000</v>
      </c>
      <c r="D64" s="682">
        <f t="shared" si="1"/>
        <v>100</v>
      </c>
      <c r="E64" s="27">
        <v>10000</v>
      </c>
      <c r="F64" s="27">
        <v>10000</v>
      </c>
      <c r="G64" s="682">
        <f t="shared" si="2"/>
        <v>100</v>
      </c>
      <c r="H64" s="27">
        <v>50000</v>
      </c>
      <c r="I64" s="27">
        <v>50000</v>
      </c>
      <c r="J64" s="682">
        <f t="shared" si="6"/>
        <v>100</v>
      </c>
      <c r="K64" s="482" t="s">
        <v>105</v>
      </c>
      <c r="L64" s="27">
        <f>ROUND(B64/1000,0)</f>
        <v>10</v>
      </c>
      <c r="M64" s="27">
        <f>ROUND(C64/1000,0)</f>
        <v>10</v>
      </c>
      <c r="N64" s="682">
        <f t="shared" si="4"/>
        <v>100</v>
      </c>
      <c r="O64" s="27">
        <f>ROUND(E64/1000,0)</f>
        <v>10</v>
      </c>
      <c r="P64" s="27">
        <f>ROUND(F64/1000,0)</f>
        <v>10</v>
      </c>
      <c r="Q64" s="682">
        <f t="shared" si="5"/>
        <v>100</v>
      </c>
      <c r="R64" s="27">
        <f>ROUND(H64/1000,0)</f>
        <v>50</v>
      </c>
      <c r="S64" s="27">
        <f>ROUND(I64/1000,0)</f>
        <v>50</v>
      </c>
      <c r="T64" s="682">
        <f t="shared" si="7"/>
        <v>100</v>
      </c>
      <c r="U64" s="476"/>
      <c r="V64" s="476"/>
      <c r="W64" s="476"/>
      <c r="X64" s="476"/>
      <c r="Y64" s="476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476"/>
      <c r="AL64" s="476"/>
      <c r="AM64" s="476"/>
      <c r="AN64" s="476"/>
      <c r="AO64" s="476"/>
      <c r="AP64" s="476"/>
      <c r="AQ64" s="476"/>
      <c r="AR64" s="476"/>
      <c r="AS64" s="476"/>
      <c r="AT64" s="476"/>
      <c r="AU64" s="476"/>
      <c r="AV64" s="476"/>
      <c r="AW64" s="476"/>
      <c r="AX64" s="476"/>
      <c r="AY64" s="476"/>
      <c r="AZ64" s="476"/>
      <c r="BA64" s="476"/>
      <c r="BB64" s="476"/>
      <c r="BC64" s="476"/>
      <c r="BD64" s="476"/>
      <c r="BE64" s="476"/>
      <c r="BF64" s="476"/>
      <c r="BG64" s="476"/>
      <c r="BH64" s="476"/>
      <c r="BI64" s="476"/>
      <c r="BJ64" s="476"/>
      <c r="BK64" s="476"/>
      <c r="BL64" s="476"/>
      <c r="BM64" s="476"/>
      <c r="BN64" s="476"/>
      <c r="BO64" s="476"/>
      <c r="BP64" s="476"/>
      <c r="BQ64" s="476"/>
      <c r="BR64" s="476"/>
      <c r="BS64" s="476"/>
      <c r="BT64" s="476"/>
      <c r="BU64" s="476"/>
      <c r="BV64" s="476"/>
      <c r="BW64" s="476"/>
      <c r="BX64" s="476"/>
      <c r="BY64" s="476"/>
      <c r="BZ64" s="476"/>
      <c r="CA64" s="476"/>
      <c r="CB64" s="476"/>
      <c r="CC64" s="476"/>
      <c r="CD64" s="476"/>
      <c r="CE64" s="476"/>
      <c r="CF64" s="476"/>
      <c r="CG64" s="476"/>
      <c r="CH64" s="476"/>
      <c r="CI64" s="476"/>
      <c r="CJ64" s="476"/>
      <c r="CK64" s="476"/>
      <c r="CL64" s="476"/>
      <c r="CM64" s="476"/>
      <c r="CN64" s="476"/>
      <c r="CO64" s="476"/>
      <c r="CP64" s="476"/>
      <c r="CQ64" s="476"/>
      <c r="CR64" s="476"/>
      <c r="CS64" s="476"/>
      <c r="CT64" s="476"/>
      <c r="CU64" s="476"/>
      <c r="CV64" s="476"/>
      <c r="CW64" s="476"/>
      <c r="CX64" s="476"/>
      <c r="CY64" s="476"/>
      <c r="CZ64" s="476"/>
      <c r="DA64" s="476"/>
      <c r="DB64" s="476"/>
      <c r="DC64" s="476"/>
    </row>
    <row r="65" spans="1:107" s="477" customFormat="1" ht="12.75">
      <c r="A65" s="482" t="s">
        <v>712</v>
      </c>
      <c r="B65" s="27">
        <v>2874000</v>
      </c>
      <c r="C65" s="27">
        <f>165000+800000</f>
        <v>965000</v>
      </c>
      <c r="D65" s="682">
        <f t="shared" si="1"/>
        <v>33.57689631176061</v>
      </c>
      <c r="E65" s="27">
        <v>1632000</v>
      </c>
      <c r="F65" s="27">
        <f>62000+800000</f>
        <v>862000</v>
      </c>
      <c r="G65" s="682">
        <f t="shared" si="2"/>
        <v>52.818627450980394</v>
      </c>
      <c r="H65" s="27">
        <v>2830000</v>
      </c>
      <c r="I65" s="27">
        <v>1695000</v>
      </c>
      <c r="J65" s="682">
        <f t="shared" si="6"/>
        <v>59.8939929328622</v>
      </c>
      <c r="K65" s="482" t="s">
        <v>712</v>
      </c>
      <c r="L65" s="27">
        <f>ROUND(B65/1000,0)</f>
        <v>2874</v>
      </c>
      <c r="M65" s="27">
        <f>ROUND(C65/1000,0)</f>
        <v>965</v>
      </c>
      <c r="N65" s="682">
        <f t="shared" si="4"/>
        <v>33.57689631176061</v>
      </c>
      <c r="O65" s="27">
        <f>ROUND(E65/1000,0)</f>
        <v>1632</v>
      </c>
      <c r="P65" s="27">
        <f>ROUND(F65/1000,0)</f>
        <v>862</v>
      </c>
      <c r="Q65" s="682">
        <f t="shared" si="5"/>
        <v>52.818627450980394</v>
      </c>
      <c r="R65" s="27">
        <f>ROUND(H65/1000,0)</f>
        <v>2830</v>
      </c>
      <c r="S65" s="27">
        <f>ROUND(I65/1000,0)</f>
        <v>1695</v>
      </c>
      <c r="T65" s="682">
        <f t="shared" si="7"/>
        <v>59.8939929328622</v>
      </c>
      <c r="U65" s="476"/>
      <c r="V65" s="476"/>
      <c r="W65" s="476"/>
      <c r="X65" s="476"/>
      <c r="Y65" s="476"/>
      <c r="Z65" s="476"/>
      <c r="AA65" s="476"/>
      <c r="AB65" s="476"/>
      <c r="AC65" s="476"/>
      <c r="AD65" s="476"/>
      <c r="AE65" s="476"/>
      <c r="AF65" s="476"/>
      <c r="AG65" s="476"/>
      <c r="AH65" s="476"/>
      <c r="AI65" s="476"/>
      <c r="AJ65" s="476"/>
      <c r="AK65" s="476"/>
      <c r="AL65" s="476"/>
      <c r="AM65" s="476"/>
      <c r="AN65" s="476"/>
      <c r="AO65" s="476"/>
      <c r="AP65" s="476"/>
      <c r="AQ65" s="476"/>
      <c r="AR65" s="476"/>
      <c r="AS65" s="476"/>
      <c r="AT65" s="476"/>
      <c r="AU65" s="476"/>
      <c r="AV65" s="476"/>
      <c r="AW65" s="476"/>
      <c r="AX65" s="476"/>
      <c r="AY65" s="476"/>
      <c r="AZ65" s="476"/>
      <c r="BA65" s="476"/>
      <c r="BB65" s="476"/>
      <c r="BC65" s="476"/>
      <c r="BD65" s="476"/>
      <c r="BE65" s="476"/>
      <c r="BF65" s="476"/>
      <c r="BG65" s="476"/>
      <c r="BH65" s="476"/>
      <c r="BI65" s="476"/>
      <c r="BJ65" s="476"/>
      <c r="BK65" s="476"/>
      <c r="BL65" s="476"/>
      <c r="BM65" s="476"/>
      <c r="BN65" s="476"/>
      <c r="BO65" s="476"/>
      <c r="BP65" s="476"/>
      <c r="BQ65" s="476"/>
      <c r="BR65" s="476"/>
      <c r="BS65" s="476"/>
      <c r="BT65" s="476"/>
      <c r="BU65" s="476"/>
      <c r="BV65" s="476"/>
      <c r="BW65" s="476"/>
      <c r="BX65" s="476"/>
      <c r="BY65" s="476"/>
      <c r="BZ65" s="476"/>
      <c r="CA65" s="476"/>
      <c r="CB65" s="476"/>
      <c r="CC65" s="476"/>
      <c r="CD65" s="476"/>
      <c r="CE65" s="476"/>
      <c r="CF65" s="476"/>
      <c r="CG65" s="476"/>
      <c r="CH65" s="476"/>
      <c r="CI65" s="476"/>
      <c r="CJ65" s="476"/>
      <c r="CK65" s="476"/>
      <c r="CL65" s="476"/>
      <c r="CM65" s="476"/>
      <c r="CN65" s="476"/>
      <c r="CO65" s="476"/>
      <c r="CP65" s="476"/>
      <c r="CQ65" s="476"/>
      <c r="CR65" s="476"/>
      <c r="CS65" s="476"/>
      <c r="CT65" s="476"/>
      <c r="CU65" s="476"/>
      <c r="CV65" s="476"/>
      <c r="CW65" s="476"/>
      <c r="CX65" s="476"/>
      <c r="CY65" s="476"/>
      <c r="CZ65" s="476"/>
      <c r="DA65" s="476"/>
      <c r="DB65" s="476"/>
      <c r="DC65" s="476"/>
    </row>
    <row r="66" spans="1:20" s="679" customFormat="1" ht="12">
      <c r="A66" s="59" t="s">
        <v>424</v>
      </c>
      <c r="B66" s="480">
        <f>SUM(B67:B68)</f>
        <v>2105510</v>
      </c>
      <c r="C66" s="480">
        <f aca="true" t="shared" si="42" ref="C66:H66">SUM(C67:C68)</f>
        <v>0</v>
      </c>
      <c r="D66" s="681">
        <f t="shared" si="1"/>
        <v>0</v>
      </c>
      <c r="E66" s="480">
        <f t="shared" si="42"/>
        <v>888660</v>
      </c>
      <c r="F66" s="480">
        <f t="shared" si="42"/>
        <v>0</v>
      </c>
      <c r="G66" s="681">
        <f t="shared" si="2"/>
        <v>0</v>
      </c>
      <c r="H66" s="480">
        <f t="shared" si="42"/>
        <v>618660</v>
      </c>
      <c r="I66" s="480">
        <f>SUM(I67:I68)</f>
        <v>0</v>
      </c>
      <c r="J66" s="681">
        <f t="shared" si="6"/>
        <v>0</v>
      </c>
      <c r="K66" s="59" t="s">
        <v>424</v>
      </c>
      <c r="L66" s="480">
        <f aca="true" t="shared" si="43" ref="L66:S66">SUM(L67:L68)</f>
        <v>2105</v>
      </c>
      <c r="M66" s="480">
        <f t="shared" si="43"/>
        <v>0</v>
      </c>
      <c r="N66" s="681">
        <f t="shared" si="4"/>
        <v>0</v>
      </c>
      <c r="O66" s="480">
        <f t="shared" si="43"/>
        <v>889</v>
      </c>
      <c r="P66" s="480">
        <f t="shared" si="43"/>
        <v>0</v>
      </c>
      <c r="Q66" s="681">
        <f t="shared" si="5"/>
        <v>0</v>
      </c>
      <c r="R66" s="480">
        <f t="shared" si="43"/>
        <v>619</v>
      </c>
      <c r="S66" s="480">
        <f t="shared" si="43"/>
        <v>0</v>
      </c>
      <c r="T66" s="681">
        <f t="shared" si="7"/>
        <v>0</v>
      </c>
    </row>
    <row r="67" spans="1:107" s="477" customFormat="1" ht="12.75">
      <c r="A67" s="482" t="s">
        <v>105</v>
      </c>
      <c r="B67" s="27">
        <v>390510</v>
      </c>
      <c r="C67" s="27"/>
      <c r="D67" s="682">
        <f t="shared" si="1"/>
        <v>0</v>
      </c>
      <c r="E67" s="27">
        <v>558660</v>
      </c>
      <c r="F67" s="27"/>
      <c r="G67" s="682">
        <f t="shared" si="2"/>
        <v>0</v>
      </c>
      <c r="H67" s="27">
        <v>558660</v>
      </c>
      <c r="I67" s="27"/>
      <c r="J67" s="682">
        <f t="shared" si="6"/>
        <v>0</v>
      </c>
      <c r="K67" s="482" t="s">
        <v>105</v>
      </c>
      <c r="L67" s="27">
        <f>ROUND(B67/1000,0)-1</f>
        <v>390</v>
      </c>
      <c r="M67" s="27">
        <f>ROUND(C67/1000,0)</f>
        <v>0</v>
      </c>
      <c r="N67" s="682">
        <f t="shared" si="4"/>
        <v>0</v>
      </c>
      <c r="O67" s="27">
        <f>ROUND(E67/1000,0)</f>
        <v>559</v>
      </c>
      <c r="P67" s="27">
        <f>ROUND(F67/1000,0)</f>
        <v>0</v>
      </c>
      <c r="Q67" s="682">
        <f t="shared" si="5"/>
        <v>0</v>
      </c>
      <c r="R67" s="27">
        <f>ROUND(H67/1000,0)</f>
        <v>559</v>
      </c>
      <c r="S67" s="27">
        <f>ROUND(I67/1000,0)</f>
        <v>0</v>
      </c>
      <c r="T67" s="682">
        <f t="shared" si="7"/>
        <v>0</v>
      </c>
      <c r="U67" s="476"/>
      <c r="V67" s="476"/>
      <c r="W67" s="476"/>
      <c r="X67" s="476"/>
      <c r="Y67" s="476"/>
      <c r="Z67" s="476"/>
      <c r="AA67" s="476"/>
      <c r="AB67" s="476"/>
      <c r="AC67" s="476"/>
      <c r="AD67" s="476"/>
      <c r="AE67" s="476"/>
      <c r="AF67" s="476"/>
      <c r="AG67" s="476"/>
      <c r="AH67" s="476"/>
      <c r="AI67" s="476"/>
      <c r="AJ67" s="476"/>
      <c r="AK67" s="476"/>
      <c r="AL67" s="476"/>
      <c r="AM67" s="476"/>
      <c r="AN67" s="476"/>
      <c r="AO67" s="476"/>
      <c r="AP67" s="476"/>
      <c r="AQ67" s="476"/>
      <c r="AR67" s="476"/>
      <c r="AS67" s="476"/>
      <c r="AT67" s="476"/>
      <c r="AU67" s="476"/>
      <c r="AV67" s="476"/>
      <c r="AW67" s="476"/>
      <c r="AX67" s="476"/>
      <c r="AY67" s="476"/>
      <c r="AZ67" s="476"/>
      <c r="BA67" s="476"/>
      <c r="BB67" s="476"/>
      <c r="BC67" s="476"/>
      <c r="BD67" s="476"/>
      <c r="BE67" s="476"/>
      <c r="BF67" s="476"/>
      <c r="BG67" s="476"/>
      <c r="BH67" s="476"/>
      <c r="BI67" s="476"/>
      <c r="BJ67" s="476"/>
      <c r="BK67" s="476"/>
      <c r="BL67" s="476"/>
      <c r="BM67" s="476"/>
      <c r="BN67" s="476"/>
      <c r="BO67" s="476"/>
      <c r="BP67" s="476"/>
      <c r="BQ67" s="476"/>
      <c r="BR67" s="476"/>
      <c r="BS67" s="476"/>
      <c r="BT67" s="476"/>
      <c r="BU67" s="476"/>
      <c r="BV67" s="476"/>
      <c r="BW67" s="476"/>
      <c r="BX67" s="476"/>
      <c r="BY67" s="476"/>
      <c r="BZ67" s="476"/>
      <c r="CA67" s="476"/>
      <c r="CB67" s="476"/>
      <c r="CC67" s="476"/>
      <c r="CD67" s="476"/>
      <c r="CE67" s="476"/>
      <c r="CF67" s="476"/>
      <c r="CG67" s="476"/>
      <c r="CH67" s="476"/>
      <c r="CI67" s="476"/>
      <c r="CJ67" s="476"/>
      <c r="CK67" s="476"/>
      <c r="CL67" s="476"/>
      <c r="CM67" s="476"/>
      <c r="CN67" s="476"/>
      <c r="CO67" s="476"/>
      <c r="CP67" s="476"/>
      <c r="CQ67" s="476"/>
      <c r="CR67" s="476"/>
      <c r="CS67" s="476"/>
      <c r="CT67" s="476"/>
      <c r="CU67" s="476"/>
      <c r="CV67" s="476"/>
      <c r="CW67" s="476"/>
      <c r="CX67" s="476"/>
      <c r="CY67" s="476"/>
      <c r="CZ67" s="476"/>
      <c r="DA67" s="476"/>
      <c r="DB67" s="476"/>
      <c r="DC67" s="476"/>
    </row>
    <row r="68" spans="1:107" s="477" customFormat="1" ht="12.75">
      <c r="A68" s="482" t="s">
        <v>712</v>
      </c>
      <c r="B68" s="27">
        <v>1715000</v>
      </c>
      <c r="C68" s="27"/>
      <c r="D68" s="682">
        <f t="shared" si="1"/>
        <v>0</v>
      </c>
      <c r="E68" s="27">
        <v>330000</v>
      </c>
      <c r="F68" s="27"/>
      <c r="G68" s="682">
        <f t="shared" si="2"/>
        <v>0</v>
      </c>
      <c r="H68" s="27">
        <v>60000</v>
      </c>
      <c r="I68" s="27"/>
      <c r="J68" s="682">
        <f t="shared" si="6"/>
        <v>0</v>
      </c>
      <c r="K68" s="482" t="s">
        <v>712</v>
      </c>
      <c r="L68" s="27">
        <f>ROUND(B68/1000,0)</f>
        <v>1715</v>
      </c>
      <c r="M68" s="27">
        <f>ROUND(C68/1000,0)</f>
        <v>0</v>
      </c>
      <c r="N68" s="682">
        <f t="shared" si="4"/>
        <v>0</v>
      </c>
      <c r="O68" s="27">
        <f>ROUND(E68/1000,0)</f>
        <v>330</v>
      </c>
      <c r="P68" s="27">
        <f>ROUND(F68/1000,0)</f>
        <v>0</v>
      </c>
      <c r="Q68" s="682">
        <f t="shared" si="5"/>
        <v>0</v>
      </c>
      <c r="R68" s="27">
        <f>ROUND(H68/1000,0)</f>
        <v>60</v>
      </c>
      <c r="S68" s="27">
        <f>ROUND(I68/1000,0)</f>
        <v>0</v>
      </c>
      <c r="T68" s="682">
        <f t="shared" si="7"/>
        <v>0</v>
      </c>
      <c r="U68" s="476"/>
      <c r="V68" s="476"/>
      <c r="W68" s="476"/>
      <c r="X68" s="476"/>
      <c r="Y68" s="476"/>
      <c r="Z68" s="476"/>
      <c r="AA68" s="476"/>
      <c r="AB68" s="476"/>
      <c r="AC68" s="476"/>
      <c r="AD68" s="476"/>
      <c r="AE68" s="476"/>
      <c r="AF68" s="476"/>
      <c r="AG68" s="476"/>
      <c r="AH68" s="476"/>
      <c r="AI68" s="476"/>
      <c r="AJ68" s="476"/>
      <c r="AK68" s="476"/>
      <c r="AL68" s="476"/>
      <c r="AM68" s="476"/>
      <c r="AN68" s="476"/>
      <c r="AO68" s="476"/>
      <c r="AP68" s="476"/>
      <c r="AQ68" s="476"/>
      <c r="AR68" s="476"/>
      <c r="AS68" s="476"/>
      <c r="AT68" s="476"/>
      <c r="AU68" s="476"/>
      <c r="AV68" s="476"/>
      <c r="AW68" s="476"/>
      <c r="AX68" s="476"/>
      <c r="AY68" s="476"/>
      <c r="AZ68" s="476"/>
      <c r="BA68" s="476"/>
      <c r="BB68" s="476"/>
      <c r="BC68" s="476"/>
      <c r="BD68" s="476"/>
      <c r="BE68" s="476"/>
      <c r="BF68" s="476"/>
      <c r="BG68" s="476"/>
      <c r="BH68" s="476"/>
      <c r="BI68" s="476"/>
      <c r="BJ68" s="476"/>
      <c r="BK68" s="476"/>
      <c r="BL68" s="476"/>
      <c r="BM68" s="476"/>
      <c r="BN68" s="476"/>
      <c r="BO68" s="476"/>
      <c r="BP68" s="476"/>
      <c r="BQ68" s="476"/>
      <c r="BR68" s="476"/>
      <c r="BS68" s="476"/>
      <c r="BT68" s="476"/>
      <c r="BU68" s="476"/>
      <c r="BV68" s="476"/>
      <c r="BW68" s="476"/>
      <c r="BX68" s="476"/>
      <c r="BY68" s="476"/>
      <c r="BZ68" s="476"/>
      <c r="CA68" s="476"/>
      <c r="CB68" s="476"/>
      <c r="CC68" s="476"/>
      <c r="CD68" s="476"/>
      <c r="CE68" s="476"/>
      <c r="CF68" s="476"/>
      <c r="CG68" s="476"/>
      <c r="CH68" s="476"/>
      <c r="CI68" s="476"/>
      <c r="CJ68" s="476"/>
      <c r="CK68" s="476"/>
      <c r="CL68" s="476"/>
      <c r="CM68" s="476"/>
      <c r="CN68" s="476"/>
      <c r="CO68" s="476"/>
      <c r="CP68" s="476"/>
      <c r="CQ68" s="476"/>
      <c r="CR68" s="476"/>
      <c r="CS68" s="476"/>
      <c r="CT68" s="476"/>
      <c r="CU68" s="476"/>
      <c r="CV68" s="476"/>
      <c r="CW68" s="476"/>
      <c r="CX68" s="476"/>
      <c r="CY68" s="476"/>
      <c r="CZ68" s="476"/>
      <c r="DA68" s="476"/>
      <c r="DB68" s="476"/>
      <c r="DC68" s="476"/>
    </row>
    <row r="69" spans="1:20" ht="12.75">
      <c r="A69" s="74" t="s">
        <v>108</v>
      </c>
      <c r="B69" s="480">
        <f>SUM(B70:B71)</f>
        <v>429090</v>
      </c>
      <c r="C69" s="480">
        <f aca="true" t="shared" si="44" ref="C69:I69">SUM(C70:C71)</f>
        <v>0</v>
      </c>
      <c r="D69" s="681">
        <f t="shared" si="1"/>
        <v>0</v>
      </c>
      <c r="E69" s="480">
        <f t="shared" si="44"/>
        <v>429090</v>
      </c>
      <c r="F69" s="480">
        <f t="shared" si="44"/>
        <v>0</v>
      </c>
      <c r="G69" s="681">
        <f t="shared" si="2"/>
        <v>0</v>
      </c>
      <c r="H69" s="480">
        <f t="shared" si="44"/>
        <v>1853180</v>
      </c>
      <c r="I69" s="480">
        <f t="shared" si="44"/>
        <v>0</v>
      </c>
      <c r="J69" s="681"/>
      <c r="K69" s="74" t="s">
        <v>108</v>
      </c>
      <c r="L69" s="480">
        <f aca="true" t="shared" si="45" ref="L69:S69">SUM(L70:L71)</f>
        <v>429</v>
      </c>
      <c r="M69" s="480">
        <f t="shared" si="45"/>
        <v>0</v>
      </c>
      <c r="N69" s="681">
        <f t="shared" si="4"/>
        <v>0</v>
      </c>
      <c r="O69" s="480">
        <f t="shared" si="45"/>
        <v>429</v>
      </c>
      <c r="P69" s="480">
        <f t="shared" si="45"/>
        <v>0</v>
      </c>
      <c r="Q69" s="681">
        <f t="shared" si="5"/>
        <v>0</v>
      </c>
      <c r="R69" s="480">
        <f t="shared" si="45"/>
        <v>1853</v>
      </c>
      <c r="S69" s="480">
        <f t="shared" si="45"/>
        <v>0</v>
      </c>
      <c r="T69" s="681">
        <f t="shared" si="7"/>
        <v>0</v>
      </c>
    </row>
    <row r="70" spans="1:107" s="477" customFormat="1" ht="12.75">
      <c r="A70" s="482" t="s">
        <v>105</v>
      </c>
      <c r="B70" s="27">
        <v>61090</v>
      </c>
      <c r="C70" s="27"/>
      <c r="D70" s="682">
        <f t="shared" si="1"/>
        <v>0</v>
      </c>
      <c r="E70" s="27">
        <v>61090</v>
      </c>
      <c r="F70" s="27"/>
      <c r="G70" s="682">
        <f t="shared" si="2"/>
        <v>0</v>
      </c>
      <c r="H70" s="27">
        <v>242180</v>
      </c>
      <c r="I70" s="27"/>
      <c r="J70" s="682"/>
      <c r="K70" s="482" t="s">
        <v>105</v>
      </c>
      <c r="L70" s="27">
        <f>ROUND(B70/1000,0)</f>
        <v>61</v>
      </c>
      <c r="M70" s="27">
        <f>ROUND(C70/1000,0)</f>
        <v>0</v>
      </c>
      <c r="N70" s="682">
        <f t="shared" si="4"/>
        <v>0</v>
      </c>
      <c r="O70" s="27">
        <f>ROUND(E70/1000,0)</f>
        <v>61</v>
      </c>
      <c r="P70" s="27">
        <f>ROUND(F70/1000,0)</f>
        <v>0</v>
      </c>
      <c r="Q70" s="682">
        <f t="shared" si="5"/>
        <v>0</v>
      </c>
      <c r="R70" s="27">
        <f>ROUND(H70/1000,0)</f>
        <v>242</v>
      </c>
      <c r="S70" s="27">
        <f>ROUND(I70/1000,0)</f>
        <v>0</v>
      </c>
      <c r="T70" s="682">
        <f t="shared" si="7"/>
        <v>0</v>
      </c>
      <c r="U70" s="476"/>
      <c r="V70" s="476"/>
      <c r="W70" s="476"/>
      <c r="X70" s="476"/>
      <c r="Y70" s="476"/>
      <c r="Z70" s="476"/>
      <c r="AA70" s="476"/>
      <c r="AB70" s="476"/>
      <c r="AC70" s="476"/>
      <c r="AD70" s="476"/>
      <c r="AE70" s="476"/>
      <c r="AF70" s="476"/>
      <c r="AG70" s="476"/>
      <c r="AH70" s="476"/>
      <c r="AI70" s="476"/>
      <c r="AJ70" s="476"/>
      <c r="AK70" s="476"/>
      <c r="AL70" s="476"/>
      <c r="AM70" s="476"/>
      <c r="AN70" s="476"/>
      <c r="AO70" s="476"/>
      <c r="AP70" s="476"/>
      <c r="AQ70" s="476"/>
      <c r="AR70" s="476"/>
      <c r="AS70" s="476"/>
      <c r="AT70" s="476"/>
      <c r="AU70" s="476"/>
      <c r="AV70" s="476"/>
      <c r="AW70" s="476"/>
      <c r="AX70" s="476"/>
      <c r="AY70" s="476"/>
      <c r="AZ70" s="476"/>
      <c r="BA70" s="476"/>
      <c r="BB70" s="476"/>
      <c r="BC70" s="476"/>
      <c r="BD70" s="476"/>
      <c r="BE70" s="476"/>
      <c r="BF70" s="476"/>
      <c r="BG70" s="476"/>
      <c r="BH70" s="476"/>
      <c r="BI70" s="476"/>
      <c r="BJ70" s="476"/>
      <c r="BK70" s="476"/>
      <c r="BL70" s="476"/>
      <c r="BM70" s="476"/>
      <c r="BN70" s="476"/>
      <c r="BO70" s="476"/>
      <c r="BP70" s="476"/>
      <c r="BQ70" s="476"/>
      <c r="BR70" s="476"/>
      <c r="BS70" s="476"/>
      <c r="BT70" s="476"/>
      <c r="BU70" s="476"/>
      <c r="BV70" s="476"/>
      <c r="BW70" s="476"/>
      <c r="BX70" s="476"/>
      <c r="BY70" s="476"/>
      <c r="BZ70" s="476"/>
      <c r="CA70" s="476"/>
      <c r="CB70" s="476"/>
      <c r="CC70" s="476"/>
      <c r="CD70" s="476"/>
      <c r="CE70" s="476"/>
      <c r="CF70" s="476"/>
      <c r="CG70" s="476"/>
      <c r="CH70" s="476"/>
      <c r="CI70" s="476"/>
      <c r="CJ70" s="476"/>
      <c r="CK70" s="476"/>
      <c r="CL70" s="476"/>
      <c r="CM70" s="476"/>
      <c r="CN70" s="476"/>
      <c r="CO70" s="476"/>
      <c r="CP70" s="476"/>
      <c r="CQ70" s="476"/>
      <c r="CR70" s="476"/>
      <c r="CS70" s="476"/>
      <c r="CT70" s="476"/>
      <c r="CU70" s="476"/>
      <c r="CV70" s="476"/>
      <c r="CW70" s="476"/>
      <c r="CX70" s="476"/>
      <c r="CY70" s="476"/>
      <c r="CZ70" s="476"/>
      <c r="DA70" s="476"/>
      <c r="DB70" s="476"/>
      <c r="DC70" s="476"/>
    </row>
    <row r="71" spans="1:107" s="477" customFormat="1" ht="12.75">
      <c r="A71" s="482" t="s">
        <v>712</v>
      </c>
      <c r="B71" s="27">
        <v>368000</v>
      </c>
      <c r="C71" s="27"/>
      <c r="D71" s="682">
        <f t="shared" si="1"/>
        <v>0</v>
      </c>
      <c r="E71" s="27">
        <v>368000</v>
      </c>
      <c r="F71" s="27"/>
      <c r="G71" s="682">
        <f t="shared" si="2"/>
        <v>0</v>
      </c>
      <c r="H71" s="27">
        <v>1611000</v>
      </c>
      <c r="I71" s="27"/>
      <c r="J71" s="682"/>
      <c r="K71" s="482" t="s">
        <v>712</v>
      </c>
      <c r="L71" s="27">
        <f>ROUND(B71/1000,0)</f>
        <v>368</v>
      </c>
      <c r="M71" s="27">
        <f>ROUND(C71/1000,0)</f>
        <v>0</v>
      </c>
      <c r="N71" s="682">
        <f t="shared" si="4"/>
        <v>0</v>
      </c>
      <c r="O71" s="27">
        <f>ROUND(E71/1000,0)</f>
        <v>368</v>
      </c>
      <c r="P71" s="27">
        <f>ROUND(F71/1000,0)</f>
        <v>0</v>
      </c>
      <c r="Q71" s="682">
        <f t="shared" si="5"/>
        <v>0</v>
      </c>
      <c r="R71" s="27">
        <f>ROUND(H71/1000,0)</f>
        <v>1611</v>
      </c>
      <c r="S71" s="27">
        <f>ROUND(I71/1000,0)</f>
        <v>0</v>
      </c>
      <c r="T71" s="682">
        <f t="shared" si="7"/>
        <v>0</v>
      </c>
      <c r="U71" s="476"/>
      <c r="V71" s="476"/>
      <c r="W71" s="476"/>
      <c r="X71" s="476"/>
      <c r="Y71" s="476"/>
      <c r="Z71" s="476"/>
      <c r="AA71" s="476"/>
      <c r="AB71" s="476"/>
      <c r="AC71" s="476"/>
      <c r="AD71" s="476"/>
      <c r="AE71" s="476"/>
      <c r="AF71" s="476"/>
      <c r="AG71" s="476"/>
      <c r="AH71" s="476"/>
      <c r="AI71" s="476"/>
      <c r="AJ71" s="476"/>
      <c r="AK71" s="476"/>
      <c r="AL71" s="476"/>
      <c r="AM71" s="476"/>
      <c r="AN71" s="476"/>
      <c r="AO71" s="476"/>
      <c r="AP71" s="476"/>
      <c r="AQ71" s="476"/>
      <c r="AR71" s="476"/>
      <c r="AS71" s="476"/>
      <c r="AT71" s="476"/>
      <c r="AU71" s="476"/>
      <c r="AV71" s="476"/>
      <c r="AW71" s="476"/>
      <c r="AX71" s="476"/>
      <c r="AY71" s="476"/>
      <c r="AZ71" s="476"/>
      <c r="BA71" s="476"/>
      <c r="BB71" s="476"/>
      <c r="BC71" s="476"/>
      <c r="BD71" s="476"/>
      <c r="BE71" s="476"/>
      <c r="BF71" s="476"/>
      <c r="BG71" s="476"/>
      <c r="BH71" s="476"/>
      <c r="BI71" s="476"/>
      <c r="BJ71" s="476"/>
      <c r="BK71" s="476"/>
      <c r="BL71" s="476"/>
      <c r="BM71" s="476"/>
      <c r="BN71" s="476"/>
      <c r="BO71" s="476"/>
      <c r="BP71" s="476"/>
      <c r="BQ71" s="476"/>
      <c r="BR71" s="476"/>
      <c r="BS71" s="476"/>
      <c r="BT71" s="476"/>
      <c r="BU71" s="476"/>
      <c r="BV71" s="476"/>
      <c r="BW71" s="476"/>
      <c r="BX71" s="476"/>
      <c r="BY71" s="476"/>
      <c r="BZ71" s="476"/>
      <c r="CA71" s="476"/>
      <c r="CB71" s="476"/>
      <c r="CC71" s="476"/>
      <c r="CD71" s="476"/>
      <c r="CE71" s="476"/>
      <c r="CF71" s="476"/>
      <c r="CG71" s="476"/>
      <c r="CH71" s="476"/>
      <c r="CI71" s="476"/>
      <c r="CJ71" s="476"/>
      <c r="CK71" s="476"/>
      <c r="CL71" s="476"/>
      <c r="CM71" s="476"/>
      <c r="CN71" s="476"/>
      <c r="CO71" s="476"/>
      <c r="CP71" s="476"/>
      <c r="CQ71" s="476"/>
      <c r="CR71" s="476"/>
      <c r="CS71" s="476"/>
      <c r="CT71" s="476"/>
      <c r="CU71" s="476"/>
      <c r="CV71" s="476"/>
      <c r="CW71" s="476"/>
      <c r="CX71" s="476"/>
      <c r="CY71" s="476"/>
      <c r="CZ71" s="476"/>
      <c r="DA71" s="476"/>
      <c r="DB71" s="476"/>
      <c r="DC71" s="476"/>
    </row>
    <row r="72" spans="1:20" ht="12.75">
      <c r="A72" s="74" t="s">
        <v>428</v>
      </c>
      <c r="B72" s="480">
        <f>SUM(B73:B76)</f>
        <v>174585</v>
      </c>
      <c r="C72" s="480">
        <f>SUM(C73:C76)</f>
        <v>0</v>
      </c>
      <c r="D72" s="681">
        <f t="shared" si="1"/>
        <v>0</v>
      </c>
      <c r="E72" s="480">
        <f>SUM(E73:E76)</f>
        <v>159876</v>
      </c>
      <c r="F72" s="480">
        <f>SUM(F73:F76)</f>
        <v>0</v>
      </c>
      <c r="G72" s="681">
        <f t="shared" si="2"/>
        <v>0</v>
      </c>
      <c r="H72" s="480">
        <f>SUM(H73:H76)</f>
        <v>1268784</v>
      </c>
      <c r="I72" s="480">
        <f>SUM(I73:I76)</f>
        <v>0</v>
      </c>
      <c r="J72" s="681">
        <f t="shared" si="6"/>
        <v>0</v>
      </c>
      <c r="K72" s="74" t="s">
        <v>428</v>
      </c>
      <c r="L72" s="480">
        <f>SUM(L73:L76)</f>
        <v>174</v>
      </c>
      <c r="M72" s="480">
        <f>SUM(M73:M76)</f>
        <v>0</v>
      </c>
      <c r="N72" s="681">
        <f t="shared" si="4"/>
        <v>0</v>
      </c>
      <c r="O72" s="480">
        <f>SUM(O73:O76)</f>
        <v>159</v>
      </c>
      <c r="P72" s="480">
        <f>SUM(P73:P76)</f>
        <v>0</v>
      </c>
      <c r="Q72" s="681">
        <f t="shared" si="5"/>
        <v>0</v>
      </c>
      <c r="R72" s="480">
        <f>SUM(R73:R76)</f>
        <v>1269</v>
      </c>
      <c r="S72" s="480">
        <f>SUM(S73:S76)</f>
        <v>0</v>
      </c>
      <c r="T72" s="681">
        <f t="shared" si="7"/>
        <v>0</v>
      </c>
    </row>
    <row r="73" spans="1:107" s="477" customFormat="1" ht="12.75">
      <c r="A73" s="482" t="s">
        <v>104</v>
      </c>
      <c r="B73" s="27">
        <v>103272</v>
      </c>
      <c r="C73" s="27"/>
      <c r="D73" s="682">
        <f t="shared" si="1"/>
        <v>0</v>
      </c>
      <c r="E73" s="27">
        <v>103272</v>
      </c>
      <c r="F73" s="27"/>
      <c r="G73" s="682">
        <f t="shared" si="2"/>
        <v>0</v>
      </c>
      <c r="H73" s="27">
        <v>820548</v>
      </c>
      <c r="I73" s="27"/>
      <c r="J73" s="682">
        <f t="shared" si="6"/>
        <v>0</v>
      </c>
      <c r="K73" s="482" t="s">
        <v>104</v>
      </c>
      <c r="L73" s="27">
        <f>ROUND(B73/1000,0)</f>
        <v>103</v>
      </c>
      <c r="M73" s="27">
        <f>ROUND(C73/1000,0)</f>
        <v>0</v>
      </c>
      <c r="N73" s="682">
        <f>M73/L73*100</f>
        <v>0</v>
      </c>
      <c r="O73" s="27">
        <f>ROUND(E73/1000,0)</f>
        <v>103</v>
      </c>
      <c r="P73" s="27">
        <f>ROUND(F73/1000,0)</f>
        <v>0</v>
      </c>
      <c r="Q73" s="682">
        <f>P73/O73*100</f>
        <v>0</v>
      </c>
      <c r="R73" s="27">
        <f>ROUND(H73/1000,0)</f>
        <v>821</v>
      </c>
      <c r="S73" s="27">
        <f>ROUND(I73/1000,0)</f>
        <v>0</v>
      </c>
      <c r="T73" s="682">
        <f>S73/R73*100</f>
        <v>0</v>
      </c>
      <c r="U73" s="476"/>
      <c r="V73" s="476"/>
      <c r="W73" s="476"/>
      <c r="X73" s="476"/>
      <c r="Y73" s="476"/>
      <c r="Z73" s="476"/>
      <c r="AA73" s="476"/>
      <c r="AB73" s="476"/>
      <c r="AC73" s="476"/>
      <c r="AD73" s="476"/>
      <c r="AE73" s="476"/>
      <c r="AF73" s="476"/>
      <c r="AG73" s="476"/>
      <c r="AH73" s="476"/>
      <c r="AI73" s="476"/>
      <c r="AJ73" s="476"/>
      <c r="AK73" s="476"/>
      <c r="AL73" s="476"/>
      <c r="AM73" s="476"/>
      <c r="AN73" s="476"/>
      <c r="AO73" s="476"/>
      <c r="AP73" s="476"/>
      <c r="AQ73" s="476"/>
      <c r="AR73" s="476"/>
      <c r="AS73" s="476"/>
      <c r="AT73" s="476"/>
      <c r="AU73" s="476"/>
      <c r="AV73" s="476"/>
      <c r="AW73" s="476"/>
      <c r="AX73" s="476"/>
      <c r="AY73" s="476"/>
      <c r="AZ73" s="476"/>
      <c r="BA73" s="476"/>
      <c r="BB73" s="476"/>
      <c r="BC73" s="476"/>
      <c r="BD73" s="476"/>
      <c r="BE73" s="476"/>
      <c r="BF73" s="476"/>
      <c r="BG73" s="476"/>
      <c r="BH73" s="476"/>
      <c r="BI73" s="476"/>
      <c r="BJ73" s="476"/>
      <c r="BK73" s="476"/>
      <c r="BL73" s="476"/>
      <c r="BM73" s="476"/>
      <c r="BN73" s="476"/>
      <c r="BO73" s="476"/>
      <c r="BP73" s="476"/>
      <c r="BQ73" s="476"/>
      <c r="BR73" s="476"/>
      <c r="BS73" s="476"/>
      <c r="BT73" s="476"/>
      <c r="BU73" s="476"/>
      <c r="BV73" s="476"/>
      <c r="BW73" s="476"/>
      <c r="BX73" s="476"/>
      <c r="BY73" s="476"/>
      <c r="BZ73" s="476"/>
      <c r="CA73" s="476"/>
      <c r="CB73" s="476"/>
      <c r="CC73" s="476"/>
      <c r="CD73" s="476"/>
      <c r="CE73" s="476"/>
      <c r="CF73" s="476"/>
      <c r="CG73" s="476"/>
      <c r="CH73" s="476"/>
      <c r="CI73" s="476"/>
      <c r="CJ73" s="476"/>
      <c r="CK73" s="476"/>
      <c r="CL73" s="476"/>
      <c r="CM73" s="476"/>
      <c r="CN73" s="476"/>
      <c r="CO73" s="476"/>
      <c r="CP73" s="476"/>
      <c r="CQ73" s="476"/>
      <c r="CR73" s="476"/>
      <c r="CS73" s="476"/>
      <c r="CT73" s="476"/>
      <c r="CU73" s="476"/>
      <c r="CV73" s="476"/>
      <c r="CW73" s="476"/>
      <c r="CX73" s="476"/>
      <c r="CY73" s="476"/>
      <c r="CZ73" s="476"/>
      <c r="DA73" s="476"/>
      <c r="DB73" s="476"/>
      <c r="DC73" s="476"/>
    </row>
    <row r="74" spans="1:107" s="477" customFormat="1" ht="12.75">
      <c r="A74" s="482" t="s">
        <v>477</v>
      </c>
      <c r="B74" s="27">
        <v>58103</v>
      </c>
      <c r="C74" s="27"/>
      <c r="D74" s="682">
        <f t="shared" si="1"/>
        <v>0</v>
      </c>
      <c r="E74" s="27">
        <v>54394</v>
      </c>
      <c r="F74" s="27"/>
      <c r="G74" s="682">
        <f t="shared" si="2"/>
        <v>0</v>
      </c>
      <c r="H74" s="27">
        <v>437186</v>
      </c>
      <c r="I74" s="27"/>
      <c r="J74" s="682">
        <f t="shared" si="6"/>
        <v>0</v>
      </c>
      <c r="K74" s="482" t="s">
        <v>477</v>
      </c>
      <c r="L74" s="27">
        <f>ROUND(B74/1000,0)</f>
        <v>58</v>
      </c>
      <c r="M74" s="27">
        <f aca="true" t="shared" si="46" ref="M74:S76">ROUND(C74/1000,0)</f>
        <v>0</v>
      </c>
      <c r="N74" s="682">
        <f t="shared" si="4"/>
        <v>0</v>
      </c>
      <c r="O74" s="27">
        <f>ROUND(E74/1000,0)</f>
        <v>54</v>
      </c>
      <c r="P74" s="27">
        <f t="shared" si="46"/>
        <v>0</v>
      </c>
      <c r="Q74" s="682">
        <f t="shared" si="5"/>
        <v>0</v>
      </c>
      <c r="R74" s="27">
        <f t="shared" si="46"/>
        <v>437</v>
      </c>
      <c r="S74" s="27">
        <f t="shared" si="46"/>
        <v>0</v>
      </c>
      <c r="T74" s="682">
        <f t="shared" si="7"/>
        <v>0</v>
      </c>
      <c r="U74" s="476"/>
      <c r="V74" s="476"/>
      <c r="W74" s="476"/>
      <c r="X74" s="476"/>
      <c r="Y74" s="476"/>
      <c r="Z74" s="476"/>
      <c r="AA74" s="476"/>
      <c r="AB74" s="476"/>
      <c r="AC74" s="476"/>
      <c r="AD74" s="476"/>
      <c r="AE74" s="476"/>
      <c r="AF74" s="476"/>
      <c r="AG74" s="476"/>
      <c r="AH74" s="476"/>
      <c r="AI74" s="476"/>
      <c r="AJ74" s="476"/>
      <c r="AK74" s="476"/>
      <c r="AL74" s="476"/>
      <c r="AM74" s="476"/>
      <c r="AN74" s="476"/>
      <c r="AO74" s="476"/>
      <c r="AP74" s="476"/>
      <c r="AQ74" s="476"/>
      <c r="AR74" s="476"/>
      <c r="AS74" s="476"/>
      <c r="AT74" s="476"/>
      <c r="AU74" s="476"/>
      <c r="AV74" s="476"/>
      <c r="AW74" s="476"/>
      <c r="AX74" s="476"/>
      <c r="AY74" s="476"/>
      <c r="AZ74" s="476"/>
      <c r="BA74" s="476"/>
      <c r="BB74" s="476"/>
      <c r="BC74" s="476"/>
      <c r="BD74" s="476"/>
      <c r="BE74" s="476"/>
      <c r="BF74" s="476"/>
      <c r="BG74" s="476"/>
      <c r="BH74" s="476"/>
      <c r="BI74" s="476"/>
      <c r="BJ74" s="476"/>
      <c r="BK74" s="476"/>
      <c r="BL74" s="476"/>
      <c r="BM74" s="476"/>
      <c r="BN74" s="476"/>
      <c r="BO74" s="476"/>
      <c r="BP74" s="476"/>
      <c r="BQ74" s="476"/>
      <c r="BR74" s="476"/>
      <c r="BS74" s="476"/>
      <c r="BT74" s="476"/>
      <c r="BU74" s="476"/>
      <c r="BV74" s="476"/>
      <c r="BW74" s="476"/>
      <c r="BX74" s="476"/>
      <c r="BY74" s="476"/>
      <c r="BZ74" s="476"/>
      <c r="CA74" s="476"/>
      <c r="CB74" s="476"/>
      <c r="CC74" s="476"/>
      <c r="CD74" s="476"/>
      <c r="CE74" s="476"/>
      <c r="CF74" s="476"/>
      <c r="CG74" s="476"/>
      <c r="CH74" s="476"/>
      <c r="CI74" s="476"/>
      <c r="CJ74" s="476"/>
      <c r="CK74" s="476"/>
      <c r="CL74" s="476"/>
      <c r="CM74" s="476"/>
      <c r="CN74" s="476"/>
      <c r="CO74" s="476"/>
      <c r="CP74" s="476"/>
      <c r="CQ74" s="476"/>
      <c r="CR74" s="476"/>
      <c r="CS74" s="476"/>
      <c r="CT74" s="476"/>
      <c r="CU74" s="476"/>
      <c r="CV74" s="476"/>
      <c r="CW74" s="476"/>
      <c r="CX74" s="476"/>
      <c r="CY74" s="476"/>
      <c r="CZ74" s="476"/>
      <c r="DA74" s="476"/>
      <c r="DB74" s="476"/>
      <c r="DC74" s="476"/>
    </row>
    <row r="75" spans="1:107" s="477" customFormat="1" ht="12.75">
      <c r="A75" s="482" t="s">
        <v>105</v>
      </c>
      <c r="B75" s="27">
        <v>2210</v>
      </c>
      <c r="C75" s="27"/>
      <c r="D75" s="682">
        <f t="shared" si="1"/>
        <v>0</v>
      </c>
      <c r="E75" s="27">
        <v>2210</v>
      </c>
      <c r="F75" s="27"/>
      <c r="G75" s="682">
        <f t="shared" si="2"/>
        <v>0</v>
      </c>
      <c r="H75" s="27">
        <v>11050</v>
      </c>
      <c r="I75" s="27"/>
      <c r="J75" s="682">
        <f t="shared" si="6"/>
        <v>0</v>
      </c>
      <c r="K75" s="482" t="s">
        <v>105</v>
      </c>
      <c r="L75" s="27">
        <f>ROUND(B75/1000,0)</f>
        <v>2</v>
      </c>
      <c r="M75" s="27">
        <f t="shared" si="46"/>
        <v>0</v>
      </c>
      <c r="N75" s="682">
        <f t="shared" si="4"/>
        <v>0</v>
      </c>
      <c r="O75" s="27">
        <f t="shared" si="46"/>
        <v>2</v>
      </c>
      <c r="P75" s="27">
        <f t="shared" si="46"/>
        <v>0</v>
      </c>
      <c r="Q75" s="682">
        <f t="shared" si="5"/>
        <v>0</v>
      </c>
      <c r="R75" s="27">
        <f t="shared" si="46"/>
        <v>11</v>
      </c>
      <c r="S75" s="27">
        <f t="shared" si="46"/>
        <v>0</v>
      </c>
      <c r="T75" s="682">
        <f t="shared" si="7"/>
        <v>0</v>
      </c>
      <c r="U75" s="476"/>
      <c r="V75" s="476"/>
      <c r="W75" s="476"/>
      <c r="X75" s="476"/>
      <c r="Y75" s="476"/>
      <c r="Z75" s="476"/>
      <c r="AA75" s="476"/>
      <c r="AB75" s="476"/>
      <c r="AC75" s="476"/>
      <c r="AD75" s="476"/>
      <c r="AE75" s="476"/>
      <c r="AF75" s="476"/>
      <c r="AG75" s="476"/>
      <c r="AH75" s="476"/>
      <c r="AI75" s="476"/>
      <c r="AJ75" s="476"/>
      <c r="AK75" s="476"/>
      <c r="AL75" s="476"/>
      <c r="AM75" s="476"/>
      <c r="AN75" s="476"/>
      <c r="AO75" s="476"/>
      <c r="AP75" s="476"/>
      <c r="AQ75" s="476"/>
      <c r="AR75" s="476"/>
      <c r="AS75" s="476"/>
      <c r="AT75" s="476"/>
      <c r="AU75" s="476"/>
      <c r="AV75" s="476"/>
      <c r="AW75" s="476"/>
      <c r="AX75" s="476"/>
      <c r="AY75" s="476"/>
      <c r="AZ75" s="476"/>
      <c r="BA75" s="476"/>
      <c r="BB75" s="476"/>
      <c r="BC75" s="476"/>
      <c r="BD75" s="476"/>
      <c r="BE75" s="476"/>
      <c r="BF75" s="476"/>
      <c r="BG75" s="476"/>
      <c r="BH75" s="476"/>
      <c r="BI75" s="476"/>
      <c r="BJ75" s="476"/>
      <c r="BK75" s="476"/>
      <c r="BL75" s="476"/>
      <c r="BM75" s="476"/>
      <c r="BN75" s="476"/>
      <c r="BO75" s="476"/>
      <c r="BP75" s="476"/>
      <c r="BQ75" s="476"/>
      <c r="BR75" s="476"/>
      <c r="BS75" s="476"/>
      <c r="BT75" s="476"/>
      <c r="BU75" s="476"/>
      <c r="BV75" s="476"/>
      <c r="BW75" s="476"/>
      <c r="BX75" s="476"/>
      <c r="BY75" s="476"/>
      <c r="BZ75" s="476"/>
      <c r="CA75" s="476"/>
      <c r="CB75" s="476"/>
      <c r="CC75" s="476"/>
      <c r="CD75" s="476"/>
      <c r="CE75" s="476"/>
      <c r="CF75" s="476"/>
      <c r="CG75" s="476"/>
      <c r="CH75" s="476"/>
      <c r="CI75" s="476"/>
      <c r="CJ75" s="476"/>
      <c r="CK75" s="476"/>
      <c r="CL75" s="476"/>
      <c r="CM75" s="476"/>
      <c r="CN75" s="476"/>
      <c r="CO75" s="476"/>
      <c r="CP75" s="476"/>
      <c r="CQ75" s="476"/>
      <c r="CR75" s="476"/>
      <c r="CS75" s="476"/>
      <c r="CT75" s="476"/>
      <c r="CU75" s="476"/>
      <c r="CV75" s="476"/>
      <c r="CW75" s="476"/>
      <c r="CX75" s="476"/>
      <c r="CY75" s="476"/>
      <c r="CZ75" s="476"/>
      <c r="DA75" s="476"/>
      <c r="DB75" s="476"/>
      <c r="DC75" s="476"/>
    </row>
    <row r="76" spans="1:107" s="477" customFormat="1" ht="12.75">
      <c r="A76" s="482" t="s">
        <v>712</v>
      </c>
      <c r="B76" s="27">
        <v>11000</v>
      </c>
      <c r="C76" s="27"/>
      <c r="D76" s="682">
        <f aca="true" t="shared" si="47" ref="D76:D86">C76/B76*100</f>
        <v>0</v>
      </c>
      <c r="E76" s="27"/>
      <c r="F76" s="27"/>
      <c r="G76" s="682"/>
      <c r="H76" s="27"/>
      <c r="I76" s="27"/>
      <c r="J76" s="682"/>
      <c r="K76" s="482" t="s">
        <v>712</v>
      </c>
      <c r="L76" s="27">
        <f>ROUND(B76/1000,0)</f>
        <v>11</v>
      </c>
      <c r="M76" s="27">
        <f t="shared" si="46"/>
        <v>0</v>
      </c>
      <c r="N76" s="682">
        <f aca="true" t="shared" si="48" ref="N76:N86">M76/L76*100</f>
        <v>0</v>
      </c>
      <c r="O76" s="27">
        <f t="shared" si="46"/>
        <v>0</v>
      </c>
      <c r="P76" s="27">
        <f t="shared" si="46"/>
        <v>0</v>
      </c>
      <c r="Q76" s="682"/>
      <c r="R76" s="27">
        <f t="shared" si="46"/>
        <v>0</v>
      </c>
      <c r="S76" s="27">
        <f t="shared" si="46"/>
        <v>0</v>
      </c>
      <c r="T76" s="682"/>
      <c r="U76" s="476"/>
      <c r="V76" s="476"/>
      <c r="W76" s="476"/>
      <c r="X76" s="476"/>
      <c r="Y76" s="476"/>
      <c r="Z76" s="476"/>
      <c r="AA76" s="476"/>
      <c r="AB76" s="476"/>
      <c r="AC76" s="476"/>
      <c r="AD76" s="476"/>
      <c r="AE76" s="476"/>
      <c r="AF76" s="476"/>
      <c r="AG76" s="476"/>
      <c r="AH76" s="476"/>
      <c r="AI76" s="476"/>
      <c r="AJ76" s="476"/>
      <c r="AK76" s="476"/>
      <c r="AL76" s="476"/>
      <c r="AM76" s="476"/>
      <c r="AN76" s="476"/>
      <c r="AO76" s="476"/>
      <c r="AP76" s="476"/>
      <c r="AQ76" s="476"/>
      <c r="AR76" s="476"/>
      <c r="AS76" s="476"/>
      <c r="AT76" s="476"/>
      <c r="AU76" s="476"/>
      <c r="AV76" s="476"/>
      <c r="AW76" s="476"/>
      <c r="AX76" s="476"/>
      <c r="AY76" s="476"/>
      <c r="AZ76" s="476"/>
      <c r="BA76" s="476"/>
      <c r="BB76" s="476"/>
      <c r="BC76" s="476"/>
      <c r="BD76" s="476"/>
      <c r="BE76" s="476"/>
      <c r="BF76" s="476"/>
      <c r="BG76" s="476"/>
      <c r="BH76" s="476"/>
      <c r="BI76" s="476"/>
      <c r="BJ76" s="476"/>
      <c r="BK76" s="476"/>
      <c r="BL76" s="476"/>
      <c r="BM76" s="476"/>
      <c r="BN76" s="476"/>
      <c r="BO76" s="476"/>
      <c r="BP76" s="476"/>
      <c r="BQ76" s="476"/>
      <c r="BR76" s="476"/>
      <c r="BS76" s="476"/>
      <c r="BT76" s="476"/>
      <c r="BU76" s="476"/>
      <c r="BV76" s="476"/>
      <c r="BW76" s="476"/>
      <c r="BX76" s="476"/>
      <c r="BY76" s="476"/>
      <c r="BZ76" s="476"/>
      <c r="CA76" s="476"/>
      <c r="CB76" s="476"/>
      <c r="CC76" s="476"/>
      <c r="CD76" s="476"/>
      <c r="CE76" s="476"/>
      <c r="CF76" s="476"/>
      <c r="CG76" s="476"/>
      <c r="CH76" s="476"/>
      <c r="CI76" s="476"/>
      <c r="CJ76" s="476"/>
      <c r="CK76" s="476"/>
      <c r="CL76" s="476"/>
      <c r="CM76" s="476"/>
      <c r="CN76" s="476"/>
      <c r="CO76" s="476"/>
      <c r="CP76" s="476"/>
      <c r="CQ76" s="476"/>
      <c r="CR76" s="476"/>
      <c r="CS76" s="476"/>
      <c r="CT76" s="476"/>
      <c r="CU76" s="476"/>
      <c r="CV76" s="476"/>
      <c r="CW76" s="476"/>
      <c r="CX76" s="476"/>
      <c r="CY76" s="476"/>
      <c r="CZ76" s="476"/>
      <c r="DA76" s="476"/>
      <c r="DB76" s="476"/>
      <c r="DC76" s="476"/>
    </row>
    <row r="77" spans="1:20" ht="12.75">
      <c r="A77" s="74" t="s">
        <v>430</v>
      </c>
      <c r="B77" s="480">
        <f>SUM(B78)</f>
        <v>500</v>
      </c>
      <c r="C77" s="480">
        <f aca="true" t="shared" si="49" ref="C77:I77">SUM(C78)</f>
        <v>0</v>
      </c>
      <c r="D77" s="681">
        <f t="shared" si="47"/>
        <v>0</v>
      </c>
      <c r="E77" s="480">
        <f t="shared" si="49"/>
        <v>500</v>
      </c>
      <c r="F77" s="480">
        <f t="shared" si="49"/>
        <v>0</v>
      </c>
      <c r="G77" s="681">
        <f aca="true" t="shared" si="50" ref="G77:G86">F77/E77*100</f>
        <v>0</v>
      </c>
      <c r="H77" s="480">
        <f t="shared" si="49"/>
        <v>1000</v>
      </c>
      <c r="I77" s="480">
        <f t="shared" si="49"/>
        <v>0</v>
      </c>
      <c r="J77" s="681">
        <f aca="true" t="shared" si="51" ref="J77:J86">I77/H77*100</f>
        <v>0</v>
      </c>
      <c r="K77" s="74" t="s">
        <v>430</v>
      </c>
      <c r="L77" s="480">
        <f aca="true" t="shared" si="52" ref="L77:S77">SUM(L78)</f>
        <v>1</v>
      </c>
      <c r="M77" s="480">
        <f t="shared" si="52"/>
        <v>0</v>
      </c>
      <c r="N77" s="681">
        <f t="shared" si="48"/>
        <v>0</v>
      </c>
      <c r="O77" s="480">
        <f t="shared" si="52"/>
        <v>1</v>
      </c>
      <c r="P77" s="480">
        <f t="shared" si="52"/>
        <v>0</v>
      </c>
      <c r="Q77" s="681">
        <f aca="true" t="shared" si="53" ref="Q77:Q86">P77/O77*100</f>
        <v>0</v>
      </c>
      <c r="R77" s="480">
        <f t="shared" si="52"/>
        <v>1</v>
      </c>
      <c r="S77" s="480">
        <f t="shared" si="52"/>
        <v>0</v>
      </c>
      <c r="T77" s="681">
        <f aca="true" t="shared" si="54" ref="T77:T84">S77/R77*100</f>
        <v>0</v>
      </c>
    </row>
    <row r="78" spans="1:107" s="477" customFormat="1" ht="12.75">
      <c r="A78" s="482" t="s">
        <v>105</v>
      </c>
      <c r="B78" s="27">
        <v>500</v>
      </c>
      <c r="C78" s="27"/>
      <c r="D78" s="682">
        <f t="shared" si="47"/>
        <v>0</v>
      </c>
      <c r="E78" s="27">
        <v>500</v>
      </c>
      <c r="F78" s="27"/>
      <c r="G78" s="682">
        <f t="shared" si="50"/>
        <v>0</v>
      </c>
      <c r="H78" s="27">
        <v>1000</v>
      </c>
      <c r="I78" s="27"/>
      <c r="J78" s="682">
        <f t="shared" si="51"/>
        <v>0</v>
      </c>
      <c r="K78" s="482" t="s">
        <v>105</v>
      </c>
      <c r="L78" s="27">
        <f aca="true" t="shared" si="55" ref="L78:S78">ROUND(B78/1000,0)</f>
        <v>1</v>
      </c>
      <c r="M78" s="27">
        <f t="shared" si="55"/>
        <v>0</v>
      </c>
      <c r="N78" s="682">
        <f t="shared" si="48"/>
        <v>0</v>
      </c>
      <c r="O78" s="27">
        <f t="shared" si="55"/>
        <v>1</v>
      </c>
      <c r="P78" s="27">
        <f t="shared" si="55"/>
        <v>0</v>
      </c>
      <c r="Q78" s="682">
        <f t="shared" si="53"/>
        <v>0</v>
      </c>
      <c r="R78" s="27">
        <f t="shared" si="55"/>
        <v>1</v>
      </c>
      <c r="S78" s="27">
        <f t="shared" si="55"/>
        <v>0</v>
      </c>
      <c r="T78" s="682">
        <f t="shared" si="54"/>
        <v>0</v>
      </c>
      <c r="U78" s="476"/>
      <c r="V78" s="476"/>
      <c r="W78" s="476"/>
      <c r="X78" s="476"/>
      <c r="Y78" s="476"/>
      <c r="Z78" s="476"/>
      <c r="AA78" s="476"/>
      <c r="AB78" s="476"/>
      <c r="AC78" s="476"/>
      <c r="AD78" s="476"/>
      <c r="AE78" s="476"/>
      <c r="AF78" s="476"/>
      <c r="AG78" s="476"/>
      <c r="AH78" s="476"/>
      <c r="AI78" s="476"/>
      <c r="AJ78" s="476"/>
      <c r="AK78" s="476"/>
      <c r="AL78" s="476"/>
      <c r="AM78" s="476"/>
      <c r="AN78" s="476"/>
      <c r="AO78" s="476"/>
      <c r="AP78" s="476"/>
      <c r="AQ78" s="476"/>
      <c r="AR78" s="476"/>
      <c r="AS78" s="476"/>
      <c r="AT78" s="476"/>
      <c r="AU78" s="476"/>
      <c r="AV78" s="476"/>
      <c r="AW78" s="476"/>
      <c r="AX78" s="476"/>
      <c r="AY78" s="476"/>
      <c r="AZ78" s="476"/>
      <c r="BA78" s="476"/>
      <c r="BB78" s="476"/>
      <c r="BC78" s="476"/>
      <c r="BD78" s="476"/>
      <c r="BE78" s="476"/>
      <c r="BF78" s="476"/>
      <c r="BG78" s="476"/>
      <c r="BH78" s="476"/>
      <c r="BI78" s="476"/>
      <c r="BJ78" s="476"/>
      <c r="BK78" s="476"/>
      <c r="BL78" s="476"/>
      <c r="BM78" s="476"/>
      <c r="BN78" s="476"/>
      <c r="BO78" s="476"/>
      <c r="BP78" s="476"/>
      <c r="BQ78" s="476"/>
      <c r="BR78" s="476"/>
      <c r="BS78" s="476"/>
      <c r="BT78" s="476"/>
      <c r="BU78" s="476"/>
      <c r="BV78" s="476"/>
      <c r="BW78" s="476"/>
      <c r="BX78" s="476"/>
      <c r="BY78" s="476"/>
      <c r="BZ78" s="476"/>
      <c r="CA78" s="476"/>
      <c r="CB78" s="476"/>
      <c r="CC78" s="476"/>
      <c r="CD78" s="476"/>
      <c r="CE78" s="476"/>
      <c r="CF78" s="476"/>
      <c r="CG78" s="476"/>
      <c r="CH78" s="476"/>
      <c r="CI78" s="476"/>
      <c r="CJ78" s="476"/>
      <c r="CK78" s="476"/>
      <c r="CL78" s="476"/>
      <c r="CM78" s="476"/>
      <c r="CN78" s="476"/>
      <c r="CO78" s="476"/>
      <c r="CP78" s="476"/>
      <c r="CQ78" s="476"/>
      <c r="CR78" s="476"/>
      <c r="CS78" s="476"/>
      <c r="CT78" s="476"/>
      <c r="CU78" s="476"/>
      <c r="CV78" s="476"/>
      <c r="CW78" s="476"/>
      <c r="CX78" s="476"/>
      <c r="CY78" s="476"/>
      <c r="CZ78" s="476"/>
      <c r="DA78" s="476"/>
      <c r="DB78" s="476"/>
      <c r="DC78" s="476"/>
    </row>
    <row r="79" spans="1:20" ht="12.75">
      <c r="A79" s="74" t="s">
        <v>438</v>
      </c>
      <c r="B79" s="480">
        <f>SUM(B80)</f>
        <v>600</v>
      </c>
      <c r="C79" s="480">
        <f>SUM(C80)</f>
        <v>0</v>
      </c>
      <c r="D79" s="681">
        <f t="shared" si="47"/>
        <v>0</v>
      </c>
      <c r="E79" s="480">
        <f>SUM(E80)</f>
        <v>600</v>
      </c>
      <c r="F79" s="480">
        <f>SUM(F80)</f>
        <v>0</v>
      </c>
      <c r="G79" s="681">
        <f t="shared" si="50"/>
        <v>0</v>
      </c>
      <c r="H79" s="480">
        <f>SUM(H80)</f>
        <v>0</v>
      </c>
      <c r="I79" s="480">
        <f>SUM(I80)</f>
        <v>0</v>
      </c>
      <c r="J79" s="682" t="e">
        <f t="shared" si="51"/>
        <v>#DIV/0!</v>
      </c>
      <c r="K79" s="74" t="s">
        <v>438</v>
      </c>
      <c r="L79" s="480">
        <f>SUM(L80)</f>
        <v>1</v>
      </c>
      <c r="M79" s="480">
        <f>SUM(M80)</f>
        <v>0</v>
      </c>
      <c r="N79" s="681">
        <f t="shared" si="48"/>
        <v>0</v>
      </c>
      <c r="O79" s="480">
        <f>SUM(O80)</f>
        <v>1</v>
      </c>
      <c r="P79" s="480">
        <f>SUM(P80)</f>
        <v>0</v>
      </c>
      <c r="Q79" s="681">
        <f t="shared" si="53"/>
        <v>0</v>
      </c>
      <c r="R79" s="480">
        <f>SUM(R80)</f>
        <v>0</v>
      </c>
      <c r="S79" s="480">
        <f>SUM(S80)</f>
        <v>0</v>
      </c>
      <c r="T79" s="681"/>
    </row>
    <row r="80" spans="1:107" s="477" customFormat="1" ht="12.75">
      <c r="A80" s="482" t="s">
        <v>105</v>
      </c>
      <c r="B80" s="27">
        <v>600</v>
      </c>
      <c r="C80" s="27"/>
      <c r="D80" s="682">
        <f t="shared" si="47"/>
        <v>0</v>
      </c>
      <c r="E80" s="27">
        <v>600</v>
      </c>
      <c r="F80" s="27"/>
      <c r="G80" s="682">
        <f t="shared" si="50"/>
        <v>0</v>
      </c>
      <c r="H80" s="27"/>
      <c r="I80" s="27"/>
      <c r="J80" s="682" t="e">
        <f t="shared" si="51"/>
        <v>#DIV/0!</v>
      </c>
      <c r="K80" s="482" t="s">
        <v>105</v>
      </c>
      <c r="L80" s="27">
        <f>ROUND(B80/1000,0)</f>
        <v>1</v>
      </c>
      <c r="M80" s="27">
        <f>ROUND(C80/1000,0)</f>
        <v>0</v>
      </c>
      <c r="N80" s="682">
        <f t="shared" si="48"/>
        <v>0</v>
      </c>
      <c r="O80" s="27">
        <f>ROUND(E80/1000,0)</f>
        <v>1</v>
      </c>
      <c r="P80" s="27">
        <f>ROUND(F80/1000,0)</f>
        <v>0</v>
      </c>
      <c r="Q80" s="682">
        <f t="shared" si="53"/>
        <v>0</v>
      </c>
      <c r="R80" s="27">
        <f>ROUND(H80/1000,0)</f>
        <v>0</v>
      </c>
      <c r="S80" s="27">
        <f>ROUND(I80/1000,0)</f>
        <v>0</v>
      </c>
      <c r="T80" s="682"/>
      <c r="U80" s="476"/>
      <c r="V80" s="476"/>
      <c r="W80" s="476"/>
      <c r="X80" s="476"/>
      <c r="Y80" s="476"/>
      <c r="Z80" s="476"/>
      <c r="AA80" s="476"/>
      <c r="AB80" s="476"/>
      <c r="AC80" s="476"/>
      <c r="AD80" s="476"/>
      <c r="AE80" s="476"/>
      <c r="AF80" s="476"/>
      <c r="AG80" s="476"/>
      <c r="AH80" s="476"/>
      <c r="AI80" s="476"/>
      <c r="AJ80" s="476"/>
      <c r="AK80" s="476"/>
      <c r="AL80" s="476"/>
      <c r="AM80" s="476"/>
      <c r="AN80" s="476"/>
      <c r="AO80" s="476"/>
      <c r="AP80" s="476"/>
      <c r="AQ80" s="476"/>
      <c r="AR80" s="476"/>
      <c r="AS80" s="476"/>
      <c r="AT80" s="476"/>
      <c r="AU80" s="476"/>
      <c r="AV80" s="476"/>
      <c r="AW80" s="476"/>
      <c r="AX80" s="476"/>
      <c r="AY80" s="476"/>
      <c r="AZ80" s="476"/>
      <c r="BA80" s="476"/>
      <c r="BB80" s="476"/>
      <c r="BC80" s="476"/>
      <c r="BD80" s="476"/>
      <c r="BE80" s="476"/>
      <c r="BF80" s="476"/>
      <c r="BG80" s="476"/>
      <c r="BH80" s="476"/>
      <c r="BI80" s="476"/>
      <c r="BJ80" s="476"/>
      <c r="BK80" s="476"/>
      <c r="BL80" s="476"/>
      <c r="BM80" s="476"/>
      <c r="BN80" s="476"/>
      <c r="BO80" s="476"/>
      <c r="BP80" s="476"/>
      <c r="BQ80" s="476"/>
      <c r="BR80" s="476"/>
      <c r="BS80" s="476"/>
      <c r="BT80" s="476"/>
      <c r="BU80" s="476"/>
      <c r="BV80" s="476"/>
      <c r="BW80" s="476"/>
      <c r="BX80" s="476"/>
      <c r="BY80" s="476"/>
      <c r="BZ80" s="476"/>
      <c r="CA80" s="476"/>
      <c r="CB80" s="476"/>
      <c r="CC80" s="476"/>
      <c r="CD80" s="476"/>
      <c r="CE80" s="476"/>
      <c r="CF80" s="476"/>
      <c r="CG80" s="476"/>
      <c r="CH80" s="476"/>
      <c r="CI80" s="476"/>
      <c r="CJ80" s="476"/>
      <c r="CK80" s="476"/>
      <c r="CL80" s="476"/>
      <c r="CM80" s="476"/>
      <c r="CN80" s="476"/>
      <c r="CO80" s="476"/>
      <c r="CP80" s="476"/>
      <c r="CQ80" s="476"/>
      <c r="CR80" s="476"/>
      <c r="CS80" s="476"/>
      <c r="CT80" s="476"/>
      <c r="CU80" s="476"/>
      <c r="CV80" s="476"/>
      <c r="CW80" s="476"/>
      <c r="CX80" s="476"/>
      <c r="CY80" s="476"/>
      <c r="CZ80" s="476"/>
      <c r="DA80" s="476"/>
      <c r="DB80" s="476"/>
      <c r="DC80" s="476"/>
    </row>
    <row r="81" spans="1:20" ht="12.75">
      <c r="A81" s="74" t="s">
        <v>442</v>
      </c>
      <c r="B81" s="480">
        <f>B82</f>
        <v>143476</v>
      </c>
      <c r="C81" s="480">
        <f aca="true" t="shared" si="56" ref="C81:I81">C82</f>
        <v>0</v>
      </c>
      <c r="D81" s="681">
        <f t="shared" si="47"/>
        <v>0</v>
      </c>
      <c r="E81" s="480">
        <f t="shared" si="56"/>
        <v>190356</v>
      </c>
      <c r="F81" s="480">
        <f t="shared" si="56"/>
        <v>0</v>
      </c>
      <c r="G81" s="681">
        <f t="shared" si="50"/>
        <v>0</v>
      </c>
      <c r="H81" s="480">
        <f t="shared" si="56"/>
        <v>190356</v>
      </c>
      <c r="I81" s="480">
        <f t="shared" si="56"/>
        <v>0</v>
      </c>
      <c r="J81" s="682">
        <f t="shared" si="51"/>
        <v>0</v>
      </c>
      <c r="K81" s="74" t="s">
        <v>442</v>
      </c>
      <c r="L81" s="480">
        <f>L82</f>
        <v>144</v>
      </c>
      <c r="M81" s="480">
        <f>M82</f>
        <v>0</v>
      </c>
      <c r="N81" s="681">
        <f t="shared" si="48"/>
        <v>0</v>
      </c>
      <c r="O81" s="480">
        <f>O82</f>
        <v>190</v>
      </c>
      <c r="P81" s="480">
        <f>P82</f>
        <v>0</v>
      </c>
      <c r="Q81" s="681">
        <f t="shared" si="53"/>
        <v>0</v>
      </c>
      <c r="R81" s="480">
        <f>R82</f>
        <v>190</v>
      </c>
      <c r="S81" s="480">
        <f>S82</f>
        <v>0</v>
      </c>
      <c r="T81" s="681">
        <f t="shared" si="54"/>
        <v>0</v>
      </c>
    </row>
    <row r="82" spans="1:107" s="477" customFormat="1" ht="12.75">
      <c r="A82" s="482" t="s">
        <v>107</v>
      </c>
      <c r="B82" s="27">
        <v>143476</v>
      </c>
      <c r="C82" s="27"/>
      <c r="D82" s="682">
        <f t="shared" si="47"/>
        <v>0</v>
      </c>
      <c r="E82" s="27">
        <v>190356</v>
      </c>
      <c r="F82" s="27"/>
      <c r="G82" s="682">
        <f t="shared" si="50"/>
        <v>0</v>
      </c>
      <c r="H82" s="27">
        <v>190356</v>
      </c>
      <c r="I82" s="27"/>
      <c r="J82" s="682">
        <f t="shared" si="51"/>
        <v>0</v>
      </c>
      <c r="K82" s="482" t="s">
        <v>107</v>
      </c>
      <c r="L82" s="27">
        <f>ROUND(B82/1000,0)+1</f>
        <v>144</v>
      </c>
      <c r="M82" s="27">
        <f>ROUND(C82/1000,0)</f>
        <v>0</v>
      </c>
      <c r="N82" s="682">
        <f t="shared" si="48"/>
        <v>0</v>
      </c>
      <c r="O82" s="27">
        <f aca="true" t="shared" si="57" ref="O82:P84">ROUND(E82/1000,0)</f>
        <v>190</v>
      </c>
      <c r="P82" s="27">
        <f t="shared" si="57"/>
        <v>0</v>
      </c>
      <c r="Q82" s="682">
        <f t="shared" si="53"/>
        <v>0</v>
      </c>
      <c r="R82" s="27">
        <f aca="true" t="shared" si="58" ref="R82:S84">ROUND(H82/1000,0)</f>
        <v>190</v>
      </c>
      <c r="S82" s="27">
        <f t="shared" si="58"/>
        <v>0</v>
      </c>
      <c r="T82" s="682">
        <f t="shared" si="54"/>
        <v>0</v>
      </c>
      <c r="U82" s="476"/>
      <c r="V82" s="476"/>
      <c r="W82" s="476"/>
      <c r="X82" s="476"/>
      <c r="Y82" s="476"/>
      <c r="Z82" s="476"/>
      <c r="AA82" s="476"/>
      <c r="AB82" s="476"/>
      <c r="AC82" s="476"/>
      <c r="AD82" s="476"/>
      <c r="AE82" s="476"/>
      <c r="AF82" s="476"/>
      <c r="AG82" s="476"/>
      <c r="AH82" s="476"/>
      <c r="AI82" s="476"/>
      <c r="AJ82" s="476"/>
      <c r="AK82" s="476"/>
      <c r="AL82" s="476"/>
      <c r="AM82" s="476"/>
      <c r="AN82" s="476"/>
      <c r="AO82" s="476"/>
      <c r="AP82" s="476"/>
      <c r="AQ82" s="476"/>
      <c r="AR82" s="476"/>
      <c r="AS82" s="476"/>
      <c r="AT82" s="476"/>
      <c r="AU82" s="476"/>
      <c r="AV82" s="476"/>
      <c r="AW82" s="476"/>
      <c r="AX82" s="476"/>
      <c r="AY82" s="476"/>
      <c r="AZ82" s="476"/>
      <c r="BA82" s="476"/>
      <c r="BB82" s="476"/>
      <c r="BC82" s="476"/>
      <c r="BD82" s="476"/>
      <c r="BE82" s="476"/>
      <c r="BF82" s="476"/>
      <c r="BG82" s="476"/>
      <c r="BH82" s="476"/>
      <c r="BI82" s="476"/>
      <c r="BJ82" s="476"/>
      <c r="BK82" s="476"/>
      <c r="BL82" s="476"/>
      <c r="BM82" s="476"/>
      <c r="BN82" s="476"/>
      <c r="BO82" s="476"/>
      <c r="BP82" s="476"/>
      <c r="BQ82" s="476"/>
      <c r="BR82" s="476"/>
      <c r="BS82" s="476"/>
      <c r="BT82" s="476"/>
      <c r="BU82" s="476"/>
      <c r="BV82" s="476"/>
      <c r="BW82" s="476"/>
      <c r="BX82" s="476"/>
      <c r="BY82" s="476"/>
      <c r="BZ82" s="476"/>
      <c r="CA82" s="476"/>
      <c r="CB82" s="476"/>
      <c r="CC82" s="476"/>
      <c r="CD82" s="476"/>
      <c r="CE82" s="476"/>
      <c r="CF82" s="476"/>
      <c r="CG82" s="476"/>
      <c r="CH82" s="476"/>
      <c r="CI82" s="476"/>
      <c r="CJ82" s="476"/>
      <c r="CK82" s="476"/>
      <c r="CL82" s="476"/>
      <c r="CM82" s="476"/>
      <c r="CN82" s="476"/>
      <c r="CO82" s="476"/>
      <c r="CP82" s="476"/>
      <c r="CQ82" s="476"/>
      <c r="CR82" s="476"/>
      <c r="CS82" s="476"/>
      <c r="CT82" s="476"/>
      <c r="CU82" s="476"/>
      <c r="CV82" s="476"/>
      <c r="CW82" s="476"/>
      <c r="CX82" s="476"/>
      <c r="CY82" s="476"/>
      <c r="CZ82" s="476"/>
      <c r="DA82" s="476"/>
      <c r="DB82" s="476"/>
      <c r="DC82" s="476"/>
    </row>
    <row r="83" spans="1:20" ht="12.75">
      <c r="A83" s="74" t="s">
        <v>444</v>
      </c>
      <c r="B83" s="480">
        <f>SUM(B84)</f>
        <v>216000</v>
      </c>
      <c r="C83" s="480">
        <f aca="true" t="shared" si="59" ref="C83:I83">SUM(C84)</f>
        <v>0</v>
      </c>
      <c r="D83" s="681">
        <f t="shared" si="47"/>
        <v>0</v>
      </c>
      <c r="E83" s="480">
        <f t="shared" si="59"/>
        <v>200000</v>
      </c>
      <c r="F83" s="480">
        <f t="shared" si="59"/>
        <v>0</v>
      </c>
      <c r="G83" s="681">
        <f t="shared" si="50"/>
        <v>0</v>
      </c>
      <c r="H83" s="480">
        <f t="shared" si="59"/>
        <v>400000</v>
      </c>
      <c r="I83" s="480">
        <f t="shared" si="59"/>
        <v>0</v>
      </c>
      <c r="J83" s="682">
        <f t="shared" si="51"/>
        <v>0</v>
      </c>
      <c r="K83" s="74" t="s">
        <v>444</v>
      </c>
      <c r="L83" s="480">
        <f>SUM(L84)</f>
        <v>216</v>
      </c>
      <c r="M83" s="480">
        <f>ROUND(C83/1000,0)</f>
        <v>0</v>
      </c>
      <c r="N83" s="681">
        <f t="shared" si="48"/>
        <v>0</v>
      </c>
      <c r="O83" s="480">
        <f t="shared" si="57"/>
        <v>200</v>
      </c>
      <c r="P83" s="480">
        <f t="shared" si="57"/>
        <v>0</v>
      </c>
      <c r="Q83" s="681">
        <f t="shared" si="53"/>
        <v>0</v>
      </c>
      <c r="R83" s="480">
        <f t="shared" si="58"/>
        <v>400</v>
      </c>
      <c r="S83" s="480">
        <f t="shared" si="58"/>
        <v>0</v>
      </c>
      <c r="T83" s="681">
        <f t="shared" si="54"/>
        <v>0</v>
      </c>
    </row>
    <row r="84" spans="1:107" s="477" customFormat="1" ht="12.75">
      <c r="A84" s="482" t="s">
        <v>712</v>
      </c>
      <c r="B84" s="27">
        <v>216000</v>
      </c>
      <c r="C84" s="27"/>
      <c r="D84" s="682">
        <f t="shared" si="47"/>
        <v>0</v>
      </c>
      <c r="E84" s="27">
        <v>200000</v>
      </c>
      <c r="F84" s="27"/>
      <c r="G84" s="682">
        <f t="shared" si="50"/>
        <v>0</v>
      </c>
      <c r="H84" s="27">
        <v>400000</v>
      </c>
      <c r="I84" s="27"/>
      <c r="J84" s="682">
        <f t="shared" si="51"/>
        <v>0</v>
      </c>
      <c r="K84" s="482" t="s">
        <v>712</v>
      </c>
      <c r="L84" s="27">
        <f>ROUND(B84/1000,0)</f>
        <v>216</v>
      </c>
      <c r="M84" s="27">
        <f>ROUND(C84/1000,0)</f>
        <v>0</v>
      </c>
      <c r="N84" s="682">
        <f t="shared" si="48"/>
        <v>0</v>
      </c>
      <c r="O84" s="27">
        <f t="shared" si="57"/>
        <v>200</v>
      </c>
      <c r="P84" s="27">
        <f t="shared" si="57"/>
        <v>0</v>
      </c>
      <c r="Q84" s="682">
        <f t="shared" si="53"/>
        <v>0</v>
      </c>
      <c r="R84" s="27">
        <f t="shared" si="58"/>
        <v>400</v>
      </c>
      <c r="S84" s="27">
        <f t="shared" si="58"/>
        <v>0</v>
      </c>
      <c r="T84" s="682">
        <f t="shared" si="54"/>
        <v>0</v>
      </c>
      <c r="U84" s="476"/>
      <c r="V84" s="476"/>
      <c r="W84" s="476"/>
      <c r="X84" s="476"/>
      <c r="Y84" s="476"/>
      <c r="Z84" s="476"/>
      <c r="AA84" s="476"/>
      <c r="AB84" s="476"/>
      <c r="AC84" s="476"/>
      <c r="AD84" s="476"/>
      <c r="AE84" s="476"/>
      <c r="AF84" s="476"/>
      <c r="AG84" s="476"/>
      <c r="AH84" s="476"/>
      <c r="AI84" s="476"/>
      <c r="AJ84" s="476"/>
      <c r="AK84" s="476"/>
      <c r="AL84" s="476"/>
      <c r="AM84" s="476"/>
      <c r="AN84" s="476"/>
      <c r="AO84" s="476"/>
      <c r="AP84" s="476"/>
      <c r="AQ84" s="476"/>
      <c r="AR84" s="476"/>
      <c r="AS84" s="476"/>
      <c r="AT84" s="476"/>
      <c r="AU84" s="476"/>
      <c r="AV84" s="476"/>
      <c r="AW84" s="476"/>
      <c r="AX84" s="476"/>
      <c r="AY84" s="476"/>
      <c r="AZ84" s="476"/>
      <c r="BA84" s="476"/>
      <c r="BB84" s="476"/>
      <c r="BC84" s="476"/>
      <c r="BD84" s="476"/>
      <c r="BE84" s="476"/>
      <c r="BF84" s="476"/>
      <c r="BG84" s="476"/>
      <c r="BH84" s="476"/>
      <c r="BI84" s="476"/>
      <c r="BJ84" s="476"/>
      <c r="BK84" s="476"/>
      <c r="BL84" s="476"/>
      <c r="BM84" s="476"/>
      <c r="BN84" s="476"/>
      <c r="BO84" s="476"/>
      <c r="BP84" s="476"/>
      <c r="BQ84" s="476"/>
      <c r="BR84" s="476"/>
      <c r="BS84" s="476"/>
      <c r="BT84" s="476"/>
      <c r="BU84" s="476"/>
      <c r="BV84" s="476"/>
      <c r="BW84" s="476"/>
      <c r="BX84" s="476"/>
      <c r="BY84" s="476"/>
      <c r="BZ84" s="476"/>
      <c r="CA84" s="476"/>
      <c r="CB84" s="476"/>
      <c r="CC84" s="476"/>
      <c r="CD84" s="476"/>
      <c r="CE84" s="476"/>
      <c r="CF84" s="476"/>
      <c r="CG84" s="476"/>
      <c r="CH84" s="476"/>
      <c r="CI84" s="476"/>
      <c r="CJ84" s="476"/>
      <c r="CK84" s="476"/>
      <c r="CL84" s="476"/>
      <c r="CM84" s="476"/>
      <c r="CN84" s="476"/>
      <c r="CO84" s="476"/>
      <c r="CP84" s="476"/>
      <c r="CQ84" s="476"/>
      <c r="CR84" s="476"/>
      <c r="CS84" s="476"/>
      <c r="CT84" s="476"/>
      <c r="CU84" s="476"/>
      <c r="CV84" s="476"/>
      <c r="CW84" s="476"/>
      <c r="CX84" s="476"/>
      <c r="CY84" s="476"/>
      <c r="CZ84" s="476"/>
      <c r="DA84" s="476"/>
      <c r="DB84" s="476"/>
      <c r="DC84" s="476"/>
    </row>
    <row r="85" spans="1:20" ht="24">
      <c r="A85" s="74" t="s">
        <v>109</v>
      </c>
      <c r="B85" s="480">
        <f>B86</f>
        <v>540000</v>
      </c>
      <c r="C85" s="480">
        <f aca="true" t="shared" si="60" ref="C85:I85">C86</f>
        <v>0</v>
      </c>
      <c r="D85" s="681">
        <f t="shared" si="47"/>
        <v>0</v>
      </c>
      <c r="E85" s="480">
        <f t="shared" si="60"/>
        <v>110000</v>
      </c>
      <c r="F85" s="480">
        <f t="shared" si="60"/>
        <v>0</v>
      </c>
      <c r="G85" s="681">
        <f t="shared" si="50"/>
        <v>0</v>
      </c>
      <c r="H85" s="480">
        <f t="shared" si="60"/>
        <v>0</v>
      </c>
      <c r="I85" s="480">
        <f t="shared" si="60"/>
        <v>0</v>
      </c>
      <c r="J85" s="682" t="e">
        <f t="shared" si="51"/>
        <v>#DIV/0!</v>
      </c>
      <c r="K85" s="59" t="s">
        <v>109</v>
      </c>
      <c r="L85" s="480">
        <f>L86</f>
        <v>540</v>
      </c>
      <c r="M85" s="480">
        <f aca="true" t="shared" si="61" ref="M85:S85">M86</f>
        <v>0</v>
      </c>
      <c r="N85" s="681">
        <f t="shared" si="48"/>
        <v>0</v>
      </c>
      <c r="O85" s="480">
        <f t="shared" si="61"/>
        <v>110</v>
      </c>
      <c r="P85" s="480">
        <f t="shared" si="61"/>
        <v>0</v>
      </c>
      <c r="Q85" s="681">
        <f t="shared" si="53"/>
        <v>0</v>
      </c>
      <c r="R85" s="480">
        <f t="shared" si="61"/>
        <v>0</v>
      </c>
      <c r="S85" s="480">
        <f t="shared" si="61"/>
        <v>0</v>
      </c>
      <c r="T85" s="681"/>
    </row>
    <row r="86" spans="1:107" s="477" customFormat="1" ht="12.75">
      <c r="A86" s="482" t="s">
        <v>712</v>
      </c>
      <c r="B86" s="27">
        <v>540000</v>
      </c>
      <c r="C86" s="27"/>
      <c r="D86" s="682">
        <f t="shared" si="47"/>
        <v>0</v>
      </c>
      <c r="E86" s="27">
        <v>110000</v>
      </c>
      <c r="F86" s="27"/>
      <c r="G86" s="682">
        <f t="shared" si="50"/>
        <v>0</v>
      </c>
      <c r="H86" s="27"/>
      <c r="I86" s="27"/>
      <c r="J86" s="682" t="e">
        <f t="shared" si="51"/>
        <v>#DIV/0!</v>
      </c>
      <c r="K86" s="482" t="s">
        <v>712</v>
      </c>
      <c r="L86" s="27">
        <f>ROUND(B86/1000,0)</f>
        <v>540</v>
      </c>
      <c r="M86" s="27">
        <f>ROUND(C86/1000,0)</f>
        <v>0</v>
      </c>
      <c r="N86" s="682">
        <f t="shared" si="48"/>
        <v>0</v>
      </c>
      <c r="O86" s="27">
        <f>ROUND(E86/1000,0)</f>
        <v>110</v>
      </c>
      <c r="P86" s="27">
        <f>ROUND(F86/1000,0)</f>
        <v>0</v>
      </c>
      <c r="Q86" s="682">
        <f t="shared" si="53"/>
        <v>0</v>
      </c>
      <c r="R86" s="27">
        <f>ROUND(H86/1000,0)</f>
        <v>0</v>
      </c>
      <c r="S86" s="27">
        <f>ROUND(I86/1000,0)</f>
        <v>0</v>
      </c>
      <c r="T86" s="682"/>
      <c r="U86" s="476"/>
      <c r="V86" s="476"/>
      <c r="W86" s="476"/>
      <c r="X86" s="476"/>
      <c r="Y86" s="476"/>
      <c r="Z86" s="476"/>
      <c r="AA86" s="476"/>
      <c r="AB86" s="476"/>
      <c r="AC86" s="476"/>
      <c r="AD86" s="476"/>
      <c r="AE86" s="476"/>
      <c r="AF86" s="476"/>
      <c r="AG86" s="476"/>
      <c r="AH86" s="476"/>
      <c r="AI86" s="476"/>
      <c r="AJ86" s="476"/>
      <c r="AK86" s="476"/>
      <c r="AL86" s="476"/>
      <c r="AM86" s="476"/>
      <c r="AN86" s="476"/>
      <c r="AO86" s="476"/>
      <c r="AP86" s="476"/>
      <c r="AQ86" s="476"/>
      <c r="AR86" s="476"/>
      <c r="AS86" s="476"/>
      <c r="AT86" s="476"/>
      <c r="AU86" s="476"/>
      <c r="AV86" s="476"/>
      <c r="AW86" s="476"/>
      <c r="AX86" s="476"/>
      <c r="AY86" s="476"/>
      <c r="AZ86" s="476"/>
      <c r="BA86" s="476"/>
      <c r="BB86" s="476"/>
      <c r="BC86" s="476"/>
      <c r="BD86" s="476"/>
      <c r="BE86" s="476"/>
      <c r="BF86" s="476"/>
      <c r="BG86" s="476"/>
      <c r="BH86" s="476"/>
      <c r="BI86" s="476"/>
      <c r="BJ86" s="476"/>
      <c r="BK86" s="476"/>
      <c r="BL86" s="476"/>
      <c r="BM86" s="476"/>
      <c r="BN86" s="476"/>
      <c r="BO86" s="476"/>
      <c r="BP86" s="476"/>
      <c r="BQ86" s="476"/>
      <c r="BR86" s="476"/>
      <c r="BS86" s="476"/>
      <c r="BT86" s="476"/>
      <c r="BU86" s="476"/>
      <c r="BV86" s="476"/>
      <c r="BW86" s="476"/>
      <c r="BX86" s="476"/>
      <c r="BY86" s="476"/>
      <c r="BZ86" s="476"/>
      <c r="CA86" s="476"/>
      <c r="CB86" s="476"/>
      <c r="CC86" s="476"/>
      <c r="CD86" s="476"/>
      <c r="CE86" s="476"/>
      <c r="CF86" s="476"/>
      <c r="CG86" s="476"/>
      <c r="CH86" s="476"/>
      <c r="CI86" s="476"/>
      <c r="CJ86" s="476"/>
      <c r="CK86" s="476"/>
      <c r="CL86" s="476"/>
      <c r="CM86" s="476"/>
      <c r="CN86" s="476"/>
      <c r="CO86" s="476"/>
      <c r="CP86" s="476"/>
      <c r="CQ86" s="476"/>
      <c r="CR86" s="476"/>
      <c r="CS86" s="476"/>
      <c r="CT86" s="476"/>
      <c r="CU86" s="476"/>
      <c r="CV86" s="476"/>
      <c r="CW86" s="476"/>
      <c r="CX86" s="476"/>
      <c r="CY86" s="476"/>
      <c r="CZ86" s="476"/>
      <c r="DA86" s="476"/>
      <c r="DB86" s="476"/>
      <c r="DC86" s="476"/>
    </row>
    <row r="89" spans="1:20" ht="12.75">
      <c r="A89" s="1"/>
      <c r="B89" s="623"/>
      <c r="C89" s="638"/>
      <c r="D89" s="638"/>
      <c r="E89" s="687"/>
      <c r="F89" s="688"/>
      <c r="G89" s="688"/>
      <c r="H89" s="688"/>
      <c r="I89" s="688"/>
      <c r="J89" s="1"/>
      <c r="K89" s="41" t="s">
        <v>669</v>
      </c>
      <c r="L89" s="689"/>
      <c r="M89" s="638"/>
      <c r="N89" s="690"/>
      <c r="O89" s="691"/>
      <c r="P89" s="692"/>
      <c r="Q89" s="692"/>
      <c r="R89" s="692"/>
      <c r="S89" s="688"/>
      <c r="T89" s="1"/>
    </row>
    <row r="90" spans="1:20" ht="12.75">
      <c r="A90" s="38"/>
      <c r="B90" s="689"/>
      <c r="C90" s="638"/>
      <c r="D90" s="690"/>
      <c r="E90" s="691"/>
      <c r="F90" s="692"/>
      <c r="G90" s="692"/>
      <c r="H90" s="692"/>
      <c r="I90" s="692"/>
      <c r="J90" s="1"/>
      <c r="S90" s="692"/>
      <c r="T90" s="1"/>
    </row>
    <row r="92" spans="10:20" ht="12.75">
      <c r="J92" s="1"/>
      <c r="T92" s="1"/>
    </row>
    <row r="93" spans="10:20" ht="12.75">
      <c r="J93" s="1"/>
      <c r="T93" s="1"/>
    </row>
    <row r="94" spans="10:20" ht="12.75">
      <c r="J94" s="1"/>
      <c r="T94" s="1"/>
    </row>
    <row r="95" s="38" customFormat="1" ht="11.25">
      <c r="K95" s="38" t="s">
        <v>334</v>
      </c>
    </row>
    <row r="96" spans="10:20" ht="12.75">
      <c r="J96" s="1"/>
      <c r="K96" s="38" t="s">
        <v>148</v>
      </c>
      <c r="T96" s="1"/>
    </row>
    <row r="100" spans="10:20" ht="12.75">
      <c r="J100" s="1"/>
      <c r="T100" s="1"/>
    </row>
    <row r="101" spans="10:20" ht="12.75">
      <c r="J101" s="1"/>
      <c r="T101" s="1"/>
    </row>
    <row r="102" spans="10:20" ht="12.75">
      <c r="J102" s="1"/>
      <c r="T102" s="1"/>
    </row>
    <row r="103" spans="10:20" ht="12.75">
      <c r="J103" s="1"/>
      <c r="T103" s="1"/>
    </row>
    <row r="104" spans="10:20" ht="12.75">
      <c r="J104" s="1"/>
      <c r="T104" s="1"/>
    </row>
    <row r="105" spans="10:20" ht="12.75">
      <c r="J105" s="1"/>
      <c r="T105" s="1"/>
    </row>
    <row r="106" spans="10:20" ht="12.75">
      <c r="J106" s="1"/>
      <c r="K106" s="1"/>
      <c r="T106" s="1"/>
    </row>
    <row r="107" spans="10:20" ht="12.75">
      <c r="J107" s="1"/>
      <c r="K107" s="1"/>
      <c r="T107" s="1"/>
    </row>
    <row r="108" spans="10:20" ht="12.75">
      <c r="J108" s="1"/>
      <c r="K108" s="1"/>
      <c r="T108" s="1"/>
    </row>
    <row r="109" spans="10:20" ht="12.75">
      <c r="J109" s="1"/>
      <c r="K109" s="1"/>
      <c r="T109" s="1"/>
    </row>
    <row r="110" spans="10:20" ht="12.75">
      <c r="J110" s="1"/>
      <c r="K110" s="1"/>
      <c r="T110" s="1"/>
    </row>
    <row r="111" spans="10:20" ht="12.75">
      <c r="J111" s="1"/>
      <c r="T111" s="1"/>
    </row>
    <row r="112" spans="10:20" ht="12.75">
      <c r="J112" s="1"/>
      <c r="T112" s="1"/>
    </row>
    <row r="113" spans="10:20" ht="12.75">
      <c r="J113" s="1"/>
      <c r="T113" s="1"/>
    </row>
    <row r="114" spans="10:20" ht="12.75">
      <c r="J114" s="1"/>
      <c r="T114" s="1"/>
    </row>
    <row r="115" spans="10:20" ht="12.75">
      <c r="J115" s="1"/>
      <c r="T115" s="1"/>
    </row>
    <row r="116" spans="10:20" ht="12.75">
      <c r="J116" s="1"/>
      <c r="T116" s="1"/>
    </row>
    <row r="117" spans="10:20" ht="12.75">
      <c r="J117" s="1"/>
      <c r="T117" s="1"/>
    </row>
    <row r="118" spans="10:20" ht="12.75">
      <c r="J118" s="1"/>
      <c r="T118" s="1"/>
    </row>
    <row r="119" spans="10:20" ht="12.75">
      <c r="J119" s="1"/>
      <c r="T119" s="1"/>
    </row>
    <row r="120" spans="10:20" ht="12.75">
      <c r="J120" s="1"/>
      <c r="T120" s="1"/>
    </row>
    <row r="121" spans="10:20" ht="12.75">
      <c r="J121" s="1"/>
      <c r="T121" s="1"/>
    </row>
    <row r="122" spans="10:20" ht="12.75">
      <c r="J122" s="1"/>
      <c r="T122" s="1"/>
    </row>
    <row r="123" spans="10:20" ht="12.75">
      <c r="J123" s="1"/>
      <c r="T123" s="1"/>
    </row>
    <row r="124" spans="10:20" ht="12.75">
      <c r="J124" s="1"/>
      <c r="T124" s="1"/>
    </row>
    <row r="125" spans="10:20" ht="12.75">
      <c r="J125" s="1"/>
      <c r="T125" s="1"/>
    </row>
    <row r="126" spans="10:20" ht="12.75">
      <c r="J126" s="1"/>
      <c r="T126" s="1"/>
    </row>
    <row r="127" spans="10:20" ht="12.75">
      <c r="J127" s="1"/>
      <c r="T127" s="1"/>
    </row>
    <row r="128" spans="10:20" ht="12.75">
      <c r="J128" s="1"/>
      <c r="T128" s="1"/>
    </row>
    <row r="129" spans="10:20" ht="12.75">
      <c r="J129" s="1"/>
      <c r="T129" s="1"/>
    </row>
    <row r="130" spans="10:20" ht="12.75">
      <c r="J130" s="1"/>
      <c r="T130" s="1"/>
    </row>
    <row r="131" spans="10:20" ht="12.75">
      <c r="J131" s="1"/>
      <c r="T131" s="1"/>
    </row>
    <row r="132" spans="10:20" ht="12.75">
      <c r="J132" s="1"/>
      <c r="T132" s="1"/>
    </row>
    <row r="133" spans="10:20" ht="12.75">
      <c r="J133" s="1"/>
      <c r="T133" s="1"/>
    </row>
    <row r="134" spans="10:20" ht="12.75">
      <c r="J134" s="1"/>
      <c r="T134" s="1"/>
    </row>
    <row r="135" spans="10:20" ht="12.75">
      <c r="J135" s="1"/>
      <c r="T135" s="1"/>
    </row>
    <row r="136" spans="10:20" ht="12.75">
      <c r="J136" s="1"/>
      <c r="T136" s="1"/>
    </row>
    <row r="137" spans="10:20" ht="12.75">
      <c r="J137" s="1"/>
      <c r="T137" s="1"/>
    </row>
    <row r="138" spans="10:20" ht="12.75">
      <c r="J138" s="1"/>
      <c r="T138" s="1"/>
    </row>
    <row r="139" spans="10:20" ht="12.75">
      <c r="J139" s="1"/>
      <c r="T139" s="1"/>
    </row>
    <row r="140" spans="10:20" ht="12.75">
      <c r="J140" s="1"/>
      <c r="T140" s="1"/>
    </row>
    <row r="141" spans="10:20" ht="12.75">
      <c r="J141" s="1"/>
      <c r="T141" s="1"/>
    </row>
    <row r="142" spans="10:20" ht="12.75">
      <c r="J142" s="1"/>
      <c r="T142" s="1"/>
    </row>
    <row r="143" spans="10:20" ht="12.75">
      <c r="J143" s="1"/>
      <c r="T143" s="1"/>
    </row>
    <row r="144" spans="10:20" ht="12.75">
      <c r="J144" s="1"/>
      <c r="T144" s="1"/>
    </row>
    <row r="145" spans="10:20" ht="12.75">
      <c r="J145" s="1"/>
      <c r="T145" s="1"/>
    </row>
    <row r="146" spans="10:20" ht="12.75">
      <c r="J146" s="1"/>
      <c r="T146" s="1"/>
    </row>
    <row r="147" spans="10:20" ht="12.75">
      <c r="J147" s="1"/>
      <c r="T147" s="1"/>
    </row>
    <row r="148" spans="10:20" ht="12.75">
      <c r="J148" s="1"/>
      <c r="T148" s="1"/>
    </row>
    <row r="149" spans="10:20" ht="12.75">
      <c r="J149" s="1"/>
      <c r="T149" s="1"/>
    </row>
    <row r="150" spans="10:20" ht="12.75">
      <c r="J150" s="1"/>
      <c r="T150" s="1"/>
    </row>
    <row r="151" spans="10:20" ht="12.75">
      <c r="J151" s="1"/>
      <c r="T151" s="1"/>
    </row>
    <row r="152" spans="10:20" ht="12.75">
      <c r="J152" s="1"/>
      <c r="T152" s="1"/>
    </row>
    <row r="153" spans="10:20" ht="12.75">
      <c r="J153" s="1"/>
      <c r="T153" s="1"/>
    </row>
    <row r="154" spans="10:20" ht="12.75">
      <c r="J154" s="1"/>
      <c r="T154" s="1"/>
    </row>
    <row r="155" spans="10:20" ht="12.75">
      <c r="J155" s="1"/>
      <c r="T155" s="1"/>
    </row>
    <row r="156" spans="10:20" ht="12.75">
      <c r="J156" s="1"/>
      <c r="T156" s="1"/>
    </row>
    <row r="157" spans="10:20" ht="12.75">
      <c r="J157" s="1"/>
      <c r="T157" s="1"/>
    </row>
    <row r="158" spans="10:20" ht="12.75">
      <c r="J158" s="1"/>
      <c r="T158" s="1"/>
    </row>
    <row r="159" spans="10:20" ht="12.75">
      <c r="J159" s="1"/>
      <c r="T159" s="1"/>
    </row>
    <row r="160" spans="10:20" ht="12.75">
      <c r="J160" s="1"/>
      <c r="T160" s="1"/>
    </row>
    <row r="161" spans="10:20" ht="12.75">
      <c r="J161" s="1"/>
      <c r="T161" s="1"/>
    </row>
    <row r="162" spans="10:20" ht="12.75">
      <c r="J162" s="1"/>
      <c r="T162" s="1"/>
    </row>
    <row r="163" spans="10:20" ht="12.75">
      <c r="J163" s="1"/>
      <c r="T163" s="1"/>
    </row>
    <row r="164" spans="10:20" ht="12.75">
      <c r="J164" s="1"/>
      <c r="T164" s="1"/>
    </row>
    <row r="165" spans="10:20" ht="12.75">
      <c r="J165" s="1"/>
      <c r="T165" s="1"/>
    </row>
    <row r="166" spans="10:20" ht="12.75">
      <c r="J166" s="1"/>
      <c r="T166" s="1"/>
    </row>
    <row r="167" spans="10:20" ht="12.75">
      <c r="J167" s="1"/>
      <c r="T167" s="1"/>
    </row>
    <row r="168" spans="10:20" ht="12.75">
      <c r="J168" s="1"/>
      <c r="T168" s="1"/>
    </row>
    <row r="169" spans="10:20" ht="12.75">
      <c r="J169" s="1"/>
      <c r="T169" s="1"/>
    </row>
    <row r="170" spans="10:20" ht="12.75">
      <c r="J170" s="1"/>
      <c r="T170" s="1"/>
    </row>
    <row r="171" spans="10:20" ht="12.75">
      <c r="J171" s="1"/>
      <c r="T171" s="1"/>
    </row>
    <row r="172" spans="10:20" ht="12.75">
      <c r="J172" s="1"/>
      <c r="T172" s="1"/>
    </row>
    <row r="173" spans="10:20" ht="12.75">
      <c r="J173" s="1"/>
      <c r="T173" s="1"/>
    </row>
    <row r="174" spans="10:20" ht="12.75">
      <c r="J174" s="1"/>
      <c r="T174" s="1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</sheetData>
  <mergeCells count="12">
    <mergeCell ref="A4:J4"/>
    <mergeCell ref="K4:T4"/>
    <mergeCell ref="A5:J5"/>
    <mergeCell ref="K5:T5"/>
    <mergeCell ref="A6:J6"/>
    <mergeCell ref="K6:T6"/>
    <mergeCell ref="B9:D9"/>
    <mergeCell ref="E9:G9"/>
    <mergeCell ref="H9:J9"/>
    <mergeCell ref="L9:N9"/>
    <mergeCell ref="O9:Q9"/>
    <mergeCell ref="R9:T9"/>
  </mergeCells>
  <printOptions/>
  <pageMargins left="0.75" right="0.75" top="0.18" bottom="0.26" header="0.23" footer="0.26"/>
  <pageSetup firstPageNumber="51" useFirstPageNumber="1" horizontalDpi="600" verticalDpi="600" orientation="landscape" paperSize="9" r:id="rId1"/>
  <headerFooter alignWithMargins="0">
    <oddFooter>&amp;R&amp;9&amp;P</oddFooter>
  </headerFooter>
  <rowBreaks count="2" manualBreakCount="2">
    <brk id="29" min="10" max="19" man="1"/>
    <brk id="60" min="10" max="1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DC181"/>
  <sheetViews>
    <sheetView workbookViewId="0" topLeftCell="K1">
      <selection activeCell="K6" sqref="K6:T6"/>
    </sheetView>
  </sheetViews>
  <sheetFormatPr defaultColWidth="9.140625" defaultRowHeight="12.75"/>
  <cols>
    <col min="1" max="1" width="43.00390625" style="49" customWidth="1"/>
    <col min="2" max="2" width="9.57421875" style="49" customWidth="1"/>
    <col min="3" max="3" width="8.140625" style="49" customWidth="1"/>
    <col min="4" max="4" width="6.140625" style="49" customWidth="1"/>
    <col min="5" max="5" width="9.57421875" style="49" customWidth="1"/>
    <col min="6" max="6" width="7.421875" style="49" customWidth="1"/>
    <col min="7" max="7" width="6.140625" style="49" customWidth="1"/>
    <col min="8" max="8" width="9.57421875" style="49" customWidth="1"/>
    <col min="9" max="9" width="8.140625" style="49" customWidth="1"/>
    <col min="10" max="10" width="6.57421875" style="49" customWidth="1"/>
    <col min="11" max="11" width="46.421875" style="49" customWidth="1"/>
    <col min="12" max="12" width="10.00390625" style="49" customWidth="1"/>
    <col min="13" max="13" width="9.140625" style="49" customWidth="1"/>
    <col min="14" max="14" width="8.421875" style="49" customWidth="1"/>
    <col min="15" max="15" width="9.8515625" style="49" customWidth="1"/>
    <col min="16" max="16" width="9.00390625" style="49" customWidth="1"/>
    <col min="17" max="17" width="7.8515625" style="49" customWidth="1"/>
    <col min="18" max="18" width="10.00390625" style="49" customWidth="1"/>
    <col min="19" max="19" width="8.57421875" style="49" customWidth="1"/>
    <col min="20" max="20" width="8.140625" style="49" customWidth="1"/>
    <col min="21" max="107" width="9.8515625" style="0" customWidth="1"/>
    <col min="108" max="16384" width="9.8515625" style="49" customWidth="1"/>
  </cols>
  <sheetData>
    <row r="1" ht="12.75">
      <c r="T1" s="49" t="s">
        <v>110</v>
      </c>
    </row>
    <row r="2" spans="1:19" ht="17.25" customHeight="1">
      <c r="A2" s="51" t="s">
        <v>379</v>
      </c>
      <c r="B2" s="51"/>
      <c r="C2" s="179"/>
      <c r="D2" s="51"/>
      <c r="E2" s="51"/>
      <c r="F2" s="179"/>
      <c r="G2" s="179"/>
      <c r="H2" s="179"/>
      <c r="I2" s="179"/>
      <c r="K2" s="51" t="s">
        <v>379</v>
      </c>
      <c r="L2" s="51"/>
      <c r="M2" s="179"/>
      <c r="N2" s="51"/>
      <c r="O2" s="51"/>
      <c r="P2" s="179"/>
      <c r="Q2" s="179"/>
      <c r="R2" s="179"/>
      <c r="S2" s="179"/>
    </row>
    <row r="3" spans="1:20" ht="12.75">
      <c r="A3" s="51"/>
      <c r="B3" s="51"/>
      <c r="C3" s="179"/>
      <c r="D3" s="51"/>
      <c r="E3" s="51"/>
      <c r="F3" s="179"/>
      <c r="G3" s="179"/>
      <c r="H3" s="179"/>
      <c r="I3" s="179"/>
      <c r="J3" s="1"/>
      <c r="K3" s="51"/>
      <c r="L3" s="51"/>
      <c r="M3" s="179"/>
      <c r="N3" s="51"/>
      <c r="O3" s="51"/>
      <c r="P3" s="179"/>
      <c r="Q3" s="179"/>
      <c r="R3" s="179"/>
      <c r="S3" s="179"/>
      <c r="T3" s="1"/>
    </row>
    <row r="4" spans="1:20" ht="18.75" customHeight="1">
      <c r="A4" s="831" t="s">
        <v>95</v>
      </c>
      <c r="B4" s="831"/>
      <c r="C4" s="831"/>
      <c r="D4" s="831"/>
      <c r="E4" s="831"/>
      <c r="F4" s="831"/>
      <c r="G4" s="831"/>
      <c r="H4" s="831"/>
      <c r="I4" s="831"/>
      <c r="J4" s="831"/>
      <c r="K4" s="831" t="s">
        <v>94</v>
      </c>
      <c r="L4" s="831"/>
      <c r="M4" s="831"/>
      <c r="N4" s="831"/>
      <c r="O4" s="831"/>
      <c r="P4" s="831"/>
      <c r="Q4" s="831"/>
      <c r="R4" s="831"/>
      <c r="S4" s="831"/>
      <c r="T4" s="831"/>
    </row>
    <row r="5" spans="1:20" ht="18.75" customHeight="1">
      <c r="A5" s="831" t="s">
        <v>111</v>
      </c>
      <c r="B5" s="831"/>
      <c r="C5" s="831"/>
      <c r="D5" s="831"/>
      <c r="E5" s="831"/>
      <c r="F5" s="831"/>
      <c r="G5" s="831"/>
      <c r="H5" s="831"/>
      <c r="I5" s="831"/>
      <c r="J5" s="831"/>
      <c r="K5" s="831" t="s">
        <v>111</v>
      </c>
      <c r="L5" s="831"/>
      <c r="M5" s="831"/>
      <c r="N5" s="831"/>
      <c r="O5" s="831"/>
      <c r="P5" s="831"/>
      <c r="Q5" s="831"/>
      <c r="R5" s="831"/>
      <c r="S5" s="831"/>
      <c r="T5" s="831"/>
    </row>
    <row r="6" spans="1:20" ht="19.5" customHeight="1">
      <c r="A6" s="831" t="s">
        <v>879</v>
      </c>
      <c r="B6" s="831"/>
      <c r="C6" s="831"/>
      <c r="D6" s="831"/>
      <c r="E6" s="831"/>
      <c r="F6" s="831"/>
      <c r="G6" s="831"/>
      <c r="H6" s="831"/>
      <c r="I6" s="831"/>
      <c r="J6" s="831"/>
      <c r="K6" s="840" t="s">
        <v>309</v>
      </c>
      <c r="L6" s="840"/>
      <c r="M6" s="840"/>
      <c r="N6" s="840"/>
      <c r="O6" s="840"/>
      <c r="P6" s="840"/>
      <c r="Q6" s="840"/>
      <c r="R6" s="840"/>
      <c r="S6" s="840"/>
      <c r="T6" s="840"/>
    </row>
    <row r="7" spans="1:20" ht="11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1.25" customHeight="1">
      <c r="A8" s="48"/>
      <c r="B8" s="48"/>
      <c r="C8" s="48"/>
      <c r="D8" s="48"/>
      <c r="E8" s="48"/>
      <c r="F8" s="48"/>
      <c r="G8" s="48"/>
      <c r="H8" s="48"/>
      <c r="I8" s="48"/>
      <c r="J8" s="2" t="s">
        <v>742</v>
      </c>
      <c r="K8" s="48"/>
      <c r="L8" s="48"/>
      <c r="M8" s="48"/>
      <c r="N8" s="48"/>
      <c r="O8" s="48"/>
      <c r="P8" s="48"/>
      <c r="Q8" s="48"/>
      <c r="R8" s="48"/>
      <c r="S8" s="48"/>
      <c r="T8" s="2" t="s">
        <v>240</v>
      </c>
    </row>
    <row r="9" spans="1:20" s="38" customFormat="1" ht="24" customHeight="1">
      <c r="A9" s="675"/>
      <c r="B9" s="881" t="s">
        <v>97</v>
      </c>
      <c r="C9" s="882"/>
      <c r="D9" s="883"/>
      <c r="E9" s="881" t="s">
        <v>98</v>
      </c>
      <c r="F9" s="882"/>
      <c r="G9" s="883"/>
      <c r="H9" s="884" t="s">
        <v>99</v>
      </c>
      <c r="I9" s="885"/>
      <c r="J9" s="886"/>
      <c r="K9" s="675"/>
      <c r="L9" s="881" t="s">
        <v>97</v>
      </c>
      <c r="M9" s="882"/>
      <c r="N9" s="883"/>
      <c r="O9" s="881" t="s">
        <v>98</v>
      </c>
      <c r="P9" s="882"/>
      <c r="Q9" s="883"/>
      <c r="R9" s="884" t="s">
        <v>99</v>
      </c>
      <c r="S9" s="885"/>
      <c r="T9" s="886"/>
    </row>
    <row r="10" spans="1:20" ht="56.25">
      <c r="A10" s="592" t="s">
        <v>193</v>
      </c>
      <c r="B10" s="676" t="s">
        <v>100</v>
      </c>
      <c r="C10" s="9" t="s">
        <v>101</v>
      </c>
      <c r="D10" s="9" t="s">
        <v>813</v>
      </c>
      <c r="E10" s="9" t="s">
        <v>100</v>
      </c>
      <c r="F10" s="9" t="s">
        <v>101</v>
      </c>
      <c r="G10" s="9" t="s">
        <v>102</v>
      </c>
      <c r="H10" s="9" t="s">
        <v>100</v>
      </c>
      <c r="I10" s="9" t="s">
        <v>101</v>
      </c>
      <c r="J10" s="9" t="s">
        <v>103</v>
      </c>
      <c r="K10" s="592" t="s">
        <v>193</v>
      </c>
      <c r="L10" s="676" t="s">
        <v>100</v>
      </c>
      <c r="M10" s="9" t="s">
        <v>101</v>
      </c>
      <c r="N10" s="9" t="s">
        <v>813</v>
      </c>
      <c r="O10" s="9" t="s">
        <v>100</v>
      </c>
      <c r="P10" s="9" t="s">
        <v>101</v>
      </c>
      <c r="Q10" s="9" t="s">
        <v>102</v>
      </c>
      <c r="R10" s="9" t="s">
        <v>100</v>
      </c>
      <c r="S10" s="9" t="s">
        <v>101</v>
      </c>
      <c r="T10" s="9" t="s">
        <v>103</v>
      </c>
    </row>
    <row r="11" spans="1:20" ht="12.75">
      <c r="A11" s="592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592">
        <v>1</v>
      </c>
      <c r="L11" s="9">
        <v>2</v>
      </c>
      <c r="M11" s="9">
        <v>3</v>
      </c>
      <c r="N11" s="9">
        <v>4</v>
      </c>
      <c r="O11" s="9">
        <v>5</v>
      </c>
      <c r="P11" s="9">
        <v>6</v>
      </c>
      <c r="Q11" s="9">
        <v>7</v>
      </c>
      <c r="R11" s="9">
        <v>8</v>
      </c>
      <c r="S11" s="9">
        <v>9</v>
      </c>
      <c r="T11" s="9">
        <v>10</v>
      </c>
    </row>
    <row r="12" spans="1:107" ht="12.75">
      <c r="A12" s="466" t="s">
        <v>12</v>
      </c>
      <c r="B12" s="396">
        <f>B17+B20+B22+B27+B31+B34</f>
        <v>28402078</v>
      </c>
      <c r="C12" s="396">
        <f>C17+C20+C22+C27+C31+C34</f>
        <v>0</v>
      </c>
      <c r="D12" s="677">
        <f>C12/B12*100</f>
        <v>0</v>
      </c>
      <c r="E12" s="396">
        <f>E17+E20+E22+E27+E31+E34</f>
        <v>24005234</v>
      </c>
      <c r="F12" s="396">
        <f>F17+F20+F22+F27+F31+F34</f>
        <v>0</v>
      </c>
      <c r="G12" s="677">
        <f>F12/E12*100</f>
        <v>0</v>
      </c>
      <c r="H12" s="396">
        <f>H17+H20+H22+H27+H31+H34</f>
        <v>73639687</v>
      </c>
      <c r="I12" s="396">
        <f>I17+I20+I22+I27+I31+I34</f>
        <v>0</v>
      </c>
      <c r="J12" s="677">
        <f>I12/H12*100</f>
        <v>0</v>
      </c>
      <c r="K12" s="94" t="s">
        <v>12</v>
      </c>
      <c r="L12" s="396">
        <f>L17+L20+L22+L27+L31+L34</f>
        <v>28402</v>
      </c>
      <c r="M12" s="396">
        <f>M17+M20+M22+M27+M31+M34</f>
        <v>0</v>
      </c>
      <c r="N12" s="677">
        <f>M12/L12*100</f>
        <v>0</v>
      </c>
      <c r="O12" s="396">
        <f>O17+O20+O22+O27+O31+O34</f>
        <v>24005</v>
      </c>
      <c r="P12" s="396">
        <f>P17+P20+P22+P27+P31+P34</f>
        <v>0</v>
      </c>
      <c r="Q12" s="677">
        <f>P12/O12*100</f>
        <v>0</v>
      </c>
      <c r="R12" s="396">
        <f>R17+R20+R22+R27+R31+R34</f>
        <v>73640</v>
      </c>
      <c r="S12" s="396">
        <f>S17+S20+S22+S27+S31+S34</f>
        <v>0</v>
      </c>
      <c r="T12" s="677">
        <f>S12/R12*100</f>
        <v>0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</row>
    <row r="13" spans="1:107" s="680" customFormat="1" ht="15" customHeight="1">
      <c r="A13" s="693" t="s">
        <v>104</v>
      </c>
      <c r="B13" s="478">
        <f>B18+B23+B28+B35</f>
        <v>5956047</v>
      </c>
      <c r="C13" s="478">
        <f>C18+C23+C28+C35</f>
        <v>0</v>
      </c>
      <c r="D13" s="568">
        <f aca="true" t="shared" si="0" ref="D13:D36">C13/B13*100</f>
        <v>0</v>
      </c>
      <c r="E13" s="478">
        <f>E18+E23+E28+E35</f>
        <v>7448246</v>
      </c>
      <c r="F13" s="478">
        <f>F18+F23+F28+F35</f>
        <v>0</v>
      </c>
      <c r="G13" s="568">
        <f aca="true" t="shared" si="1" ref="G13:G36">F13/E13*100</f>
        <v>0</v>
      </c>
      <c r="H13" s="478">
        <f>H18+H23+H28+H35</f>
        <v>40690398</v>
      </c>
      <c r="I13" s="478">
        <f>I18+I23+I28+I35</f>
        <v>0</v>
      </c>
      <c r="J13" s="568">
        <f>I13/H13*100</f>
        <v>0</v>
      </c>
      <c r="K13" s="693" t="s">
        <v>104</v>
      </c>
      <c r="L13" s="478">
        <f>L18+L23+L28+L35</f>
        <v>5956</v>
      </c>
      <c r="M13" s="478">
        <f>M18+M23+M28+M35</f>
        <v>0</v>
      </c>
      <c r="N13" s="568">
        <f aca="true" t="shared" si="2" ref="N13:N36">M13/L13*100</f>
        <v>0</v>
      </c>
      <c r="O13" s="478">
        <f>O18+O23+O28+O35</f>
        <v>7448</v>
      </c>
      <c r="P13" s="478">
        <f>P18+P23+P28+P35</f>
        <v>0</v>
      </c>
      <c r="Q13" s="568">
        <f aca="true" t="shared" si="3" ref="Q13:Q36">P13/O13*100</f>
        <v>0</v>
      </c>
      <c r="R13" s="478">
        <f>R18+R23+R28+R35</f>
        <v>40690</v>
      </c>
      <c r="S13" s="478">
        <f>S18+S23+S28+S35</f>
        <v>0</v>
      </c>
      <c r="T13" s="568">
        <f>S13/R13*100</f>
        <v>0</v>
      </c>
      <c r="U13" s="679"/>
      <c r="V13" s="679"/>
      <c r="W13" s="679"/>
      <c r="X13" s="679"/>
      <c r="Y13" s="679"/>
      <c r="Z13" s="679"/>
      <c r="AA13" s="679"/>
      <c r="AB13" s="679"/>
      <c r="AC13" s="679"/>
      <c r="AD13" s="679"/>
      <c r="AE13" s="679"/>
      <c r="AF13" s="679"/>
      <c r="AG13" s="679"/>
      <c r="AH13" s="679"/>
      <c r="AI13" s="679"/>
      <c r="AJ13" s="679"/>
      <c r="AK13" s="679"/>
      <c r="AL13" s="679"/>
      <c r="AM13" s="679"/>
      <c r="AN13" s="679"/>
      <c r="AO13" s="679"/>
      <c r="AP13" s="679"/>
      <c r="AQ13" s="679"/>
      <c r="AR13" s="679"/>
      <c r="AS13" s="679"/>
      <c r="AT13" s="679"/>
      <c r="AU13" s="679"/>
      <c r="AV13" s="679"/>
      <c r="AW13" s="679"/>
      <c r="AX13" s="679"/>
      <c r="AY13" s="679"/>
      <c r="AZ13" s="679"/>
      <c r="BA13" s="679"/>
      <c r="BB13" s="679"/>
      <c r="BC13" s="679"/>
      <c r="BD13" s="679"/>
      <c r="BE13" s="679"/>
      <c r="BF13" s="679"/>
      <c r="BG13" s="679"/>
      <c r="BH13" s="679"/>
      <c r="BI13" s="679"/>
      <c r="BJ13" s="679"/>
      <c r="BK13" s="679"/>
      <c r="BL13" s="679"/>
      <c r="BM13" s="679"/>
      <c r="BN13" s="679"/>
      <c r="BO13" s="679"/>
      <c r="BP13" s="679"/>
      <c r="BQ13" s="679"/>
      <c r="BR13" s="679"/>
      <c r="BS13" s="679"/>
      <c r="BT13" s="679"/>
      <c r="BU13" s="679"/>
      <c r="BV13" s="679"/>
      <c r="BW13" s="679"/>
      <c r="BX13" s="679"/>
      <c r="BY13" s="679"/>
      <c r="BZ13" s="679"/>
      <c r="CA13" s="679"/>
      <c r="CB13" s="679"/>
      <c r="CC13" s="679"/>
      <c r="CD13" s="679"/>
      <c r="CE13" s="679"/>
      <c r="CF13" s="679"/>
      <c r="CG13" s="679"/>
      <c r="CH13" s="679"/>
      <c r="CI13" s="679"/>
      <c r="CJ13" s="679"/>
      <c r="CK13" s="679"/>
      <c r="CL13" s="679"/>
      <c r="CM13" s="679"/>
      <c r="CN13" s="679"/>
      <c r="CO13" s="679"/>
      <c r="CP13" s="679"/>
      <c r="CQ13" s="679"/>
      <c r="CR13" s="679"/>
      <c r="CS13" s="679"/>
      <c r="CT13" s="679"/>
      <c r="CU13" s="679"/>
      <c r="CV13" s="679"/>
      <c r="CW13" s="679"/>
      <c r="CX13" s="679"/>
      <c r="CY13" s="679"/>
      <c r="CZ13" s="679"/>
      <c r="DA13" s="679"/>
      <c r="DB13" s="679"/>
      <c r="DC13" s="679"/>
    </row>
    <row r="14" spans="1:107" s="74" customFormat="1" ht="13.5" customHeight="1">
      <c r="A14" s="678" t="s">
        <v>477</v>
      </c>
      <c r="B14" s="478">
        <f>B19+B24+B29+B36</f>
        <v>3841308</v>
      </c>
      <c r="C14" s="478">
        <f>C19+C24+C29+C36</f>
        <v>0</v>
      </c>
      <c r="D14" s="568">
        <f t="shared" si="0"/>
        <v>0</v>
      </c>
      <c r="E14" s="478">
        <f>E19+E24+E29+E36</f>
        <v>3582720</v>
      </c>
      <c r="F14" s="478">
        <f>F19+F24+F29+F36</f>
        <v>0</v>
      </c>
      <c r="G14" s="568">
        <f t="shared" si="1"/>
        <v>0</v>
      </c>
      <c r="H14" s="478">
        <f>H19+H24+H29+H36</f>
        <v>7614289</v>
      </c>
      <c r="I14" s="478">
        <f>I19+I24+I29+I36</f>
        <v>0</v>
      </c>
      <c r="J14" s="568">
        <f>I14/H14*100</f>
        <v>0</v>
      </c>
      <c r="K14" s="678" t="s">
        <v>477</v>
      </c>
      <c r="L14" s="478">
        <f>L19+L24+L29+L36</f>
        <v>3841</v>
      </c>
      <c r="M14" s="478">
        <f>M19+M24+M29+M36</f>
        <v>0</v>
      </c>
      <c r="N14" s="568">
        <f t="shared" si="2"/>
        <v>0</v>
      </c>
      <c r="O14" s="478">
        <f>O19+O24+O29+O36</f>
        <v>3583</v>
      </c>
      <c r="P14" s="478">
        <f>P19+P24+P29+P36</f>
        <v>0</v>
      </c>
      <c r="Q14" s="568">
        <f t="shared" si="3"/>
        <v>0</v>
      </c>
      <c r="R14" s="478">
        <f>R19+R24+R29+R36</f>
        <v>7615</v>
      </c>
      <c r="S14" s="478">
        <f>S19+S24+S29+S36</f>
        <v>0</v>
      </c>
      <c r="T14" s="568">
        <f>S14/R14*100</f>
        <v>0</v>
      </c>
      <c r="U14" s="679"/>
      <c r="V14" s="679"/>
      <c r="W14" s="679"/>
      <c r="X14" s="679"/>
      <c r="Y14" s="679"/>
      <c r="Z14" s="679"/>
      <c r="AA14" s="679"/>
      <c r="AB14" s="679"/>
      <c r="AC14" s="679"/>
      <c r="AD14" s="679"/>
      <c r="AE14" s="679"/>
      <c r="AF14" s="679"/>
      <c r="AG14" s="679"/>
      <c r="AH14" s="679"/>
      <c r="AI14" s="679"/>
      <c r="AJ14" s="679"/>
      <c r="AK14" s="679"/>
      <c r="AL14" s="679"/>
      <c r="AM14" s="679"/>
      <c r="AN14" s="679"/>
      <c r="AO14" s="679"/>
      <c r="AP14" s="679"/>
      <c r="AQ14" s="679"/>
      <c r="AR14" s="679"/>
      <c r="AS14" s="679"/>
      <c r="AT14" s="679"/>
      <c r="AU14" s="679"/>
      <c r="AV14" s="679"/>
      <c r="AW14" s="679"/>
      <c r="AX14" s="679"/>
      <c r="AY14" s="679"/>
      <c r="AZ14" s="679"/>
      <c r="BA14" s="679"/>
      <c r="BB14" s="679"/>
      <c r="BC14" s="679"/>
      <c r="BD14" s="679"/>
      <c r="BE14" s="679"/>
      <c r="BF14" s="679"/>
      <c r="BG14" s="679"/>
      <c r="BH14" s="679"/>
      <c r="BI14" s="679"/>
      <c r="BJ14" s="679"/>
      <c r="BK14" s="679"/>
      <c r="BL14" s="679"/>
      <c r="BM14" s="679"/>
      <c r="BN14" s="679"/>
      <c r="BO14" s="679"/>
      <c r="BP14" s="679"/>
      <c r="BQ14" s="679"/>
      <c r="BR14" s="679"/>
      <c r="BS14" s="679"/>
      <c r="BT14" s="679"/>
      <c r="BU14" s="679"/>
      <c r="BV14" s="679"/>
      <c r="BW14" s="679"/>
      <c r="BX14" s="679"/>
      <c r="BY14" s="679"/>
      <c r="BZ14" s="679"/>
      <c r="CA14" s="679"/>
      <c r="CB14" s="679"/>
      <c r="CC14" s="679"/>
      <c r="CD14" s="679"/>
      <c r="CE14" s="679"/>
      <c r="CF14" s="679"/>
      <c r="CG14" s="679"/>
      <c r="CH14" s="679"/>
      <c r="CI14" s="679"/>
      <c r="CJ14" s="679"/>
      <c r="CK14" s="679"/>
      <c r="CL14" s="679"/>
      <c r="CM14" s="679"/>
      <c r="CN14" s="679"/>
      <c r="CO14" s="679"/>
      <c r="CP14" s="679"/>
      <c r="CQ14" s="679"/>
      <c r="CR14" s="679"/>
      <c r="CS14" s="679"/>
      <c r="CT14" s="679"/>
      <c r="CU14" s="679"/>
      <c r="CV14" s="679"/>
      <c r="CW14" s="679"/>
      <c r="CX14" s="679"/>
      <c r="CY14" s="679"/>
      <c r="CZ14" s="679"/>
      <c r="DA14" s="679"/>
      <c r="DB14" s="679"/>
      <c r="DC14" s="679"/>
    </row>
    <row r="15" spans="1:107" s="74" customFormat="1" ht="14.25" customHeight="1">
      <c r="A15" s="474" t="s">
        <v>105</v>
      </c>
      <c r="B15" s="478">
        <f>B25+B32</f>
        <v>94000</v>
      </c>
      <c r="C15" s="478">
        <f>C25+C32</f>
        <v>0</v>
      </c>
      <c r="D15" s="568">
        <f t="shared" si="0"/>
        <v>0</v>
      </c>
      <c r="E15" s="478">
        <f>E25+E32</f>
        <v>103000</v>
      </c>
      <c r="F15" s="478">
        <f>F25+F32</f>
        <v>0</v>
      </c>
      <c r="G15" s="568">
        <f t="shared" si="1"/>
        <v>0</v>
      </c>
      <c r="H15" s="478">
        <f>H25+H32</f>
        <v>130000</v>
      </c>
      <c r="I15" s="478">
        <f>I25+I32</f>
        <v>0</v>
      </c>
      <c r="J15" s="568">
        <f>I15/H15*100</f>
        <v>0</v>
      </c>
      <c r="K15" s="474" t="s">
        <v>105</v>
      </c>
      <c r="L15" s="478">
        <f>L25+L32</f>
        <v>94</v>
      </c>
      <c r="M15" s="478">
        <f>M25+M32</f>
        <v>0</v>
      </c>
      <c r="N15" s="568">
        <f t="shared" si="2"/>
        <v>0</v>
      </c>
      <c r="O15" s="478">
        <f>O25+O32</f>
        <v>103</v>
      </c>
      <c r="P15" s="478">
        <f>P25+P32</f>
        <v>0</v>
      </c>
      <c r="Q15" s="568">
        <f t="shared" si="3"/>
        <v>0</v>
      </c>
      <c r="R15" s="478">
        <f>R25+R32</f>
        <v>130</v>
      </c>
      <c r="S15" s="478">
        <f>S25+S32</f>
        <v>0</v>
      </c>
      <c r="T15" s="568">
        <f>S15/R15*100</f>
        <v>0</v>
      </c>
      <c r="U15" s="679"/>
      <c r="V15" s="679"/>
      <c r="W15" s="679"/>
      <c r="X15" s="679"/>
      <c r="Y15" s="679"/>
      <c r="Z15" s="679"/>
      <c r="AA15" s="679"/>
      <c r="AB15" s="679"/>
      <c r="AC15" s="679"/>
      <c r="AD15" s="679"/>
      <c r="AE15" s="679"/>
      <c r="AF15" s="679"/>
      <c r="AG15" s="679"/>
      <c r="AH15" s="679"/>
      <c r="AI15" s="679"/>
      <c r="AJ15" s="679"/>
      <c r="AK15" s="679"/>
      <c r="AL15" s="679"/>
      <c r="AM15" s="679"/>
      <c r="AN15" s="679"/>
      <c r="AO15" s="679"/>
      <c r="AP15" s="679"/>
      <c r="AQ15" s="679"/>
      <c r="AR15" s="679"/>
      <c r="AS15" s="679"/>
      <c r="AT15" s="679"/>
      <c r="AU15" s="679"/>
      <c r="AV15" s="679"/>
      <c r="AW15" s="679"/>
      <c r="AX15" s="679"/>
      <c r="AY15" s="679"/>
      <c r="AZ15" s="679"/>
      <c r="BA15" s="679"/>
      <c r="BB15" s="679"/>
      <c r="BC15" s="679"/>
      <c r="BD15" s="679"/>
      <c r="BE15" s="679"/>
      <c r="BF15" s="679"/>
      <c r="BG15" s="679"/>
      <c r="BH15" s="679"/>
      <c r="BI15" s="679"/>
      <c r="BJ15" s="679"/>
      <c r="BK15" s="679"/>
      <c r="BL15" s="679"/>
      <c r="BM15" s="679"/>
      <c r="BN15" s="679"/>
      <c r="BO15" s="679"/>
      <c r="BP15" s="679"/>
      <c r="BQ15" s="679"/>
      <c r="BR15" s="679"/>
      <c r="BS15" s="679"/>
      <c r="BT15" s="679"/>
      <c r="BU15" s="679"/>
      <c r="BV15" s="679"/>
      <c r="BW15" s="679"/>
      <c r="BX15" s="679"/>
      <c r="BY15" s="679"/>
      <c r="BZ15" s="679"/>
      <c r="CA15" s="679"/>
      <c r="CB15" s="679"/>
      <c r="CC15" s="679"/>
      <c r="CD15" s="679"/>
      <c r="CE15" s="679"/>
      <c r="CF15" s="679"/>
      <c r="CG15" s="679"/>
      <c r="CH15" s="679"/>
      <c r="CI15" s="679"/>
      <c r="CJ15" s="679"/>
      <c r="CK15" s="679"/>
      <c r="CL15" s="679"/>
      <c r="CM15" s="679"/>
      <c r="CN15" s="679"/>
      <c r="CO15" s="679"/>
      <c r="CP15" s="679"/>
      <c r="CQ15" s="679"/>
      <c r="CR15" s="679"/>
      <c r="CS15" s="679"/>
      <c r="CT15" s="679"/>
      <c r="CU15" s="679"/>
      <c r="CV15" s="679"/>
      <c r="CW15" s="679"/>
      <c r="CX15" s="679"/>
      <c r="CY15" s="679"/>
      <c r="CZ15" s="679"/>
      <c r="DA15" s="679"/>
      <c r="DB15" s="679"/>
      <c r="DC15" s="679"/>
    </row>
    <row r="16" spans="1:107" s="74" customFormat="1" ht="14.25" customHeight="1">
      <c r="A16" s="474" t="s">
        <v>712</v>
      </c>
      <c r="B16" s="478">
        <f>B21+B26+B30+B33</f>
        <v>18510723</v>
      </c>
      <c r="C16" s="478">
        <f aca="true" t="shared" si="4" ref="C16:I16">C21+C26+C30+C33</f>
        <v>0</v>
      </c>
      <c r="D16" s="568">
        <f t="shared" si="0"/>
        <v>0</v>
      </c>
      <c r="E16" s="478">
        <f t="shared" si="4"/>
        <v>12871268</v>
      </c>
      <c r="F16" s="478">
        <f t="shared" si="4"/>
        <v>0</v>
      </c>
      <c r="G16" s="568">
        <f t="shared" si="1"/>
        <v>0</v>
      </c>
      <c r="H16" s="478">
        <f t="shared" si="4"/>
        <v>25205000</v>
      </c>
      <c r="I16" s="478">
        <f t="shared" si="4"/>
        <v>0</v>
      </c>
      <c r="J16" s="568">
        <f aca="true" t="shared" si="5" ref="J16:J36">I16/H16*100</f>
        <v>0</v>
      </c>
      <c r="K16" s="474" t="s">
        <v>712</v>
      </c>
      <c r="L16" s="478">
        <f>L21+L26+L30+L33</f>
        <v>18511</v>
      </c>
      <c r="M16" s="478">
        <f aca="true" t="shared" si="6" ref="M16:S16">M21+M26+M30+M33</f>
        <v>0</v>
      </c>
      <c r="N16" s="568">
        <f t="shared" si="2"/>
        <v>0</v>
      </c>
      <c r="O16" s="478">
        <f t="shared" si="6"/>
        <v>12871</v>
      </c>
      <c r="P16" s="478">
        <f t="shared" si="6"/>
        <v>0</v>
      </c>
      <c r="Q16" s="568">
        <f t="shared" si="3"/>
        <v>0</v>
      </c>
      <c r="R16" s="478">
        <f t="shared" si="6"/>
        <v>25205</v>
      </c>
      <c r="S16" s="478">
        <f t="shared" si="6"/>
        <v>0</v>
      </c>
      <c r="T16" s="568">
        <f aca="true" t="shared" si="7" ref="T16:T36">S16/R16*100</f>
        <v>0</v>
      </c>
      <c r="U16" s="679"/>
      <c r="V16" s="679"/>
      <c r="W16" s="679"/>
      <c r="X16" s="679"/>
      <c r="Y16" s="679"/>
      <c r="Z16" s="679"/>
      <c r="AA16" s="679"/>
      <c r="AB16" s="679"/>
      <c r="AC16" s="679"/>
      <c r="AD16" s="679"/>
      <c r="AE16" s="679"/>
      <c r="AF16" s="679"/>
      <c r="AG16" s="679"/>
      <c r="AH16" s="679"/>
      <c r="AI16" s="679"/>
      <c r="AJ16" s="679"/>
      <c r="AK16" s="679"/>
      <c r="AL16" s="679"/>
      <c r="AM16" s="679"/>
      <c r="AN16" s="679"/>
      <c r="AO16" s="679"/>
      <c r="AP16" s="679"/>
      <c r="AQ16" s="679"/>
      <c r="AR16" s="679"/>
      <c r="AS16" s="679"/>
      <c r="AT16" s="679"/>
      <c r="AU16" s="679"/>
      <c r="AV16" s="679"/>
      <c r="AW16" s="679"/>
      <c r="AX16" s="679"/>
      <c r="AY16" s="679"/>
      <c r="AZ16" s="679"/>
      <c r="BA16" s="679"/>
      <c r="BB16" s="679"/>
      <c r="BC16" s="679"/>
      <c r="BD16" s="679"/>
      <c r="BE16" s="679"/>
      <c r="BF16" s="679"/>
      <c r="BG16" s="679"/>
      <c r="BH16" s="679"/>
      <c r="BI16" s="679"/>
      <c r="BJ16" s="679"/>
      <c r="BK16" s="679"/>
      <c r="BL16" s="679"/>
      <c r="BM16" s="679"/>
      <c r="BN16" s="679"/>
      <c r="BO16" s="679"/>
      <c r="BP16" s="679"/>
      <c r="BQ16" s="679"/>
      <c r="BR16" s="679"/>
      <c r="BS16" s="679"/>
      <c r="BT16" s="679"/>
      <c r="BU16" s="679"/>
      <c r="BV16" s="679"/>
      <c r="BW16" s="679"/>
      <c r="BX16" s="679"/>
      <c r="BY16" s="679"/>
      <c r="BZ16" s="679"/>
      <c r="CA16" s="679"/>
      <c r="CB16" s="679"/>
      <c r="CC16" s="679"/>
      <c r="CD16" s="679"/>
      <c r="CE16" s="679"/>
      <c r="CF16" s="679"/>
      <c r="CG16" s="679"/>
      <c r="CH16" s="679"/>
      <c r="CI16" s="679"/>
      <c r="CJ16" s="679"/>
      <c r="CK16" s="679"/>
      <c r="CL16" s="679"/>
      <c r="CM16" s="679"/>
      <c r="CN16" s="679"/>
      <c r="CO16" s="679"/>
      <c r="CP16" s="679"/>
      <c r="CQ16" s="679"/>
      <c r="CR16" s="679"/>
      <c r="CS16" s="679"/>
      <c r="CT16" s="679"/>
      <c r="CU16" s="679"/>
      <c r="CV16" s="679"/>
      <c r="CW16" s="679"/>
      <c r="CX16" s="679"/>
      <c r="CY16" s="679"/>
      <c r="CZ16" s="679"/>
      <c r="DA16" s="679"/>
      <c r="DB16" s="679"/>
      <c r="DC16" s="679"/>
    </row>
    <row r="17" spans="1:20" ht="12.75">
      <c r="A17" s="74" t="s">
        <v>414</v>
      </c>
      <c r="B17" s="480">
        <f aca="true" t="shared" si="8" ref="B17:I17">SUM(B18:B19)</f>
        <v>1297878</v>
      </c>
      <c r="C17" s="480">
        <f t="shared" si="8"/>
        <v>0</v>
      </c>
      <c r="D17" s="681">
        <f t="shared" si="0"/>
        <v>0</v>
      </c>
      <c r="E17" s="480">
        <f t="shared" si="8"/>
        <v>1496344</v>
      </c>
      <c r="F17" s="480">
        <f t="shared" si="8"/>
        <v>0</v>
      </c>
      <c r="G17" s="681">
        <f t="shared" si="1"/>
        <v>0</v>
      </c>
      <c r="H17" s="480">
        <f t="shared" si="8"/>
        <v>0</v>
      </c>
      <c r="I17" s="480">
        <f t="shared" si="8"/>
        <v>0</v>
      </c>
      <c r="J17" s="568" t="e">
        <f t="shared" si="5"/>
        <v>#DIV/0!</v>
      </c>
      <c r="K17" s="74" t="s">
        <v>414</v>
      </c>
      <c r="L17" s="480">
        <f aca="true" t="shared" si="9" ref="L17:S17">SUM(L18:L19)</f>
        <v>1298</v>
      </c>
      <c r="M17" s="480">
        <f t="shared" si="9"/>
        <v>0</v>
      </c>
      <c r="N17" s="681">
        <f t="shared" si="2"/>
        <v>0</v>
      </c>
      <c r="O17" s="480">
        <f t="shared" si="9"/>
        <v>1496</v>
      </c>
      <c r="P17" s="480">
        <f t="shared" si="9"/>
        <v>0</v>
      </c>
      <c r="Q17" s="681">
        <f t="shared" si="3"/>
        <v>0</v>
      </c>
      <c r="R17" s="480">
        <f t="shared" si="9"/>
        <v>0</v>
      </c>
      <c r="S17" s="480">
        <f t="shared" si="9"/>
        <v>0</v>
      </c>
      <c r="T17" s="681"/>
    </row>
    <row r="18" spans="1:107" s="477" customFormat="1" ht="12.75">
      <c r="A18" s="482" t="s">
        <v>104</v>
      </c>
      <c r="B18" s="27">
        <v>180888</v>
      </c>
      <c r="C18" s="27"/>
      <c r="D18" s="682">
        <f t="shared" si="0"/>
        <v>0</v>
      </c>
      <c r="E18" s="27">
        <v>379354</v>
      </c>
      <c r="F18" s="27"/>
      <c r="G18" s="682">
        <f t="shared" si="1"/>
        <v>0</v>
      </c>
      <c r="H18" s="27"/>
      <c r="I18" s="27"/>
      <c r="J18" s="568" t="e">
        <f t="shared" si="5"/>
        <v>#DIV/0!</v>
      </c>
      <c r="K18" s="482" t="s">
        <v>104</v>
      </c>
      <c r="L18" s="27">
        <f aca="true" t="shared" si="10" ref="L18:S19">ROUND(B18/1000,0)</f>
        <v>181</v>
      </c>
      <c r="M18" s="27">
        <f t="shared" si="10"/>
        <v>0</v>
      </c>
      <c r="N18" s="682">
        <f t="shared" si="2"/>
        <v>0</v>
      </c>
      <c r="O18" s="27">
        <f t="shared" si="10"/>
        <v>379</v>
      </c>
      <c r="P18" s="27">
        <f t="shared" si="10"/>
        <v>0</v>
      </c>
      <c r="Q18" s="682">
        <f t="shared" si="3"/>
        <v>0</v>
      </c>
      <c r="R18" s="27">
        <f t="shared" si="10"/>
        <v>0</v>
      </c>
      <c r="S18" s="27">
        <f t="shared" si="10"/>
        <v>0</v>
      </c>
      <c r="T18" s="682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6"/>
      <c r="BH18" s="476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6"/>
      <c r="CJ18" s="476"/>
      <c r="CK18" s="476"/>
      <c r="CL18" s="476"/>
      <c r="CM18" s="476"/>
      <c r="CN18" s="476"/>
      <c r="CO18" s="476"/>
      <c r="CP18" s="476"/>
      <c r="CQ18" s="476"/>
      <c r="CR18" s="476"/>
      <c r="CS18" s="476"/>
      <c r="CT18" s="476"/>
      <c r="CU18" s="476"/>
      <c r="CV18" s="476"/>
      <c r="CW18" s="476"/>
      <c r="CX18" s="476"/>
      <c r="CY18" s="476"/>
      <c r="CZ18" s="476"/>
      <c r="DA18" s="476"/>
      <c r="DB18" s="476"/>
      <c r="DC18" s="476"/>
    </row>
    <row r="19" spans="1:107" s="477" customFormat="1" ht="12.75">
      <c r="A19" s="482" t="s">
        <v>477</v>
      </c>
      <c r="B19" s="27">
        <v>1116990</v>
      </c>
      <c r="C19" s="27"/>
      <c r="D19" s="682">
        <f t="shared" si="0"/>
        <v>0</v>
      </c>
      <c r="E19" s="27">
        <v>1116990</v>
      </c>
      <c r="F19" s="27"/>
      <c r="G19" s="682">
        <f t="shared" si="1"/>
        <v>0</v>
      </c>
      <c r="H19" s="27"/>
      <c r="I19" s="27"/>
      <c r="J19" s="568" t="e">
        <f t="shared" si="5"/>
        <v>#DIV/0!</v>
      </c>
      <c r="K19" s="482" t="s">
        <v>477</v>
      </c>
      <c r="L19" s="27">
        <f t="shared" si="10"/>
        <v>1117</v>
      </c>
      <c r="M19" s="27">
        <f t="shared" si="10"/>
        <v>0</v>
      </c>
      <c r="N19" s="682">
        <f t="shared" si="2"/>
        <v>0</v>
      </c>
      <c r="O19" s="27">
        <f t="shared" si="10"/>
        <v>1117</v>
      </c>
      <c r="P19" s="27">
        <f t="shared" si="10"/>
        <v>0</v>
      </c>
      <c r="Q19" s="682">
        <f t="shared" si="3"/>
        <v>0</v>
      </c>
      <c r="R19" s="27">
        <f t="shared" si="10"/>
        <v>0</v>
      </c>
      <c r="S19" s="27">
        <f t="shared" si="10"/>
        <v>0</v>
      </c>
      <c r="T19" s="682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6"/>
      <c r="BH19" s="476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76"/>
      <c r="CK19" s="476"/>
      <c r="CL19" s="476"/>
      <c r="CM19" s="476"/>
      <c r="CN19" s="476"/>
      <c r="CO19" s="476"/>
      <c r="CP19" s="476"/>
      <c r="CQ19" s="476"/>
      <c r="CR19" s="476"/>
      <c r="CS19" s="476"/>
      <c r="CT19" s="476"/>
      <c r="CU19" s="476"/>
      <c r="CV19" s="476"/>
      <c r="CW19" s="476"/>
      <c r="CX19" s="476"/>
      <c r="CY19" s="476"/>
      <c r="CZ19" s="476"/>
      <c r="DA19" s="476"/>
      <c r="DB19" s="476"/>
      <c r="DC19" s="476"/>
    </row>
    <row r="20" spans="1:20" ht="12.75">
      <c r="A20" s="74" t="s">
        <v>416</v>
      </c>
      <c r="B20" s="480">
        <f aca="true" t="shared" si="11" ref="B20:I20">SUM(B21:B21)</f>
        <v>72000</v>
      </c>
      <c r="C20" s="480">
        <f t="shared" si="11"/>
        <v>0</v>
      </c>
      <c r="D20" s="681">
        <f t="shared" si="0"/>
        <v>0</v>
      </c>
      <c r="E20" s="480">
        <f t="shared" si="11"/>
        <v>68000</v>
      </c>
      <c r="F20" s="480">
        <f t="shared" si="11"/>
        <v>0</v>
      </c>
      <c r="G20" s="681">
        <f t="shared" si="1"/>
        <v>0</v>
      </c>
      <c r="H20" s="480">
        <f t="shared" si="11"/>
        <v>83000</v>
      </c>
      <c r="I20" s="480">
        <f t="shared" si="11"/>
        <v>0</v>
      </c>
      <c r="J20" s="568">
        <f t="shared" si="5"/>
        <v>0</v>
      </c>
      <c r="K20" s="74" t="s">
        <v>416</v>
      </c>
      <c r="L20" s="480">
        <f aca="true" t="shared" si="12" ref="L20:S20">SUM(L21:L21)</f>
        <v>72</v>
      </c>
      <c r="M20" s="480">
        <f t="shared" si="12"/>
        <v>0</v>
      </c>
      <c r="N20" s="681">
        <f t="shared" si="2"/>
        <v>0</v>
      </c>
      <c r="O20" s="480">
        <f t="shared" si="12"/>
        <v>68</v>
      </c>
      <c r="P20" s="480">
        <f t="shared" si="12"/>
        <v>0</v>
      </c>
      <c r="Q20" s="681">
        <f t="shared" si="3"/>
        <v>0</v>
      </c>
      <c r="R20" s="480">
        <f t="shared" si="12"/>
        <v>83</v>
      </c>
      <c r="S20" s="480">
        <f t="shared" si="12"/>
        <v>0</v>
      </c>
      <c r="T20" s="681">
        <f t="shared" si="7"/>
        <v>0</v>
      </c>
    </row>
    <row r="21" spans="1:107" s="477" customFormat="1" ht="12.75">
      <c r="A21" s="482" t="s">
        <v>712</v>
      </c>
      <c r="B21" s="27">
        <v>72000</v>
      </c>
      <c r="C21" s="27"/>
      <c r="D21" s="682">
        <f t="shared" si="0"/>
        <v>0</v>
      </c>
      <c r="E21" s="27">
        <v>68000</v>
      </c>
      <c r="F21" s="27"/>
      <c r="G21" s="682">
        <f t="shared" si="1"/>
        <v>0</v>
      </c>
      <c r="H21" s="27">
        <v>83000</v>
      </c>
      <c r="I21" s="27"/>
      <c r="J21" s="568">
        <f t="shared" si="5"/>
        <v>0</v>
      </c>
      <c r="K21" s="482" t="s">
        <v>712</v>
      </c>
      <c r="L21" s="27">
        <f aca="true" t="shared" si="13" ref="L21:S21">ROUND(B21/1000,0)</f>
        <v>72</v>
      </c>
      <c r="M21" s="27">
        <f t="shared" si="13"/>
        <v>0</v>
      </c>
      <c r="N21" s="682">
        <f t="shared" si="2"/>
        <v>0</v>
      </c>
      <c r="O21" s="27">
        <f t="shared" si="13"/>
        <v>68</v>
      </c>
      <c r="P21" s="27">
        <f t="shared" si="13"/>
        <v>0</v>
      </c>
      <c r="Q21" s="682">
        <f t="shared" si="3"/>
        <v>0</v>
      </c>
      <c r="R21" s="27">
        <f t="shared" si="13"/>
        <v>83</v>
      </c>
      <c r="S21" s="27">
        <f t="shared" si="13"/>
        <v>0</v>
      </c>
      <c r="T21" s="682">
        <f t="shared" si="7"/>
        <v>0</v>
      </c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6"/>
      <c r="BH21" s="476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6"/>
      <c r="CL21" s="476"/>
      <c r="CM21" s="476"/>
      <c r="CN21" s="476"/>
      <c r="CO21" s="476"/>
      <c r="CP21" s="476"/>
      <c r="CQ21" s="476"/>
      <c r="CR21" s="476"/>
      <c r="CS21" s="476"/>
      <c r="CT21" s="476"/>
      <c r="CU21" s="476"/>
      <c r="CV21" s="476"/>
      <c r="CW21" s="476"/>
      <c r="CX21" s="476"/>
      <c r="CY21" s="476"/>
      <c r="CZ21" s="476"/>
      <c r="DA21" s="476"/>
      <c r="DB21" s="476"/>
      <c r="DC21" s="476"/>
    </row>
    <row r="22" spans="1:20" ht="12.75">
      <c r="A22" s="74" t="s">
        <v>418</v>
      </c>
      <c r="B22" s="480">
        <f>SUM(B23:B26)</f>
        <v>16153402</v>
      </c>
      <c r="C22" s="480">
        <f aca="true" t="shared" si="14" ref="C22:I22">SUM(C23:C26)</f>
        <v>0</v>
      </c>
      <c r="D22" s="681">
        <f t="shared" si="0"/>
        <v>0</v>
      </c>
      <c r="E22" s="480">
        <f t="shared" si="14"/>
        <v>16421295</v>
      </c>
      <c r="F22" s="480">
        <f t="shared" si="14"/>
        <v>0</v>
      </c>
      <c r="G22" s="681">
        <f t="shared" si="1"/>
        <v>0</v>
      </c>
      <c r="H22" s="480">
        <f t="shared" si="14"/>
        <v>42942000</v>
      </c>
      <c r="I22" s="480">
        <f t="shared" si="14"/>
        <v>0</v>
      </c>
      <c r="J22" s="681">
        <f t="shared" si="5"/>
        <v>0</v>
      </c>
      <c r="K22" s="74" t="s">
        <v>418</v>
      </c>
      <c r="L22" s="480">
        <f aca="true" t="shared" si="15" ref="L22:S22">SUM(L23:L26)</f>
        <v>16153</v>
      </c>
      <c r="M22" s="480">
        <f t="shared" si="15"/>
        <v>0</v>
      </c>
      <c r="N22" s="681">
        <f t="shared" si="2"/>
        <v>0</v>
      </c>
      <c r="O22" s="480">
        <f t="shared" si="15"/>
        <v>16422</v>
      </c>
      <c r="P22" s="480">
        <f t="shared" si="15"/>
        <v>0</v>
      </c>
      <c r="Q22" s="681">
        <f t="shared" si="3"/>
        <v>0</v>
      </c>
      <c r="R22" s="480">
        <f t="shared" si="15"/>
        <v>42942</v>
      </c>
      <c r="S22" s="480">
        <f t="shared" si="15"/>
        <v>0</v>
      </c>
      <c r="T22" s="681">
        <f t="shared" si="7"/>
        <v>0</v>
      </c>
    </row>
    <row r="23" spans="1:107" s="477" customFormat="1" ht="12.75">
      <c r="A23" s="482" t="s">
        <v>104</v>
      </c>
      <c r="B23" s="27">
        <v>4232472</v>
      </c>
      <c r="C23" s="27"/>
      <c r="D23" s="682">
        <f t="shared" si="0"/>
        <v>0</v>
      </c>
      <c r="E23" s="27">
        <v>4740805</v>
      </c>
      <c r="F23" s="27"/>
      <c r="G23" s="682">
        <f t="shared" si="1"/>
        <v>0</v>
      </c>
      <c r="H23" s="27">
        <v>25892000</v>
      </c>
      <c r="I23" s="27"/>
      <c r="J23" s="682">
        <f t="shared" si="5"/>
        <v>0</v>
      </c>
      <c r="K23" s="482" t="s">
        <v>104</v>
      </c>
      <c r="L23" s="27">
        <f aca="true" t="shared" si="16" ref="L23:S26">ROUND(B23/1000,0)</f>
        <v>4232</v>
      </c>
      <c r="M23" s="27">
        <f t="shared" si="16"/>
        <v>0</v>
      </c>
      <c r="N23" s="682">
        <f t="shared" si="2"/>
        <v>0</v>
      </c>
      <c r="O23" s="27">
        <f t="shared" si="16"/>
        <v>4741</v>
      </c>
      <c r="P23" s="27">
        <f t="shared" si="16"/>
        <v>0</v>
      </c>
      <c r="Q23" s="682">
        <f t="shared" si="3"/>
        <v>0</v>
      </c>
      <c r="R23" s="27">
        <f t="shared" si="16"/>
        <v>25892</v>
      </c>
      <c r="S23" s="27">
        <f t="shared" si="16"/>
        <v>0</v>
      </c>
      <c r="T23" s="682">
        <f t="shared" si="7"/>
        <v>0</v>
      </c>
      <c r="U23" s="476"/>
      <c r="V23" s="476"/>
      <c r="W23" s="476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476"/>
      <c r="AP23" s="476"/>
      <c r="AQ23" s="476"/>
      <c r="AR23" s="476"/>
      <c r="AS23" s="476"/>
      <c r="AT23" s="476"/>
      <c r="AU23" s="476"/>
      <c r="AV23" s="476"/>
      <c r="AW23" s="476"/>
      <c r="AX23" s="476"/>
      <c r="AY23" s="476"/>
      <c r="AZ23" s="476"/>
      <c r="BA23" s="476"/>
      <c r="BB23" s="476"/>
      <c r="BC23" s="476"/>
      <c r="BD23" s="476"/>
      <c r="BE23" s="476"/>
      <c r="BF23" s="476"/>
      <c r="BG23" s="476"/>
      <c r="BH23" s="476"/>
      <c r="BI23" s="476"/>
      <c r="BJ23" s="476"/>
      <c r="BK23" s="476"/>
      <c r="BL23" s="476"/>
      <c r="BM23" s="476"/>
      <c r="BN23" s="476"/>
      <c r="BO23" s="476"/>
      <c r="BP23" s="476"/>
      <c r="BQ23" s="476"/>
      <c r="BR23" s="476"/>
      <c r="BS23" s="476"/>
      <c r="BT23" s="476"/>
      <c r="BU23" s="476"/>
      <c r="BV23" s="476"/>
      <c r="BW23" s="476"/>
      <c r="BX23" s="476"/>
      <c r="BY23" s="476"/>
      <c r="BZ23" s="476"/>
      <c r="CA23" s="476"/>
      <c r="CB23" s="476"/>
      <c r="CC23" s="476"/>
      <c r="CD23" s="476"/>
      <c r="CE23" s="476"/>
      <c r="CF23" s="476"/>
      <c r="CG23" s="476"/>
      <c r="CH23" s="476"/>
      <c r="CI23" s="476"/>
      <c r="CJ23" s="476"/>
      <c r="CK23" s="476"/>
      <c r="CL23" s="476"/>
      <c r="CM23" s="476"/>
      <c r="CN23" s="476"/>
      <c r="CO23" s="476"/>
      <c r="CP23" s="476"/>
      <c r="CQ23" s="476"/>
      <c r="CR23" s="476"/>
      <c r="CS23" s="476"/>
      <c r="CT23" s="476"/>
      <c r="CU23" s="476"/>
      <c r="CV23" s="476"/>
      <c r="CW23" s="476"/>
      <c r="CX23" s="476"/>
      <c r="CY23" s="476"/>
      <c r="CZ23" s="476"/>
      <c r="DA23" s="476"/>
      <c r="DB23" s="476"/>
      <c r="DC23" s="476"/>
    </row>
    <row r="24" spans="1:107" s="477" customFormat="1" ht="12.75">
      <c r="A24" s="482" t="s">
        <v>477</v>
      </c>
      <c r="B24" s="27">
        <v>1844930</v>
      </c>
      <c r="C24" s="27"/>
      <c r="D24" s="682">
        <f t="shared" si="0"/>
        <v>0</v>
      </c>
      <c r="E24" s="27">
        <v>1604490</v>
      </c>
      <c r="F24" s="27"/>
      <c r="G24" s="682">
        <f t="shared" si="1"/>
        <v>0</v>
      </c>
      <c r="H24" s="27">
        <v>5940000</v>
      </c>
      <c r="I24" s="27"/>
      <c r="J24" s="682">
        <f t="shared" si="5"/>
        <v>0</v>
      </c>
      <c r="K24" s="482" t="s">
        <v>477</v>
      </c>
      <c r="L24" s="27">
        <f t="shared" si="16"/>
        <v>1845</v>
      </c>
      <c r="M24" s="27">
        <f t="shared" si="16"/>
        <v>0</v>
      </c>
      <c r="N24" s="682">
        <f t="shared" si="2"/>
        <v>0</v>
      </c>
      <c r="O24" s="27">
        <f>ROUND(E24/1000,0)+1</f>
        <v>1605</v>
      </c>
      <c r="P24" s="27">
        <f t="shared" si="16"/>
        <v>0</v>
      </c>
      <c r="Q24" s="682">
        <f t="shared" si="3"/>
        <v>0</v>
      </c>
      <c r="R24" s="27">
        <f t="shared" si="16"/>
        <v>5940</v>
      </c>
      <c r="S24" s="27">
        <f t="shared" si="16"/>
        <v>0</v>
      </c>
      <c r="T24" s="682">
        <f t="shared" si="7"/>
        <v>0</v>
      </c>
      <c r="U24" s="476"/>
      <c r="V24" s="476"/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76"/>
      <c r="AQ24" s="476"/>
      <c r="AR24" s="476"/>
      <c r="AS24" s="476"/>
      <c r="AT24" s="476"/>
      <c r="AU24" s="476"/>
      <c r="AV24" s="476"/>
      <c r="AW24" s="476"/>
      <c r="AX24" s="476"/>
      <c r="AY24" s="476"/>
      <c r="AZ24" s="476"/>
      <c r="BA24" s="476"/>
      <c r="BB24" s="476"/>
      <c r="BC24" s="476"/>
      <c r="BD24" s="476"/>
      <c r="BE24" s="476"/>
      <c r="BF24" s="476"/>
      <c r="BG24" s="476"/>
      <c r="BH24" s="476"/>
      <c r="BI24" s="476"/>
      <c r="BJ24" s="476"/>
      <c r="BK24" s="476"/>
      <c r="BL24" s="476"/>
      <c r="BM24" s="476"/>
      <c r="BN24" s="476"/>
      <c r="BO24" s="476"/>
      <c r="BP24" s="476"/>
      <c r="BQ24" s="476"/>
      <c r="BR24" s="476"/>
      <c r="BS24" s="476"/>
      <c r="BT24" s="476"/>
      <c r="BU24" s="476"/>
      <c r="BV24" s="476"/>
      <c r="BW24" s="476"/>
      <c r="BX24" s="476"/>
      <c r="BY24" s="476"/>
      <c r="BZ24" s="476"/>
      <c r="CA24" s="476"/>
      <c r="CB24" s="476"/>
      <c r="CC24" s="476"/>
      <c r="CD24" s="476"/>
      <c r="CE24" s="476"/>
      <c r="CF24" s="476"/>
      <c r="CG24" s="476"/>
      <c r="CH24" s="476"/>
      <c r="CI24" s="476"/>
      <c r="CJ24" s="476"/>
      <c r="CK24" s="476"/>
      <c r="CL24" s="476"/>
      <c r="CM24" s="476"/>
      <c r="CN24" s="476"/>
      <c r="CO24" s="476"/>
      <c r="CP24" s="476"/>
      <c r="CQ24" s="476"/>
      <c r="CR24" s="476"/>
      <c r="CS24" s="476"/>
      <c r="CT24" s="476"/>
      <c r="CU24" s="476"/>
      <c r="CV24" s="476"/>
      <c r="CW24" s="476"/>
      <c r="CX24" s="476"/>
      <c r="CY24" s="476"/>
      <c r="CZ24" s="476"/>
      <c r="DA24" s="476"/>
      <c r="DB24" s="476"/>
      <c r="DC24" s="476"/>
    </row>
    <row r="25" spans="1:107" s="477" customFormat="1" ht="12.75">
      <c r="A25" s="482" t="s">
        <v>105</v>
      </c>
      <c r="B25" s="27">
        <v>76000</v>
      </c>
      <c r="C25" s="27"/>
      <c r="D25" s="682">
        <f t="shared" si="0"/>
        <v>0</v>
      </c>
      <c r="E25" s="27">
        <v>76000</v>
      </c>
      <c r="F25" s="27"/>
      <c r="G25" s="682">
        <f t="shared" si="1"/>
        <v>0</v>
      </c>
      <c r="H25" s="27">
        <v>76000</v>
      </c>
      <c r="I25" s="27"/>
      <c r="J25" s="682">
        <f t="shared" si="5"/>
        <v>0</v>
      </c>
      <c r="K25" s="482" t="s">
        <v>105</v>
      </c>
      <c r="L25" s="27">
        <f t="shared" si="16"/>
        <v>76</v>
      </c>
      <c r="M25" s="27">
        <f t="shared" si="16"/>
        <v>0</v>
      </c>
      <c r="N25" s="682">
        <f t="shared" si="2"/>
        <v>0</v>
      </c>
      <c r="O25" s="27">
        <f t="shared" si="16"/>
        <v>76</v>
      </c>
      <c r="P25" s="27">
        <f t="shared" si="16"/>
        <v>0</v>
      </c>
      <c r="Q25" s="682">
        <f t="shared" si="3"/>
        <v>0</v>
      </c>
      <c r="R25" s="27">
        <f t="shared" si="16"/>
        <v>76</v>
      </c>
      <c r="S25" s="27">
        <f t="shared" si="16"/>
        <v>0</v>
      </c>
      <c r="T25" s="682">
        <f t="shared" si="7"/>
        <v>0</v>
      </c>
      <c r="U25" s="476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76"/>
      <c r="AS25" s="476"/>
      <c r="AT25" s="476"/>
      <c r="AU25" s="476"/>
      <c r="AV25" s="476"/>
      <c r="AW25" s="476"/>
      <c r="AX25" s="476"/>
      <c r="AY25" s="476"/>
      <c r="AZ25" s="476"/>
      <c r="BA25" s="476"/>
      <c r="BB25" s="476"/>
      <c r="BC25" s="476"/>
      <c r="BD25" s="476"/>
      <c r="BE25" s="476"/>
      <c r="BF25" s="476"/>
      <c r="BG25" s="476"/>
      <c r="BH25" s="476"/>
      <c r="BI25" s="476"/>
      <c r="BJ25" s="476"/>
      <c r="BK25" s="476"/>
      <c r="BL25" s="476"/>
      <c r="BM25" s="476"/>
      <c r="BN25" s="476"/>
      <c r="BO25" s="476"/>
      <c r="BP25" s="476"/>
      <c r="BQ25" s="476"/>
      <c r="BR25" s="476"/>
      <c r="BS25" s="476"/>
      <c r="BT25" s="476"/>
      <c r="BU25" s="476"/>
      <c r="BV25" s="476"/>
      <c r="BW25" s="476"/>
      <c r="BX25" s="476"/>
      <c r="BY25" s="476"/>
      <c r="BZ25" s="476"/>
      <c r="CA25" s="476"/>
      <c r="CB25" s="476"/>
      <c r="CC25" s="476"/>
      <c r="CD25" s="476"/>
      <c r="CE25" s="476"/>
      <c r="CF25" s="476"/>
      <c r="CG25" s="476"/>
      <c r="CH25" s="476"/>
      <c r="CI25" s="476"/>
      <c r="CJ25" s="476"/>
      <c r="CK25" s="476"/>
      <c r="CL25" s="476"/>
      <c r="CM25" s="476"/>
      <c r="CN25" s="476"/>
      <c r="CO25" s="476"/>
      <c r="CP25" s="476"/>
      <c r="CQ25" s="476"/>
      <c r="CR25" s="476"/>
      <c r="CS25" s="476"/>
      <c r="CT25" s="476"/>
      <c r="CU25" s="476"/>
      <c r="CV25" s="476"/>
      <c r="CW25" s="476"/>
      <c r="CX25" s="476"/>
      <c r="CY25" s="476"/>
      <c r="CZ25" s="476"/>
      <c r="DA25" s="476"/>
      <c r="DB25" s="476"/>
      <c r="DC25" s="476"/>
    </row>
    <row r="26" spans="1:107" s="477" customFormat="1" ht="12.75">
      <c r="A26" s="482" t="s">
        <v>712</v>
      </c>
      <c r="B26" s="27">
        <v>10000000</v>
      </c>
      <c r="C26" s="27"/>
      <c r="D26" s="682">
        <f t="shared" si="0"/>
        <v>0</v>
      </c>
      <c r="E26" s="27">
        <v>10000000</v>
      </c>
      <c r="F26" s="27"/>
      <c r="G26" s="682">
        <f t="shared" si="1"/>
        <v>0</v>
      </c>
      <c r="H26" s="27">
        <v>11034000</v>
      </c>
      <c r="I26" s="27"/>
      <c r="J26" s="682">
        <f t="shared" si="5"/>
        <v>0</v>
      </c>
      <c r="K26" s="482" t="s">
        <v>712</v>
      </c>
      <c r="L26" s="27">
        <f t="shared" si="16"/>
        <v>10000</v>
      </c>
      <c r="M26" s="27">
        <f t="shared" si="16"/>
        <v>0</v>
      </c>
      <c r="N26" s="682">
        <f t="shared" si="2"/>
        <v>0</v>
      </c>
      <c r="O26" s="27">
        <f t="shared" si="16"/>
        <v>10000</v>
      </c>
      <c r="P26" s="27">
        <f t="shared" si="16"/>
        <v>0</v>
      </c>
      <c r="Q26" s="682">
        <f t="shared" si="3"/>
        <v>0</v>
      </c>
      <c r="R26" s="27">
        <f t="shared" si="16"/>
        <v>11034</v>
      </c>
      <c r="S26" s="27">
        <f t="shared" si="16"/>
        <v>0</v>
      </c>
      <c r="T26" s="682">
        <f t="shared" si="7"/>
        <v>0</v>
      </c>
      <c r="U26" s="476"/>
      <c r="V26" s="476"/>
      <c r="W26" s="476"/>
      <c r="X26" s="476"/>
      <c r="Y26" s="476"/>
      <c r="Z26" s="476"/>
      <c r="AA26" s="476"/>
      <c r="AB26" s="476"/>
      <c r="AC26" s="476"/>
      <c r="AD26" s="476"/>
      <c r="AE26" s="476"/>
      <c r="AF26" s="476"/>
      <c r="AG26" s="476"/>
      <c r="AH26" s="476"/>
      <c r="AI26" s="476"/>
      <c r="AJ26" s="476"/>
      <c r="AK26" s="476"/>
      <c r="AL26" s="476"/>
      <c r="AM26" s="476"/>
      <c r="AN26" s="476"/>
      <c r="AO26" s="476"/>
      <c r="AP26" s="476"/>
      <c r="AQ26" s="476"/>
      <c r="AR26" s="476"/>
      <c r="AS26" s="476"/>
      <c r="AT26" s="476"/>
      <c r="AU26" s="476"/>
      <c r="AV26" s="476"/>
      <c r="AW26" s="476"/>
      <c r="AX26" s="476"/>
      <c r="AY26" s="476"/>
      <c r="AZ26" s="476"/>
      <c r="BA26" s="476"/>
      <c r="BB26" s="476"/>
      <c r="BC26" s="476"/>
      <c r="BD26" s="476"/>
      <c r="BE26" s="476"/>
      <c r="BF26" s="476"/>
      <c r="BG26" s="476"/>
      <c r="BH26" s="476"/>
      <c r="BI26" s="476"/>
      <c r="BJ26" s="476"/>
      <c r="BK26" s="476"/>
      <c r="BL26" s="476"/>
      <c r="BM26" s="476"/>
      <c r="BN26" s="476"/>
      <c r="BO26" s="476"/>
      <c r="BP26" s="476"/>
      <c r="BQ26" s="476"/>
      <c r="BR26" s="476"/>
      <c r="BS26" s="476"/>
      <c r="BT26" s="476"/>
      <c r="BU26" s="476"/>
      <c r="BV26" s="476"/>
      <c r="BW26" s="476"/>
      <c r="BX26" s="476"/>
      <c r="BY26" s="476"/>
      <c r="BZ26" s="476"/>
      <c r="CA26" s="476"/>
      <c r="CB26" s="476"/>
      <c r="CC26" s="476"/>
      <c r="CD26" s="476"/>
      <c r="CE26" s="476"/>
      <c r="CF26" s="476"/>
      <c r="CG26" s="476"/>
      <c r="CH26" s="476"/>
      <c r="CI26" s="476"/>
      <c r="CJ26" s="476"/>
      <c r="CK26" s="476"/>
      <c r="CL26" s="476"/>
      <c r="CM26" s="476"/>
      <c r="CN26" s="476"/>
      <c r="CO26" s="476"/>
      <c r="CP26" s="476"/>
      <c r="CQ26" s="476"/>
      <c r="CR26" s="476"/>
      <c r="CS26" s="476"/>
      <c r="CT26" s="476"/>
      <c r="CU26" s="476"/>
      <c r="CV26" s="476"/>
      <c r="CW26" s="476"/>
      <c r="CX26" s="476"/>
      <c r="CY26" s="476"/>
      <c r="CZ26" s="476"/>
      <c r="DA26" s="476"/>
      <c r="DB26" s="476"/>
      <c r="DC26" s="476"/>
    </row>
    <row r="27" spans="1:20" ht="12.75">
      <c r="A27" s="74" t="s">
        <v>420</v>
      </c>
      <c r="B27" s="480">
        <f>SUM(B28:B30)</f>
        <v>10084076</v>
      </c>
      <c r="C27" s="480">
        <f aca="true" t="shared" si="17" ref="C27:I27">SUM(C28:C30)</f>
        <v>0</v>
      </c>
      <c r="D27" s="681">
        <f t="shared" si="0"/>
        <v>0</v>
      </c>
      <c r="E27" s="480">
        <f t="shared" si="17"/>
        <v>4667080</v>
      </c>
      <c r="F27" s="480">
        <f t="shared" si="17"/>
        <v>0</v>
      </c>
      <c r="G27" s="681">
        <f t="shared" si="1"/>
        <v>0</v>
      </c>
      <c r="H27" s="480">
        <f t="shared" si="17"/>
        <v>29299485</v>
      </c>
      <c r="I27" s="480">
        <f t="shared" si="17"/>
        <v>0</v>
      </c>
      <c r="J27" s="681">
        <f t="shared" si="5"/>
        <v>0</v>
      </c>
      <c r="K27" s="74" t="s">
        <v>420</v>
      </c>
      <c r="L27" s="480">
        <f aca="true" t="shared" si="18" ref="L27:S27">SUM(L28:L30)</f>
        <v>10084</v>
      </c>
      <c r="M27" s="480">
        <f t="shared" si="18"/>
        <v>0</v>
      </c>
      <c r="N27" s="681">
        <f t="shared" si="2"/>
        <v>0</v>
      </c>
      <c r="O27" s="480">
        <f t="shared" si="18"/>
        <v>4666</v>
      </c>
      <c r="P27" s="480">
        <f t="shared" si="18"/>
        <v>0</v>
      </c>
      <c r="Q27" s="681">
        <f t="shared" si="3"/>
        <v>0</v>
      </c>
      <c r="R27" s="480">
        <f t="shared" si="18"/>
        <v>29300</v>
      </c>
      <c r="S27" s="480">
        <f t="shared" si="18"/>
        <v>0</v>
      </c>
      <c r="T27" s="681">
        <f t="shared" si="7"/>
        <v>0</v>
      </c>
    </row>
    <row r="28" spans="1:107" s="477" customFormat="1" ht="12.75">
      <c r="A28" s="482" t="s">
        <v>104</v>
      </c>
      <c r="B28" s="27">
        <v>1519853</v>
      </c>
      <c r="C28" s="27"/>
      <c r="D28" s="682">
        <f t="shared" si="0"/>
        <v>0</v>
      </c>
      <c r="E28" s="27">
        <v>2305546</v>
      </c>
      <c r="F28" s="27"/>
      <c r="G28" s="682">
        <f t="shared" si="1"/>
        <v>0</v>
      </c>
      <c r="H28" s="27">
        <v>14740905</v>
      </c>
      <c r="I28" s="27"/>
      <c r="J28" s="682">
        <f t="shared" si="5"/>
        <v>0</v>
      </c>
      <c r="K28" s="482" t="s">
        <v>104</v>
      </c>
      <c r="L28" s="27">
        <f aca="true" t="shared" si="19" ref="L28:S30">ROUND(B28/1000,0)</f>
        <v>1520</v>
      </c>
      <c r="M28" s="27">
        <f t="shared" si="19"/>
        <v>0</v>
      </c>
      <c r="N28" s="682">
        <f t="shared" si="2"/>
        <v>0</v>
      </c>
      <c r="O28" s="27">
        <f>ROUND(E28/1000,0)-1</f>
        <v>2305</v>
      </c>
      <c r="P28" s="27">
        <f t="shared" si="19"/>
        <v>0</v>
      </c>
      <c r="Q28" s="682">
        <f t="shared" si="3"/>
        <v>0</v>
      </c>
      <c r="R28" s="27">
        <f>ROUND(H28/1000,0)</f>
        <v>14741</v>
      </c>
      <c r="S28" s="27">
        <f t="shared" si="19"/>
        <v>0</v>
      </c>
      <c r="T28" s="682">
        <f t="shared" si="7"/>
        <v>0</v>
      </c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6"/>
      <c r="AS28" s="476"/>
      <c r="AT28" s="476"/>
      <c r="AU28" s="476"/>
      <c r="AV28" s="476"/>
      <c r="AW28" s="476"/>
      <c r="AX28" s="476"/>
      <c r="AY28" s="476"/>
      <c r="AZ28" s="476"/>
      <c r="BA28" s="476"/>
      <c r="BB28" s="476"/>
      <c r="BC28" s="476"/>
      <c r="BD28" s="476"/>
      <c r="BE28" s="476"/>
      <c r="BF28" s="476"/>
      <c r="BG28" s="476"/>
      <c r="BH28" s="476"/>
      <c r="BI28" s="476"/>
      <c r="BJ28" s="476"/>
      <c r="BK28" s="476"/>
      <c r="BL28" s="476"/>
      <c r="BM28" s="476"/>
      <c r="BN28" s="476"/>
      <c r="BO28" s="476"/>
      <c r="BP28" s="476"/>
      <c r="BQ28" s="476"/>
      <c r="BR28" s="476"/>
      <c r="BS28" s="476"/>
      <c r="BT28" s="476"/>
      <c r="BU28" s="476"/>
      <c r="BV28" s="476"/>
      <c r="BW28" s="476"/>
      <c r="BX28" s="476"/>
      <c r="BY28" s="476"/>
      <c r="BZ28" s="476"/>
      <c r="CA28" s="476"/>
      <c r="CB28" s="476"/>
      <c r="CC28" s="476"/>
      <c r="CD28" s="476"/>
      <c r="CE28" s="476"/>
      <c r="CF28" s="476"/>
      <c r="CG28" s="476"/>
      <c r="CH28" s="476"/>
      <c r="CI28" s="476"/>
      <c r="CJ28" s="476"/>
      <c r="CK28" s="476"/>
      <c r="CL28" s="476"/>
      <c r="CM28" s="476"/>
      <c r="CN28" s="476"/>
      <c r="CO28" s="476"/>
      <c r="CP28" s="476"/>
      <c r="CQ28" s="476"/>
      <c r="CR28" s="476"/>
      <c r="CS28" s="476"/>
      <c r="CT28" s="476"/>
      <c r="CU28" s="476"/>
      <c r="CV28" s="476"/>
      <c r="CW28" s="476"/>
      <c r="CX28" s="476"/>
      <c r="CY28" s="476"/>
      <c r="CZ28" s="476"/>
      <c r="DA28" s="476"/>
      <c r="DB28" s="476"/>
      <c r="DC28" s="476"/>
    </row>
    <row r="29" spans="1:107" s="477" customFormat="1" ht="12.75">
      <c r="A29" s="482" t="s">
        <v>477</v>
      </c>
      <c r="B29" s="27">
        <v>875500</v>
      </c>
      <c r="C29" s="27"/>
      <c r="D29" s="682">
        <f t="shared" si="0"/>
        <v>0</v>
      </c>
      <c r="E29" s="27">
        <v>858266</v>
      </c>
      <c r="F29" s="27"/>
      <c r="G29" s="682">
        <f t="shared" si="1"/>
        <v>0</v>
      </c>
      <c r="H29" s="27">
        <v>1670580</v>
      </c>
      <c r="I29" s="27"/>
      <c r="J29" s="682">
        <f t="shared" si="5"/>
        <v>0</v>
      </c>
      <c r="K29" s="482" t="s">
        <v>477</v>
      </c>
      <c r="L29" s="27">
        <f>ROUND(B29/1000,0)-1</f>
        <v>875</v>
      </c>
      <c r="M29" s="27">
        <f t="shared" si="19"/>
        <v>0</v>
      </c>
      <c r="N29" s="682">
        <f t="shared" si="2"/>
        <v>0</v>
      </c>
      <c r="O29" s="27">
        <f>ROUND(E29/1000,0)</f>
        <v>858</v>
      </c>
      <c r="P29" s="27">
        <f t="shared" si="19"/>
        <v>0</v>
      </c>
      <c r="Q29" s="682">
        <f t="shared" si="3"/>
        <v>0</v>
      </c>
      <c r="R29" s="27">
        <f t="shared" si="19"/>
        <v>1671</v>
      </c>
      <c r="S29" s="27">
        <f t="shared" si="19"/>
        <v>0</v>
      </c>
      <c r="T29" s="682">
        <f t="shared" si="7"/>
        <v>0</v>
      </c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76"/>
      <c r="AP29" s="476"/>
      <c r="AQ29" s="476"/>
      <c r="AR29" s="476"/>
      <c r="AS29" s="476"/>
      <c r="AT29" s="476"/>
      <c r="AU29" s="476"/>
      <c r="AV29" s="476"/>
      <c r="AW29" s="476"/>
      <c r="AX29" s="476"/>
      <c r="AY29" s="476"/>
      <c r="AZ29" s="476"/>
      <c r="BA29" s="476"/>
      <c r="BB29" s="476"/>
      <c r="BC29" s="476"/>
      <c r="BD29" s="476"/>
      <c r="BE29" s="476"/>
      <c r="BF29" s="476"/>
      <c r="BG29" s="476"/>
      <c r="BH29" s="476"/>
      <c r="BI29" s="476"/>
      <c r="BJ29" s="476"/>
      <c r="BK29" s="476"/>
      <c r="BL29" s="476"/>
      <c r="BM29" s="476"/>
      <c r="BN29" s="476"/>
      <c r="BO29" s="476"/>
      <c r="BP29" s="476"/>
      <c r="BQ29" s="476"/>
      <c r="BR29" s="476"/>
      <c r="BS29" s="476"/>
      <c r="BT29" s="476"/>
      <c r="BU29" s="476"/>
      <c r="BV29" s="476"/>
      <c r="BW29" s="476"/>
      <c r="BX29" s="476"/>
      <c r="BY29" s="476"/>
      <c r="BZ29" s="476"/>
      <c r="CA29" s="476"/>
      <c r="CB29" s="476"/>
      <c r="CC29" s="476"/>
      <c r="CD29" s="476"/>
      <c r="CE29" s="476"/>
      <c r="CF29" s="476"/>
      <c r="CG29" s="476"/>
      <c r="CH29" s="476"/>
      <c r="CI29" s="476"/>
      <c r="CJ29" s="476"/>
      <c r="CK29" s="476"/>
      <c r="CL29" s="476"/>
      <c r="CM29" s="476"/>
      <c r="CN29" s="476"/>
      <c r="CO29" s="476"/>
      <c r="CP29" s="476"/>
      <c r="CQ29" s="476"/>
      <c r="CR29" s="476"/>
      <c r="CS29" s="476"/>
      <c r="CT29" s="476"/>
      <c r="CU29" s="476"/>
      <c r="CV29" s="476"/>
      <c r="CW29" s="476"/>
      <c r="CX29" s="476"/>
      <c r="CY29" s="476"/>
      <c r="CZ29" s="476"/>
      <c r="DA29" s="476"/>
      <c r="DB29" s="476"/>
      <c r="DC29" s="476"/>
    </row>
    <row r="30" spans="1:107" s="477" customFormat="1" ht="12.75">
      <c r="A30" s="482" t="s">
        <v>712</v>
      </c>
      <c r="B30" s="27">
        <v>7688723</v>
      </c>
      <c r="C30" s="27"/>
      <c r="D30" s="682">
        <f t="shared" si="0"/>
        <v>0</v>
      </c>
      <c r="E30" s="27">
        <v>1503268</v>
      </c>
      <c r="F30" s="27"/>
      <c r="G30" s="682">
        <f t="shared" si="1"/>
        <v>0</v>
      </c>
      <c r="H30" s="27">
        <v>12888000</v>
      </c>
      <c r="I30" s="27"/>
      <c r="J30" s="682">
        <f t="shared" si="5"/>
        <v>0</v>
      </c>
      <c r="K30" s="482" t="s">
        <v>712</v>
      </c>
      <c r="L30" s="27">
        <f t="shared" si="19"/>
        <v>7689</v>
      </c>
      <c r="M30" s="27">
        <f t="shared" si="19"/>
        <v>0</v>
      </c>
      <c r="N30" s="682">
        <f t="shared" si="2"/>
        <v>0</v>
      </c>
      <c r="O30" s="27">
        <f t="shared" si="19"/>
        <v>1503</v>
      </c>
      <c r="P30" s="27">
        <f t="shared" si="19"/>
        <v>0</v>
      </c>
      <c r="Q30" s="682">
        <f t="shared" si="3"/>
        <v>0</v>
      </c>
      <c r="R30" s="27">
        <f>ROUND(H30/1000,0)</f>
        <v>12888</v>
      </c>
      <c r="S30" s="27">
        <f t="shared" si="19"/>
        <v>0</v>
      </c>
      <c r="T30" s="682">
        <f t="shared" si="7"/>
        <v>0</v>
      </c>
      <c r="U30" s="476"/>
      <c r="V30" s="476"/>
      <c r="W30" s="476"/>
      <c r="X30" s="476"/>
      <c r="Y30" s="476"/>
      <c r="Z30" s="476"/>
      <c r="AA30" s="476"/>
      <c r="AB30" s="476"/>
      <c r="AC30" s="476"/>
      <c r="AD30" s="476"/>
      <c r="AE30" s="476"/>
      <c r="AF30" s="476"/>
      <c r="AG30" s="476"/>
      <c r="AH30" s="476"/>
      <c r="AI30" s="476"/>
      <c r="AJ30" s="476"/>
      <c r="AK30" s="476"/>
      <c r="AL30" s="476"/>
      <c r="AM30" s="476"/>
      <c r="AN30" s="476"/>
      <c r="AO30" s="476"/>
      <c r="AP30" s="476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6"/>
      <c r="BC30" s="476"/>
      <c r="BD30" s="476"/>
      <c r="BE30" s="476"/>
      <c r="BF30" s="476"/>
      <c r="BG30" s="476"/>
      <c r="BH30" s="476"/>
      <c r="BI30" s="476"/>
      <c r="BJ30" s="476"/>
      <c r="BK30" s="476"/>
      <c r="BL30" s="476"/>
      <c r="BM30" s="476"/>
      <c r="BN30" s="476"/>
      <c r="BO30" s="476"/>
      <c r="BP30" s="476"/>
      <c r="BQ30" s="476"/>
      <c r="BR30" s="476"/>
      <c r="BS30" s="476"/>
      <c r="BT30" s="476"/>
      <c r="BU30" s="476"/>
      <c r="BV30" s="476"/>
      <c r="BW30" s="476"/>
      <c r="BX30" s="476"/>
      <c r="BY30" s="476"/>
      <c r="BZ30" s="476"/>
      <c r="CA30" s="476"/>
      <c r="CB30" s="476"/>
      <c r="CC30" s="476"/>
      <c r="CD30" s="476"/>
      <c r="CE30" s="476"/>
      <c r="CF30" s="476"/>
      <c r="CG30" s="476"/>
      <c r="CH30" s="476"/>
      <c r="CI30" s="476"/>
      <c r="CJ30" s="476"/>
      <c r="CK30" s="476"/>
      <c r="CL30" s="476"/>
      <c r="CM30" s="476"/>
      <c r="CN30" s="476"/>
      <c r="CO30" s="476"/>
      <c r="CP30" s="476"/>
      <c r="CQ30" s="476"/>
      <c r="CR30" s="476"/>
      <c r="CS30" s="476"/>
      <c r="CT30" s="476"/>
      <c r="CU30" s="476"/>
      <c r="CV30" s="476"/>
      <c r="CW30" s="476"/>
      <c r="CX30" s="476"/>
      <c r="CY30" s="476"/>
      <c r="CZ30" s="476"/>
      <c r="DA30" s="476"/>
      <c r="DB30" s="476"/>
      <c r="DC30" s="476"/>
    </row>
    <row r="31" spans="1:20" s="679" customFormat="1" ht="24">
      <c r="A31" s="59" t="s">
        <v>424</v>
      </c>
      <c r="B31" s="480">
        <f>SUM(B32:B33)</f>
        <v>768000</v>
      </c>
      <c r="C31" s="480">
        <f>SUM(C32:C33)</f>
        <v>0</v>
      </c>
      <c r="D31" s="681">
        <f t="shared" si="0"/>
        <v>0</v>
      </c>
      <c r="E31" s="480">
        <f>SUM(E32:E33)</f>
        <v>1327000</v>
      </c>
      <c r="F31" s="480">
        <f>SUM(F32:F33)</f>
        <v>0</v>
      </c>
      <c r="G31" s="681">
        <f t="shared" si="1"/>
        <v>0</v>
      </c>
      <c r="H31" s="480">
        <f>SUM(H32:H33)</f>
        <v>1254000</v>
      </c>
      <c r="I31" s="480">
        <f>SUM(I32:I33)</f>
        <v>0</v>
      </c>
      <c r="J31" s="682">
        <f t="shared" si="5"/>
        <v>0</v>
      </c>
      <c r="K31" s="59" t="s">
        <v>424</v>
      </c>
      <c r="L31" s="480">
        <f>SUM(L32:L33)</f>
        <v>768</v>
      </c>
      <c r="M31" s="480">
        <f>SUM(M32:M33)</f>
        <v>0</v>
      </c>
      <c r="N31" s="681">
        <f t="shared" si="2"/>
        <v>0</v>
      </c>
      <c r="O31" s="480">
        <f>SUM(O32:O33)</f>
        <v>1327</v>
      </c>
      <c r="P31" s="480">
        <f>SUM(P32:P33)</f>
        <v>0</v>
      </c>
      <c r="Q31" s="681">
        <f t="shared" si="3"/>
        <v>0</v>
      </c>
      <c r="R31" s="480">
        <f>SUM(R32:R33)</f>
        <v>1254</v>
      </c>
      <c r="S31" s="480">
        <f>SUM(S32:S33)</f>
        <v>0</v>
      </c>
      <c r="T31" s="681">
        <f t="shared" si="7"/>
        <v>0</v>
      </c>
    </row>
    <row r="32" spans="1:107" s="477" customFormat="1" ht="12.75">
      <c r="A32" s="482" t="s">
        <v>105</v>
      </c>
      <c r="B32" s="27">
        <v>18000</v>
      </c>
      <c r="C32" s="27"/>
      <c r="D32" s="682">
        <f t="shared" si="0"/>
        <v>0</v>
      </c>
      <c r="E32" s="27">
        <v>27000</v>
      </c>
      <c r="F32" s="27"/>
      <c r="G32" s="682">
        <f t="shared" si="1"/>
        <v>0</v>
      </c>
      <c r="H32" s="27">
        <v>54000</v>
      </c>
      <c r="I32" s="27"/>
      <c r="J32" s="682">
        <f t="shared" si="5"/>
        <v>0</v>
      </c>
      <c r="K32" s="482" t="s">
        <v>105</v>
      </c>
      <c r="L32" s="27">
        <f>ROUND(B32/1000,0)</f>
        <v>18</v>
      </c>
      <c r="M32" s="27">
        <f>ROUND(C32/1000,0)</f>
        <v>0</v>
      </c>
      <c r="N32" s="682">
        <f>M32/L32*100</f>
        <v>0</v>
      </c>
      <c r="O32" s="27">
        <f>ROUND(E32/1000,0)</f>
        <v>27</v>
      </c>
      <c r="P32" s="27">
        <f>ROUND(F32/1000,0)</f>
        <v>0</v>
      </c>
      <c r="Q32" s="682">
        <f>P32/O32*100</f>
        <v>0</v>
      </c>
      <c r="R32" s="27">
        <f>ROUND(H32/1000,0)</f>
        <v>54</v>
      </c>
      <c r="S32" s="27">
        <f>ROUND(I32/1000,0)</f>
        <v>0</v>
      </c>
      <c r="T32" s="682">
        <f>S32/R32*100</f>
        <v>0</v>
      </c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6"/>
      <c r="AP32" s="476"/>
      <c r="AQ32" s="476"/>
      <c r="AR32" s="476"/>
      <c r="AS32" s="476"/>
      <c r="AT32" s="476"/>
      <c r="AU32" s="476"/>
      <c r="AV32" s="476"/>
      <c r="AW32" s="476"/>
      <c r="AX32" s="476"/>
      <c r="AY32" s="476"/>
      <c r="AZ32" s="476"/>
      <c r="BA32" s="476"/>
      <c r="BB32" s="476"/>
      <c r="BC32" s="476"/>
      <c r="BD32" s="476"/>
      <c r="BE32" s="476"/>
      <c r="BF32" s="476"/>
      <c r="BG32" s="476"/>
      <c r="BH32" s="476"/>
      <c r="BI32" s="476"/>
      <c r="BJ32" s="476"/>
      <c r="BK32" s="476"/>
      <c r="BL32" s="476"/>
      <c r="BM32" s="476"/>
      <c r="BN32" s="476"/>
      <c r="BO32" s="476"/>
      <c r="BP32" s="476"/>
      <c r="BQ32" s="476"/>
      <c r="BR32" s="476"/>
      <c r="BS32" s="476"/>
      <c r="BT32" s="476"/>
      <c r="BU32" s="476"/>
      <c r="BV32" s="476"/>
      <c r="BW32" s="476"/>
      <c r="BX32" s="476"/>
      <c r="BY32" s="476"/>
      <c r="BZ32" s="476"/>
      <c r="CA32" s="476"/>
      <c r="CB32" s="476"/>
      <c r="CC32" s="476"/>
      <c r="CD32" s="476"/>
      <c r="CE32" s="476"/>
      <c r="CF32" s="476"/>
      <c r="CG32" s="476"/>
      <c r="CH32" s="476"/>
      <c r="CI32" s="476"/>
      <c r="CJ32" s="476"/>
      <c r="CK32" s="476"/>
      <c r="CL32" s="476"/>
      <c r="CM32" s="476"/>
      <c r="CN32" s="476"/>
      <c r="CO32" s="476"/>
      <c r="CP32" s="476"/>
      <c r="CQ32" s="476"/>
      <c r="CR32" s="476"/>
      <c r="CS32" s="476"/>
      <c r="CT32" s="476"/>
      <c r="CU32" s="476"/>
      <c r="CV32" s="476"/>
      <c r="CW32" s="476"/>
      <c r="CX32" s="476"/>
      <c r="CY32" s="476"/>
      <c r="CZ32" s="476"/>
      <c r="DA32" s="476"/>
      <c r="DB32" s="476"/>
      <c r="DC32" s="476"/>
    </row>
    <row r="33" spans="1:107" s="477" customFormat="1" ht="12.75">
      <c r="A33" s="482" t="s">
        <v>712</v>
      </c>
      <c r="B33" s="27">
        <v>750000</v>
      </c>
      <c r="C33" s="27"/>
      <c r="D33" s="682">
        <f t="shared" si="0"/>
        <v>0</v>
      </c>
      <c r="E33" s="27">
        <v>1300000</v>
      </c>
      <c r="F33" s="27"/>
      <c r="G33" s="682">
        <f t="shared" si="1"/>
        <v>0</v>
      </c>
      <c r="H33" s="27">
        <v>1200000</v>
      </c>
      <c r="I33" s="27"/>
      <c r="J33" s="682">
        <f t="shared" si="5"/>
        <v>0</v>
      </c>
      <c r="K33" s="482" t="s">
        <v>712</v>
      </c>
      <c r="L33" s="27">
        <f aca="true" t="shared" si="20" ref="L33:S33">ROUND(B33/1000,0)</f>
        <v>750</v>
      </c>
      <c r="M33" s="27">
        <f t="shared" si="20"/>
        <v>0</v>
      </c>
      <c r="N33" s="682">
        <f t="shared" si="2"/>
        <v>0</v>
      </c>
      <c r="O33" s="27">
        <f t="shared" si="20"/>
        <v>1300</v>
      </c>
      <c r="P33" s="27">
        <f t="shared" si="20"/>
        <v>0</v>
      </c>
      <c r="Q33" s="682">
        <f t="shared" si="3"/>
        <v>0</v>
      </c>
      <c r="R33" s="27">
        <f t="shared" si="20"/>
        <v>1200</v>
      </c>
      <c r="S33" s="27">
        <f t="shared" si="20"/>
        <v>0</v>
      </c>
      <c r="T33" s="682">
        <f t="shared" si="7"/>
        <v>0</v>
      </c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  <c r="BQ33" s="476"/>
      <c r="BR33" s="476"/>
      <c r="BS33" s="476"/>
      <c r="BT33" s="476"/>
      <c r="BU33" s="476"/>
      <c r="BV33" s="476"/>
      <c r="BW33" s="476"/>
      <c r="BX33" s="476"/>
      <c r="BY33" s="476"/>
      <c r="BZ33" s="476"/>
      <c r="CA33" s="476"/>
      <c r="CB33" s="476"/>
      <c r="CC33" s="476"/>
      <c r="CD33" s="476"/>
      <c r="CE33" s="476"/>
      <c r="CF33" s="476"/>
      <c r="CG33" s="476"/>
      <c r="CH33" s="476"/>
      <c r="CI33" s="476"/>
      <c r="CJ33" s="476"/>
      <c r="CK33" s="476"/>
      <c r="CL33" s="476"/>
      <c r="CM33" s="476"/>
      <c r="CN33" s="476"/>
      <c r="CO33" s="476"/>
      <c r="CP33" s="476"/>
      <c r="CQ33" s="476"/>
      <c r="CR33" s="476"/>
      <c r="CS33" s="476"/>
      <c r="CT33" s="476"/>
      <c r="CU33" s="476"/>
      <c r="CV33" s="476"/>
      <c r="CW33" s="476"/>
      <c r="CX33" s="476"/>
      <c r="CY33" s="476"/>
      <c r="CZ33" s="476"/>
      <c r="DA33" s="476"/>
      <c r="DB33" s="476"/>
      <c r="DC33" s="476"/>
    </row>
    <row r="34" spans="1:20" ht="24">
      <c r="A34" s="487" t="s">
        <v>448</v>
      </c>
      <c r="B34" s="480">
        <f>SUM(B35:B36)</f>
        <v>26722</v>
      </c>
      <c r="C34" s="480">
        <f aca="true" t="shared" si="21" ref="C34:I34">SUM(C35:C36)</f>
        <v>0</v>
      </c>
      <c r="D34" s="681">
        <f t="shared" si="0"/>
        <v>0</v>
      </c>
      <c r="E34" s="480">
        <f t="shared" si="21"/>
        <v>25515</v>
      </c>
      <c r="F34" s="480">
        <f t="shared" si="21"/>
        <v>0</v>
      </c>
      <c r="G34" s="681">
        <f t="shared" si="1"/>
        <v>0</v>
      </c>
      <c r="H34" s="480">
        <f t="shared" si="21"/>
        <v>61202</v>
      </c>
      <c r="I34" s="480">
        <f t="shared" si="21"/>
        <v>0</v>
      </c>
      <c r="J34" s="682">
        <f t="shared" si="5"/>
        <v>0</v>
      </c>
      <c r="K34" s="487" t="s">
        <v>448</v>
      </c>
      <c r="L34" s="480">
        <f aca="true" t="shared" si="22" ref="L34:S34">SUM(L35:L36)</f>
        <v>27</v>
      </c>
      <c r="M34" s="480">
        <f t="shared" si="22"/>
        <v>0</v>
      </c>
      <c r="N34" s="681">
        <f t="shared" si="2"/>
        <v>0</v>
      </c>
      <c r="O34" s="480">
        <f t="shared" si="22"/>
        <v>26</v>
      </c>
      <c r="P34" s="480">
        <f t="shared" si="22"/>
        <v>0</v>
      </c>
      <c r="Q34" s="681">
        <f t="shared" si="3"/>
        <v>0</v>
      </c>
      <c r="R34" s="480">
        <f t="shared" si="22"/>
        <v>61</v>
      </c>
      <c r="S34" s="480">
        <f t="shared" si="22"/>
        <v>0</v>
      </c>
      <c r="T34" s="681">
        <f t="shared" si="7"/>
        <v>0</v>
      </c>
    </row>
    <row r="35" spans="1:107" s="477" customFormat="1" ht="12.75">
      <c r="A35" s="482" t="s">
        <v>104</v>
      </c>
      <c r="B35" s="27">
        <v>22834</v>
      </c>
      <c r="C35" s="27"/>
      <c r="D35" s="682">
        <f t="shared" si="0"/>
        <v>0</v>
      </c>
      <c r="E35" s="27">
        <v>22541</v>
      </c>
      <c r="F35" s="27"/>
      <c r="G35" s="682">
        <f t="shared" si="1"/>
        <v>0</v>
      </c>
      <c r="H35" s="27">
        <v>57493</v>
      </c>
      <c r="I35" s="27"/>
      <c r="J35" s="682">
        <f t="shared" si="5"/>
        <v>0</v>
      </c>
      <c r="K35" s="482" t="s">
        <v>104</v>
      </c>
      <c r="L35" s="27">
        <f aca="true" t="shared" si="23" ref="L35:S36">ROUND(B35/1000,0)</f>
        <v>23</v>
      </c>
      <c r="M35" s="27">
        <f t="shared" si="23"/>
        <v>0</v>
      </c>
      <c r="N35" s="682">
        <f t="shared" si="2"/>
        <v>0</v>
      </c>
      <c r="O35" s="27">
        <f t="shared" si="23"/>
        <v>23</v>
      </c>
      <c r="P35" s="27">
        <f t="shared" si="23"/>
        <v>0</v>
      </c>
      <c r="Q35" s="682">
        <f t="shared" si="3"/>
        <v>0</v>
      </c>
      <c r="R35" s="27">
        <f t="shared" si="23"/>
        <v>57</v>
      </c>
      <c r="S35" s="27">
        <f t="shared" si="23"/>
        <v>0</v>
      </c>
      <c r="T35" s="682">
        <f t="shared" si="7"/>
        <v>0</v>
      </c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6"/>
      <c r="BW35" s="476"/>
      <c r="BX35" s="476"/>
      <c r="BY35" s="476"/>
      <c r="BZ35" s="476"/>
      <c r="CA35" s="476"/>
      <c r="CB35" s="476"/>
      <c r="CC35" s="476"/>
      <c r="CD35" s="476"/>
      <c r="CE35" s="476"/>
      <c r="CF35" s="476"/>
      <c r="CG35" s="476"/>
      <c r="CH35" s="476"/>
      <c r="CI35" s="476"/>
      <c r="CJ35" s="476"/>
      <c r="CK35" s="476"/>
      <c r="CL35" s="476"/>
      <c r="CM35" s="476"/>
      <c r="CN35" s="476"/>
      <c r="CO35" s="476"/>
      <c r="CP35" s="476"/>
      <c r="CQ35" s="476"/>
      <c r="CR35" s="476"/>
      <c r="CS35" s="476"/>
      <c r="CT35" s="476"/>
      <c r="CU35" s="476"/>
      <c r="CV35" s="476"/>
      <c r="CW35" s="476"/>
      <c r="CX35" s="476"/>
      <c r="CY35" s="476"/>
      <c r="CZ35" s="476"/>
      <c r="DA35" s="476"/>
      <c r="DB35" s="476"/>
      <c r="DC35" s="476"/>
    </row>
    <row r="36" spans="1:107" s="477" customFormat="1" ht="12.75">
      <c r="A36" s="482" t="s">
        <v>477</v>
      </c>
      <c r="B36" s="27">
        <v>3888</v>
      </c>
      <c r="C36" s="27"/>
      <c r="D36" s="682">
        <f t="shared" si="0"/>
        <v>0</v>
      </c>
      <c r="E36" s="27">
        <v>2974</v>
      </c>
      <c r="F36" s="27"/>
      <c r="G36" s="682">
        <f t="shared" si="1"/>
        <v>0</v>
      </c>
      <c r="H36" s="27">
        <v>3709</v>
      </c>
      <c r="I36" s="27"/>
      <c r="J36" s="682">
        <f t="shared" si="5"/>
        <v>0</v>
      </c>
      <c r="K36" s="482" t="s">
        <v>477</v>
      </c>
      <c r="L36" s="27">
        <f t="shared" si="23"/>
        <v>4</v>
      </c>
      <c r="M36" s="27">
        <f t="shared" si="23"/>
        <v>0</v>
      </c>
      <c r="N36" s="682">
        <f t="shared" si="2"/>
        <v>0</v>
      </c>
      <c r="O36" s="27">
        <f t="shared" si="23"/>
        <v>3</v>
      </c>
      <c r="P36" s="27">
        <f t="shared" si="23"/>
        <v>0</v>
      </c>
      <c r="Q36" s="682">
        <f t="shared" si="3"/>
        <v>0</v>
      </c>
      <c r="R36" s="27">
        <f t="shared" si="23"/>
        <v>4</v>
      </c>
      <c r="S36" s="27">
        <f t="shared" si="23"/>
        <v>0</v>
      </c>
      <c r="T36" s="682">
        <f t="shared" si="7"/>
        <v>0</v>
      </c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6"/>
      <c r="BD36" s="476"/>
      <c r="BE36" s="476"/>
      <c r="BF36" s="476"/>
      <c r="BG36" s="476"/>
      <c r="BH36" s="476"/>
      <c r="BI36" s="476"/>
      <c r="BJ36" s="476"/>
      <c r="BK36" s="476"/>
      <c r="BL36" s="476"/>
      <c r="BM36" s="476"/>
      <c r="BN36" s="476"/>
      <c r="BO36" s="476"/>
      <c r="BP36" s="476"/>
      <c r="BQ36" s="476"/>
      <c r="BR36" s="476"/>
      <c r="BS36" s="476"/>
      <c r="BT36" s="476"/>
      <c r="BU36" s="476"/>
      <c r="BV36" s="476"/>
      <c r="BW36" s="476"/>
      <c r="BX36" s="476"/>
      <c r="BY36" s="476"/>
      <c r="BZ36" s="476"/>
      <c r="CA36" s="476"/>
      <c r="CB36" s="476"/>
      <c r="CC36" s="476"/>
      <c r="CD36" s="476"/>
      <c r="CE36" s="476"/>
      <c r="CF36" s="476"/>
      <c r="CG36" s="476"/>
      <c r="CH36" s="476"/>
      <c r="CI36" s="476"/>
      <c r="CJ36" s="476"/>
      <c r="CK36" s="476"/>
      <c r="CL36" s="476"/>
      <c r="CM36" s="476"/>
      <c r="CN36" s="476"/>
      <c r="CO36" s="476"/>
      <c r="CP36" s="476"/>
      <c r="CQ36" s="476"/>
      <c r="CR36" s="476"/>
      <c r="CS36" s="476"/>
      <c r="CT36" s="476"/>
      <c r="CU36" s="476"/>
      <c r="CV36" s="476"/>
      <c r="CW36" s="476"/>
      <c r="CX36" s="476"/>
      <c r="CY36" s="476"/>
      <c r="CZ36" s="476"/>
      <c r="DA36" s="476"/>
      <c r="DB36" s="476"/>
      <c r="DC36" s="476"/>
    </row>
    <row r="37" spans="10:20" ht="12.75">
      <c r="J37" s="1"/>
      <c r="T37" s="1"/>
    </row>
    <row r="38" spans="1:20" ht="12.75">
      <c r="A38" s="179"/>
      <c r="B38" s="694"/>
      <c r="C38" s="695"/>
      <c r="D38" s="696"/>
      <c r="E38" s="696"/>
      <c r="F38" s="697"/>
      <c r="G38" s="697"/>
      <c r="H38" s="697"/>
      <c r="I38" s="697"/>
      <c r="J38" s="1"/>
      <c r="K38" s="179"/>
      <c r="L38" s="694"/>
      <c r="M38" s="695"/>
      <c r="N38" s="696"/>
      <c r="O38" s="696"/>
      <c r="P38" s="697"/>
      <c r="Q38" s="697"/>
      <c r="R38" s="697"/>
      <c r="S38" s="697"/>
      <c r="T38" s="1"/>
    </row>
    <row r="40" spans="1:20" ht="12.75">
      <c r="A40" s="1"/>
      <c r="B40" s="623"/>
      <c r="C40" s="638"/>
      <c r="D40" s="638"/>
      <c r="E40" s="687"/>
      <c r="F40" s="688"/>
      <c r="G40" s="688"/>
      <c r="H40" s="688"/>
      <c r="I40" s="688"/>
      <c r="J40" s="1"/>
      <c r="K40" s="1"/>
      <c r="L40" s="623"/>
      <c r="M40" s="638"/>
      <c r="N40" s="638"/>
      <c r="O40" s="687"/>
      <c r="P40" s="688"/>
      <c r="Q40" s="688"/>
      <c r="R40" s="688"/>
      <c r="S40" s="688"/>
      <c r="T40" s="1"/>
    </row>
    <row r="41" spans="1:20" ht="12.75">
      <c r="A41" s="41" t="s">
        <v>112</v>
      </c>
      <c r="B41" s="623"/>
      <c r="C41" s="638"/>
      <c r="D41" s="638"/>
      <c r="E41" s="687"/>
      <c r="F41" s="688"/>
      <c r="G41" s="688"/>
      <c r="H41" s="688"/>
      <c r="I41" s="688"/>
      <c r="J41" s="1"/>
      <c r="K41" s="41" t="s">
        <v>884</v>
      </c>
      <c r="L41" s="623"/>
      <c r="M41" s="638"/>
      <c r="N41" s="638"/>
      <c r="O41" s="687"/>
      <c r="P41" s="688"/>
      <c r="Q41" s="688"/>
      <c r="R41" s="688"/>
      <c r="S41" s="688"/>
      <c r="T41" s="1"/>
    </row>
    <row r="42" spans="2:20" ht="12.75">
      <c r="B42" s="689"/>
      <c r="C42" s="638"/>
      <c r="D42" s="690"/>
      <c r="E42" s="691"/>
      <c r="F42" s="692"/>
      <c r="G42" s="692"/>
      <c r="H42" s="692"/>
      <c r="I42" s="692"/>
      <c r="J42" s="1"/>
      <c r="L42" s="689"/>
      <c r="M42" s="638"/>
      <c r="N42" s="690"/>
      <c r="O42" s="691"/>
      <c r="P42" s="692"/>
      <c r="Q42" s="692"/>
      <c r="R42" s="692"/>
      <c r="S42" s="692"/>
      <c r="T42" s="1"/>
    </row>
    <row r="43" spans="1:11" ht="12.75">
      <c r="A43" s="1"/>
      <c r="K43" s="1"/>
    </row>
    <row r="44" spans="1:20" ht="12.75">
      <c r="A44" s="1"/>
      <c r="J44" s="1"/>
      <c r="K44" s="1"/>
      <c r="T44" s="1"/>
    </row>
    <row r="45" spans="1:20" ht="12.75">
      <c r="A45" s="1"/>
      <c r="J45" s="1"/>
      <c r="K45" s="1"/>
      <c r="T45" s="1"/>
    </row>
    <row r="46" spans="1:20" ht="12.75">
      <c r="A46" s="1"/>
      <c r="J46" s="1"/>
      <c r="K46" s="1"/>
      <c r="T46" s="1"/>
    </row>
    <row r="47" spans="10:20" ht="12.75">
      <c r="J47" s="1"/>
      <c r="T47" s="1"/>
    </row>
    <row r="48" spans="10:20" ht="12.75">
      <c r="J48" s="1"/>
      <c r="T48" s="1"/>
    </row>
    <row r="49" spans="1:20" ht="12.75">
      <c r="A49" s="1"/>
      <c r="J49" s="1"/>
      <c r="K49" s="1"/>
      <c r="T49" s="1"/>
    </row>
    <row r="50" spans="1:20" ht="12.75">
      <c r="A50" s="1"/>
      <c r="J50" s="1"/>
      <c r="K50" s="1"/>
      <c r="T50" s="1"/>
    </row>
    <row r="51" spans="1:20" ht="12.75">
      <c r="A51" s="1"/>
      <c r="J51" s="1"/>
      <c r="K51" s="1" t="s">
        <v>334</v>
      </c>
      <c r="T51" s="1"/>
    </row>
    <row r="52" spans="10:20" ht="12.75">
      <c r="J52" s="1"/>
      <c r="K52" s="1" t="s">
        <v>148</v>
      </c>
      <c r="T52" s="1"/>
    </row>
    <row r="53" spans="10:20" ht="12.75">
      <c r="J53" s="1"/>
      <c r="T53" s="1"/>
    </row>
    <row r="54" spans="10:20" ht="12.75">
      <c r="J54" s="1"/>
      <c r="T54" s="1"/>
    </row>
    <row r="55" spans="1:20" ht="12.75">
      <c r="A55" s="1"/>
      <c r="J55" s="1"/>
      <c r="T55" s="1"/>
    </row>
    <row r="56" spans="1:20" ht="12.75">
      <c r="A56" s="1"/>
      <c r="J56" s="1"/>
      <c r="T56" s="1"/>
    </row>
    <row r="57" spans="10:20" ht="12.75">
      <c r="J57" s="1"/>
      <c r="T57" s="1"/>
    </row>
    <row r="58" spans="10:20" ht="12.75">
      <c r="J58" s="1"/>
      <c r="T58" s="1"/>
    </row>
    <row r="59" spans="10:20" ht="12.75">
      <c r="J59" s="1"/>
      <c r="T59" s="1"/>
    </row>
    <row r="60" spans="10:20" ht="12.75">
      <c r="J60" s="1"/>
      <c r="T60" s="1"/>
    </row>
    <row r="61" spans="10:20" ht="12.75">
      <c r="J61" s="1"/>
      <c r="T61" s="1"/>
    </row>
    <row r="62" spans="10:20" ht="12.75">
      <c r="J62" s="1"/>
      <c r="T62" s="1"/>
    </row>
    <row r="63" spans="10:20" ht="12.75">
      <c r="J63" s="1"/>
      <c r="T63" s="1"/>
    </row>
    <row r="64" spans="10:20" ht="12.75">
      <c r="J64" s="1"/>
      <c r="T64" s="1"/>
    </row>
    <row r="65" spans="10:20" ht="12.75">
      <c r="J65" s="1"/>
      <c r="T65" s="1"/>
    </row>
    <row r="66" spans="10:20" ht="12.75">
      <c r="J66" s="1"/>
      <c r="T66" s="1"/>
    </row>
    <row r="67" spans="10:20" ht="12.75">
      <c r="J67" s="1"/>
      <c r="T67" s="1"/>
    </row>
    <row r="68" spans="10:20" ht="12.75">
      <c r="J68" s="1"/>
      <c r="T68" s="1"/>
    </row>
    <row r="69" spans="10:20" ht="12.75">
      <c r="J69" s="1"/>
      <c r="T69" s="1"/>
    </row>
    <row r="70" spans="10:20" ht="12.75">
      <c r="J70" s="1"/>
      <c r="T70" s="1"/>
    </row>
    <row r="71" spans="10:20" ht="12.75">
      <c r="J71" s="1"/>
      <c r="T71" s="1"/>
    </row>
    <row r="72" spans="10:20" ht="12.75">
      <c r="J72" s="1"/>
      <c r="T72" s="1"/>
    </row>
    <row r="73" spans="10:20" ht="12.75">
      <c r="J73" s="1"/>
      <c r="T73" s="1"/>
    </row>
    <row r="74" spans="10:20" ht="12.75">
      <c r="J74" s="1"/>
      <c r="T74" s="1"/>
    </row>
    <row r="75" spans="10:20" ht="12.75">
      <c r="J75" s="1"/>
      <c r="T75" s="1"/>
    </row>
    <row r="76" spans="10:20" ht="12.75">
      <c r="J76" s="1"/>
      <c r="T76" s="1"/>
    </row>
    <row r="77" spans="10:20" ht="12.75">
      <c r="J77" s="1"/>
      <c r="T77" s="1"/>
    </row>
    <row r="78" spans="10:20" ht="12.75">
      <c r="J78" s="1"/>
      <c r="T78" s="1"/>
    </row>
    <row r="79" spans="10:20" ht="12.75">
      <c r="J79" s="1"/>
      <c r="T79" s="1"/>
    </row>
    <row r="80" spans="10:20" ht="12.75">
      <c r="J80" s="1"/>
      <c r="T80" s="1"/>
    </row>
    <row r="81" spans="10:20" ht="12.75">
      <c r="J81" s="1"/>
      <c r="T81" s="1"/>
    </row>
    <row r="82" spans="10:20" ht="12.75">
      <c r="J82" s="1"/>
      <c r="T82" s="1"/>
    </row>
    <row r="83" spans="10:20" ht="12.75">
      <c r="J83" s="1"/>
      <c r="T83" s="1"/>
    </row>
    <row r="84" spans="10:20" ht="12.75">
      <c r="J84" s="1"/>
      <c r="T84" s="1"/>
    </row>
    <row r="85" spans="10:20" ht="12.75">
      <c r="J85" s="1"/>
      <c r="T85" s="1"/>
    </row>
    <row r="86" spans="10:20" ht="12.75">
      <c r="J86" s="1"/>
      <c r="T86" s="1"/>
    </row>
    <row r="87" spans="10:20" ht="12.75">
      <c r="J87" s="1"/>
      <c r="T87" s="1"/>
    </row>
    <row r="88" spans="10:20" ht="12.75">
      <c r="J88" s="1"/>
      <c r="T88" s="1"/>
    </row>
    <row r="89" spans="10:20" ht="12.75">
      <c r="J89" s="1"/>
      <c r="T89" s="1"/>
    </row>
    <row r="90" spans="10:20" ht="12.75">
      <c r="J90" s="1"/>
      <c r="T90" s="1"/>
    </row>
    <row r="91" spans="10:20" ht="12.75">
      <c r="J91" s="1"/>
      <c r="T91" s="1"/>
    </row>
    <row r="92" spans="10:20" ht="12.75">
      <c r="J92" s="1"/>
      <c r="T92" s="1"/>
    </row>
    <row r="93" spans="10:20" ht="12.75">
      <c r="J93" s="1"/>
      <c r="T93" s="1"/>
    </row>
    <row r="94" spans="10:20" ht="12.75">
      <c r="J94" s="1"/>
      <c r="T94" s="1"/>
    </row>
    <row r="95" spans="10:20" ht="12.75">
      <c r="J95" s="1"/>
      <c r="T95" s="1"/>
    </row>
    <row r="96" spans="10:20" ht="12.75">
      <c r="J96" s="1"/>
      <c r="T96" s="1"/>
    </row>
    <row r="97" spans="10:20" ht="12.75">
      <c r="J97" s="1"/>
      <c r="T97" s="1"/>
    </row>
    <row r="98" spans="10:20" ht="12.75">
      <c r="J98" s="1"/>
      <c r="T98" s="1"/>
    </row>
    <row r="99" spans="10:20" ht="12.75">
      <c r="J99" s="1"/>
      <c r="T99" s="1"/>
    </row>
    <row r="100" spans="10:20" ht="12.75">
      <c r="J100" s="1"/>
      <c r="T100" s="1"/>
    </row>
    <row r="101" spans="10:20" ht="12.75">
      <c r="J101" s="1"/>
      <c r="T101" s="1"/>
    </row>
    <row r="102" spans="10:20" ht="12.75">
      <c r="J102" s="1"/>
      <c r="T102" s="1"/>
    </row>
    <row r="103" spans="10:20" ht="12.75">
      <c r="J103" s="1"/>
      <c r="T103" s="1"/>
    </row>
    <row r="104" spans="10:20" ht="12.75">
      <c r="J104" s="1"/>
      <c r="T104" s="1"/>
    </row>
    <row r="105" spans="10:20" ht="12.75">
      <c r="J105" s="1"/>
      <c r="T105" s="1"/>
    </row>
    <row r="106" spans="10:20" ht="12.75">
      <c r="J106" s="1"/>
      <c r="T106" s="1"/>
    </row>
    <row r="107" spans="10:20" ht="12.75">
      <c r="J107" s="1"/>
      <c r="T107" s="1"/>
    </row>
    <row r="108" spans="10:20" ht="12.75">
      <c r="J108" s="1"/>
      <c r="T108" s="1"/>
    </row>
    <row r="109" spans="10:20" ht="12.75">
      <c r="J109" s="1"/>
      <c r="T109" s="1"/>
    </row>
    <row r="110" spans="10:20" ht="12.75">
      <c r="J110" s="1"/>
      <c r="T110" s="1"/>
    </row>
    <row r="111" spans="10:20" ht="12.75">
      <c r="J111" s="1"/>
      <c r="T111" s="1"/>
    </row>
    <row r="112" spans="10:20" ht="12.75">
      <c r="J112" s="1"/>
      <c r="T112" s="1"/>
    </row>
    <row r="113" spans="10:20" ht="12.75">
      <c r="J113" s="1"/>
      <c r="T113" s="1"/>
    </row>
    <row r="114" spans="10:20" ht="12.75">
      <c r="J114" s="1"/>
      <c r="T114" s="1"/>
    </row>
    <row r="115" spans="10:20" ht="12.75">
      <c r="J115" s="1"/>
      <c r="T115" s="1"/>
    </row>
    <row r="116" spans="10:20" ht="12.75">
      <c r="J116" s="1"/>
      <c r="T116" s="1"/>
    </row>
    <row r="117" spans="10:20" ht="12.75">
      <c r="J117" s="1"/>
      <c r="T117" s="1"/>
    </row>
    <row r="118" spans="10:20" ht="12.75">
      <c r="J118" s="1"/>
      <c r="T118" s="1"/>
    </row>
    <row r="119" spans="10:20" ht="12.75">
      <c r="J119" s="1"/>
      <c r="T119" s="1"/>
    </row>
    <row r="120" spans="10:20" ht="12.75">
      <c r="J120" s="1"/>
      <c r="T120" s="1"/>
    </row>
    <row r="121" spans="10:20" ht="12.75">
      <c r="J121" s="1"/>
      <c r="T121" s="1"/>
    </row>
    <row r="122" spans="10:20" ht="12.75">
      <c r="J122" s="1"/>
      <c r="T122" s="1"/>
    </row>
    <row r="123" spans="10:20" ht="12.75">
      <c r="J123" s="1"/>
      <c r="T123" s="1"/>
    </row>
    <row r="124" spans="10:20" ht="12.75">
      <c r="J124" s="1"/>
      <c r="T124" s="1"/>
    </row>
    <row r="125" spans="10:20" ht="12.75">
      <c r="J125" s="1"/>
      <c r="T125" s="1"/>
    </row>
    <row r="126" spans="10:20" ht="12.75">
      <c r="J126" s="1"/>
      <c r="T126" s="1"/>
    </row>
    <row r="127" spans="1:2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</sheetData>
  <mergeCells count="12">
    <mergeCell ref="A4:J4"/>
    <mergeCell ref="K4:T4"/>
    <mergeCell ref="A5:J5"/>
    <mergeCell ref="K5:T5"/>
    <mergeCell ref="A6:J6"/>
    <mergeCell ref="K6:T6"/>
    <mergeCell ref="B9:D9"/>
    <mergeCell ref="E9:G9"/>
    <mergeCell ref="H9:J9"/>
    <mergeCell ref="L9:N9"/>
    <mergeCell ref="O9:Q9"/>
    <mergeCell ref="R9:T9"/>
  </mergeCells>
  <printOptions/>
  <pageMargins left="0.75" right="0.75" top="1" bottom="1" header="0.5" footer="0.5"/>
  <pageSetup firstPageNumber="54" useFirstPageNumber="1" horizontalDpi="600" verticalDpi="600" orientation="landscape" paperSize="9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I1">
      <selection activeCell="H8" sqref="H8"/>
    </sheetView>
  </sheetViews>
  <sheetFormatPr defaultColWidth="9.140625" defaultRowHeight="17.25" customHeight="1"/>
  <cols>
    <col min="1" max="1" width="43.421875" style="0" hidden="1" customWidth="1"/>
    <col min="2" max="2" width="10.8515625" style="0" hidden="1" customWidth="1"/>
    <col min="3" max="3" width="10.28125" style="0" hidden="1" customWidth="1"/>
    <col min="4" max="4" width="11.00390625" style="0" hidden="1" customWidth="1"/>
    <col min="5" max="5" width="10.28125" style="0" hidden="1" customWidth="1"/>
    <col min="6" max="6" width="11.28125" style="0" hidden="1" customWidth="1"/>
    <col min="7" max="7" width="0.13671875" style="0" customWidth="1"/>
    <col min="8" max="8" width="44.8515625" style="0" customWidth="1"/>
    <col min="9" max="9" width="9.8515625" style="0" customWidth="1"/>
    <col min="11" max="11" width="10.8515625" style="0" customWidth="1"/>
    <col min="12" max="12" width="10.57421875" style="0" customWidth="1"/>
    <col min="13" max="13" width="8.140625" style="0" customWidth="1"/>
    <col min="14" max="19" width="9.140625" style="0" hidden="1" customWidth="1"/>
  </cols>
  <sheetData>
    <row r="1" spans="6:13" ht="14.25" customHeight="1">
      <c r="F1" s="90" t="s">
        <v>336</v>
      </c>
      <c r="M1" s="90" t="s">
        <v>336</v>
      </c>
    </row>
    <row r="2" spans="1:13" ht="13.5" customHeight="1">
      <c r="A2" s="830" t="s">
        <v>337</v>
      </c>
      <c r="B2" s="830"/>
      <c r="C2" s="830"/>
      <c r="D2" s="830"/>
      <c r="E2" s="830"/>
      <c r="F2" s="830"/>
      <c r="H2" s="833" t="s">
        <v>337</v>
      </c>
      <c r="I2" s="833"/>
      <c r="J2" s="833"/>
      <c r="K2" s="833"/>
      <c r="L2" s="833"/>
      <c r="M2" s="833"/>
    </row>
    <row r="3" ht="12.75" customHeight="1"/>
    <row r="4" spans="1:13" ht="15" customHeight="1">
      <c r="A4" s="831" t="s">
        <v>338</v>
      </c>
      <c r="B4" s="831"/>
      <c r="C4" s="831"/>
      <c r="D4" s="831"/>
      <c r="E4" s="831"/>
      <c r="F4" s="831"/>
      <c r="H4" s="834" t="s">
        <v>338</v>
      </c>
      <c r="I4" s="834"/>
      <c r="J4" s="834"/>
      <c r="K4" s="834"/>
      <c r="L4" s="834"/>
      <c r="M4" s="834"/>
    </row>
    <row r="5" spans="1:12" ht="14.25" customHeight="1">
      <c r="A5" s="830" t="s">
        <v>315</v>
      </c>
      <c r="B5" s="830"/>
      <c r="C5" s="830"/>
      <c r="D5" s="830"/>
      <c r="E5" s="830"/>
      <c r="H5" s="832" t="s">
        <v>315</v>
      </c>
      <c r="I5" s="832"/>
      <c r="J5" s="832"/>
      <c r="K5" s="832"/>
      <c r="L5" s="832"/>
    </row>
    <row r="6" spans="6:13" ht="14.25" customHeight="1">
      <c r="F6" s="38" t="s">
        <v>240</v>
      </c>
      <c r="M6" s="38" t="s">
        <v>240</v>
      </c>
    </row>
    <row r="7" spans="1:13" ht="33.75">
      <c r="A7" s="9" t="s">
        <v>339</v>
      </c>
      <c r="B7" s="9" t="s">
        <v>241</v>
      </c>
      <c r="C7" s="92" t="s">
        <v>340</v>
      </c>
      <c r="D7" s="9" t="s">
        <v>242</v>
      </c>
      <c r="E7" s="9" t="s">
        <v>341</v>
      </c>
      <c r="F7" s="9" t="s">
        <v>316</v>
      </c>
      <c r="H7" s="9" t="s">
        <v>339</v>
      </c>
      <c r="I7" s="9" t="s">
        <v>241</v>
      </c>
      <c r="J7" s="92" t="s">
        <v>340</v>
      </c>
      <c r="K7" s="9" t="s">
        <v>242</v>
      </c>
      <c r="L7" s="9" t="s">
        <v>341</v>
      </c>
      <c r="M7" s="9" t="s">
        <v>317</v>
      </c>
    </row>
    <row r="8" spans="1:13" ht="13.5" customHeight="1">
      <c r="A8" s="8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H8" s="8">
        <v>1</v>
      </c>
      <c r="I8" s="93">
        <v>2</v>
      </c>
      <c r="J8" s="93">
        <v>3</v>
      </c>
      <c r="K8" s="93">
        <v>4</v>
      </c>
      <c r="L8" s="93">
        <v>5</v>
      </c>
      <c r="M8" s="93">
        <v>6</v>
      </c>
    </row>
    <row r="9" spans="1:18" ht="13.5" customHeight="1">
      <c r="A9" s="94" t="s">
        <v>342</v>
      </c>
      <c r="B9" s="95">
        <f>B10+B19+B36+B38</f>
        <v>795383031</v>
      </c>
      <c r="C9" s="96">
        <v>95.63</v>
      </c>
      <c r="D9" s="95">
        <f>D10+D19+D36+D38</f>
        <v>367529039.62</v>
      </c>
      <c r="E9" s="97">
        <f aca="true" t="shared" si="0" ref="E9:E16">IF(ISERROR(D9/B9)," ",(D9/B9))*100</f>
        <v>46.207804956301615</v>
      </c>
      <c r="F9" s="95">
        <f>F10+F19+F36+F38</f>
        <v>70224951.74999997</v>
      </c>
      <c r="H9" s="94" t="s">
        <v>342</v>
      </c>
      <c r="I9" s="98">
        <f aca="true" t="shared" si="1" ref="I9:I16">ROUND(B9/1000,0)</f>
        <v>795383</v>
      </c>
      <c r="J9" s="96">
        <f>C9</f>
        <v>95.63</v>
      </c>
      <c r="K9" s="98">
        <f>K10+K19+K36+K38</f>
        <v>367529</v>
      </c>
      <c r="L9" s="99">
        <f aca="true" t="shared" si="2" ref="L9:L16">E9</f>
        <v>46.207804956301615</v>
      </c>
      <c r="M9" s="98">
        <f>M10+M19+M36+M38</f>
        <v>70225</v>
      </c>
      <c r="P9">
        <v>367529</v>
      </c>
      <c r="Q9">
        <v>297304</v>
      </c>
      <c r="R9">
        <f aca="true" t="shared" si="3" ref="R9:R38">P9-Q9</f>
        <v>70225</v>
      </c>
    </row>
    <row r="10" spans="1:18" ht="13.5" customHeight="1">
      <c r="A10" s="100" t="s">
        <v>343</v>
      </c>
      <c r="B10" s="95">
        <f>B11+B13</f>
        <v>611912797</v>
      </c>
      <c r="C10" s="96">
        <v>94.38</v>
      </c>
      <c r="D10" s="95">
        <f>D11+D13+D17</f>
        <v>290383441.45</v>
      </c>
      <c r="E10" s="97">
        <f t="shared" si="0"/>
        <v>47.45503654665356</v>
      </c>
      <c r="F10" s="95">
        <f>F11+F13+F17</f>
        <v>56763889.69999997</v>
      </c>
      <c r="H10" s="100" t="s">
        <v>343</v>
      </c>
      <c r="I10" s="98">
        <f t="shared" si="1"/>
        <v>611913</v>
      </c>
      <c r="J10" s="96">
        <f>C10</f>
        <v>94.38</v>
      </c>
      <c r="K10" s="98">
        <f>K11+K13+K17</f>
        <v>290383</v>
      </c>
      <c r="L10" s="99">
        <f t="shared" si="2"/>
        <v>47.45503654665356</v>
      </c>
      <c r="M10" s="98">
        <f>M11+M13+M17</f>
        <v>56762</v>
      </c>
      <c r="P10">
        <v>290383</v>
      </c>
      <c r="Q10">
        <v>233621</v>
      </c>
      <c r="R10">
        <f t="shared" si="3"/>
        <v>56762</v>
      </c>
    </row>
    <row r="11" spans="1:18" ht="13.5" customHeight="1">
      <c r="A11" s="100" t="s">
        <v>344</v>
      </c>
      <c r="B11" s="95">
        <f>B12</f>
        <v>98046000</v>
      </c>
      <c r="C11" s="96">
        <v>94.4</v>
      </c>
      <c r="D11" s="95">
        <f>D12</f>
        <v>54629542.91</v>
      </c>
      <c r="E11" s="97">
        <f t="shared" si="0"/>
        <v>55.71827806335801</v>
      </c>
      <c r="F11" s="95">
        <f>F12</f>
        <v>8421369.519999996</v>
      </c>
      <c r="H11" s="100" t="s">
        <v>344</v>
      </c>
      <c r="I11" s="98">
        <f t="shared" si="1"/>
        <v>98046</v>
      </c>
      <c r="J11" s="96">
        <f>C11</f>
        <v>94.4</v>
      </c>
      <c r="K11" s="98">
        <f>ROUND(D11/1000,0)</f>
        <v>54630</v>
      </c>
      <c r="L11" s="99">
        <f t="shared" si="2"/>
        <v>55.71827806335801</v>
      </c>
      <c r="M11" s="98">
        <f>ROUND(F11/1000,0)+1</f>
        <v>8422</v>
      </c>
      <c r="P11">
        <v>54630</v>
      </c>
      <c r="Q11">
        <v>46208</v>
      </c>
      <c r="R11">
        <f t="shared" si="3"/>
        <v>8422</v>
      </c>
    </row>
    <row r="12" spans="1:18" ht="13.5" customHeight="1">
      <c r="A12" s="60" t="s">
        <v>345</v>
      </c>
      <c r="B12" s="101">
        <v>98046000</v>
      </c>
      <c r="C12" s="102">
        <v>94.39</v>
      </c>
      <c r="D12" s="103">
        <v>54629542.91</v>
      </c>
      <c r="E12" s="104">
        <f t="shared" si="0"/>
        <v>55.71827806335801</v>
      </c>
      <c r="F12" s="103">
        <f>D12-'[5]maijs'!D12</f>
        <v>8421369.519999996</v>
      </c>
      <c r="H12" s="66" t="s">
        <v>345</v>
      </c>
      <c r="I12" s="105">
        <f t="shared" si="1"/>
        <v>98046</v>
      </c>
      <c r="J12" s="106">
        <f>C12</f>
        <v>94.39</v>
      </c>
      <c r="K12" s="105">
        <f>ROUND(D12/1000,0)</f>
        <v>54630</v>
      </c>
      <c r="L12" s="107">
        <f t="shared" si="2"/>
        <v>55.71827806335801</v>
      </c>
      <c r="M12" s="105">
        <f>ROUND(F12/1000,0)+1</f>
        <v>8422</v>
      </c>
      <c r="P12">
        <v>54630</v>
      </c>
      <c r="Q12">
        <v>46208</v>
      </c>
      <c r="R12">
        <f t="shared" si="3"/>
        <v>8422</v>
      </c>
    </row>
    <row r="13" spans="1:18" ht="13.5" customHeight="1">
      <c r="A13" s="100" t="s">
        <v>346</v>
      </c>
      <c r="B13" s="95">
        <f>B14+B15+B16</f>
        <v>513866797</v>
      </c>
      <c r="C13" s="96">
        <v>99.46</v>
      </c>
      <c r="D13" s="95">
        <f>D14+D15+D16</f>
        <v>231648478.78</v>
      </c>
      <c r="E13" s="97">
        <f t="shared" si="0"/>
        <v>45.07947976642671</v>
      </c>
      <c r="F13" s="103">
        <f>D13-'[5]maijs'!D13</f>
        <v>45159521.42999998</v>
      </c>
      <c r="H13" s="100" t="s">
        <v>346</v>
      </c>
      <c r="I13" s="98">
        <f t="shared" si="1"/>
        <v>513867</v>
      </c>
      <c r="J13" s="96">
        <v>100</v>
      </c>
      <c r="K13" s="98">
        <f>K14+K15+K16</f>
        <v>231648</v>
      </c>
      <c r="L13" s="99">
        <f t="shared" si="2"/>
        <v>45.07947976642671</v>
      </c>
      <c r="M13" s="98">
        <f>M14+M15+M16</f>
        <v>45157</v>
      </c>
      <c r="P13">
        <v>231648</v>
      </c>
      <c r="Q13">
        <v>186491</v>
      </c>
      <c r="R13">
        <f t="shared" si="3"/>
        <v>45157</v>
      </c>
    </row>
    <row r="14" spans="1:18" ht="13.5" customHeight="1">
      <c r="A14" s="60" t="s">
        <v>347</v>
      </c>
      <c r="B14" s="101">
        <v>368947657</v>
      </c>
      <c r="C14" s="108">
        <v>94.92</v>
      </c>
      <c r="D14" s="103">
        <v>168160789.67</v>
      </c>
      <c r="E14" s="104">
        <f t="shared" si="0"/>
        <v>45.578495073625035</v>
      </c>
      <c r="F14" s="103">
        <f>D14-'[5]maijs'!D14</f>
        <v>32189734.179999977</v>
      </c>
      <c r="H14" s="66" t="s">
        <v>347</v>
      </c>
      <c r="I14" s="105">
        <f t="shared" si="1"/>
        <v>368948</v>
      </c>
      <c r="J14" s="106">
        <f>C14</f>
        <v>94.92</v>
      </c>
      <c r="K14" s="105">
        <f>ROUND(D14/1000,0)</f>
        <v>168161</v>
      </c>
      <c r="L14" s="107">
        <f t="shared" si="2"/>
        <v>45.578495073625035</v>
      </c>
      <c r="M14" s="105">
        <f>ROUND(F14/1000,0)</f>
        <v>32190</v>
      </c>
      <c r="P14">
        <v>168161</v>
      </c>
      <c r="Q14">
        <v>135971</v>
      </c>
      <c r="R14">
        <f t="shared" si="3"/>
        <v>32190</v>
      </c>
    </row>
    <row r="15" spans="1:18" ht="13.5" customHeight="1">
      <c r="A15" s="60" t="s">
        <v>348</v>
      </c>
      <c r="B15" s="101">
        <v>132976140</v>
      </c>
      <c r="C15" s="108">
        <v>91.26</v>
      </c>
      <c r="D15" s="103">
        <v>56081394.03</v>
      </c>
      <c r="E15" s="104">
        <f t="shared" si="0"/>
        <v>42.174027633829645</v>
      </c>
      <c r="F15" s="103">
        <f>D15-'[5]maijs'!D15</f>
        <v>11603091.07</v>
      </c>
      <c r="H15" s="66" t="s">
        <v>348</v>
      </c>
      <c r="I15" s="105">
        <f t="shared" si="1"/>
        <v>132976</v>
      </c>
      <c r="J15" s="106">
        <f>C15</f>
        <v>91.26</v>
      </c>
      <c r="K15" s="105">
        <f>ROUND(D15/1000,0)</f>
        <v>56081</v>
      </c>
      <c r="L15" s="107">
        <f t="shared" si="2"/>
        <v>42.174027633829645</v>
      </c>
      <c r="M15" s="105">
        <f>ROUND(F15/1000,0)-2</f>
        <v>11601</v>
      </c>
      <c r="P15">
        <v>56081</v>
      </c>
      <c r="Q15">
        <v>44480</v>
      </c>
      <c r="R15">
        <f t="shared" si="3"/>
        <v>11601</v>
      </c>
    </row>
    <row r="16" spans="1:18" ht="13.5" customHeight="1">
      <c r="A16" s="109" t="s">
        <v>349</v>
      </c>
      <c r="B16" s="101">
        <v>11943000</v>
      </c>
      <c r="C16" s="108">
        <v>112.2</v>
      </c>
      <c r="D16" s="103">
        <v>7406295.08</v>
      </c>
      <c r="E16" s="104">
        <f t="shared" si="0"/>
        <v>62.013690697479696</v>
      </c>
      <c r="F16" s="103">
        <f>D16-'[5]maijs'!D16</f>
        <v>1366696.1799999997</v>
      </c>
      <c r="H16" s="110" t="s">
        <v>349</v>
      </c>
      <c r="I16" s="105">
        <f t="shared" si="1"/>
        <v>11943</v>
      </c>
      <c r="J16" s="106">
        <f>C16</f>
        <v>112.2</v>
      </c>
      <c r="K16" s="105">
        <f>ROUND(D16/1000,0)</f>
        <v>7406</v>
      </c>
      <c r="L16" s="107">
        <f t="shared" si="2"/>
        <v>62.013690697479696</v>
      </c>
      <c r="M16" s="105">
        <f>ROUND(F16/1000,0)-1</f>
        <v>1366</v>
      </c>
      <c r="P16">
        <v>7406</v>
      </c>
      <c r="Q16">
        <v>6040</v>
      </c>
      <c r="R16">
        <f t="shared" si="3"/>
        <v>1366</v>
      </c>
    </row>
    <row r="17" spans="1:18" ht="13.5" customHeight="1">
      <c r="A17" s="100" t="s">
        <v>350</v>
      </c>
      <c r="B17" s="111" t="s">
        <v>199</v>
      </c>
      <c r="C17" s="112"/>
      <c r="D17" s="113">
        <v>4105419.76</v>
      </c>
      <c r="E17" s="104"/>
      <c r="F17" s="103">
        <f>D17-'[5]maijs'!D17</f>
        <v>3182998.75</v>
      </c>
      <c r="H17" s="100" t="s">
        <v>350</v>
      </c>
      <c r="I17" s="114" t="s">
        <v>199</v>
      </c>
      <c r="J17" s="106"/>
      <c r="K17" s="98">
        <f>ROUND(D17/1000,0)</f>
        <v>4105</v>
      </c>
      <c r="L17" s="99"/>
      <c r="M17" s="98">
        <f>ROUND(F17/1000,0)</f>
        <v>3183</v>
      </c>
      <c r="P17">
        <v>4105</v>
      </c>
      <c r="Q17">
        <v>922</v>
      </c>
      <c r="R17">
        <f t="shared" si="3"/>
        <v>3183</v>
      </c>
    </row>
    <row r="18" spans="1:18" ht="13.5" customHeight="1">
      <c r="A18" s="109" t="s">
        <v>351</v>
      </c>
      <c r="B18" s="115" t="s">
        <v>199</v>
      </c>
      <c r="C18" s="108"/>
      <c r="D18" s="103">
        <v>11158.77</v>
      </c>
      <c r="E18" s="104"/>
      <c r="F18" s="103">
        <f>D18-'[5]maijs'!D18</f>
        <v>3755.9300000000003</v>
      </c>
      <c r="H18" s="110" t="s">
        <v>351</v>
      </c>
      <c r="I18" s="116" t="s">
        <v>199</v>
      </c>
      <c r="J18" s="106"/>
      <c r="K18" s="117">
        <f>ROUND(D18/1000,0)</f>
        <v>11</v>
      </c>
      <c r="L18" s="715"/>
      <c r="M18" s="117">
        <f>ROUND(F18/1000,0)</f>
        <v>4</v>
      </c>
      <c r="P18">
        <v>11</v>
      </c>
      <c r="Q18">
        <v>7</v>
      </c>
      <c r="R18">
        <f t="shared" si="3"/>
        <v>4</v>
      </c>
    </row>
    <row r="19" spans="1:18" ht="13.5" customHeight="1">
      <c r="A19" s="100" t="s">
        <v>352</v>
      </c>
      <c r="B19" s="95">
        <f>B20+B21+B22+B23+B24+B25+B29+B30</f>
        <v>66652153</v>
      </c>
      <c r="C19" s="96">
        <v>100.11</v>
      </c>
      <c r="D19" s="95">
        <f>D20+D21+D22+D23+D24+D25+D29+D30</f>
        <v>33908210.22</v>
      </c>
      <c r="E19" s="97">
        <f aca="true" t="shared" si="4" ref="E19:E34">IF(ISERROR(D19/B19)," ",(D19/B19))*100</f>
        <v>50.873390721527024</v>
      </c>
      <c r="F19" s="103">
        <f>D19-'[5]maijs'!D19</f>
        <v>5309750.640000001</v>
      </c>
      <c r="H19" s="100" t="s">
        <v>352</v>
      </c>
      <c r="I19" s="98">
        <f aca="true" t="shared" si="5" ref="I19:I38">ROUND(B19/1000,0)</f>
        <v>66652</v>
      </c>
      <c r="J19" s="106">
        <f aca="true" t="shared" si="6" ref="J19:J38">C19</f>
        <v>100.11</v>
      </c>
      <c r="K19" s="98">
        <f>K20+K21+K22+K23+K24+K25+K29+K30</f>
        <v>33909</v>
      </c>
      <c r="L19" s="99">
        <f aca="true" t="shared" si="7" ref="L19:L34">E19</f>
        <v>50.873390721527024</v>
      </c>
      <c r="M19" s="98">
        <f>M20+M21+M22+M23+M24+M25+M29+M30</f>
        <v>5312</v>
      </c>
      <c r="P19">
        <v>33909</v>
      </c>
      <c r="Q19">
        <v>28597</v>
      </c>
      <c r="R19">
        <f t="shared" si="3"/>
        <v>5312</v>
      </c>
    </row>
    <row r="20" spans="1:18" ht="13.5" customHeight="1">
      <c r="A20" s="69" t="s">
        <v>353</v>
      </c>
      <c r="B20" s="101">
        <v>1250000</v>
      </c>
      <c r="C20" s="108">
        <v>105.65</v>
      </c>
      <c r="D20" s="103">
        <v>1304691.1</v>
      </c>
      <c r="E20" s="104">
        <f t="shared" si="4"/>
        <v>104.375288</v>
      </c>
      <c r="F20" s="103">
        <f>D20-'[5]maijs'!D20</f>
        <v>290423.8800000001</v>
      </c>
      <c r="H20" s="67" t="s">
        <v>353</v>
      </c>
      <c r="I20" s="105">
        <f t="shared" si="5"/>
        <v>1250</v>
      </c>
      <c r="J20" s="106">
        <f t="shared" si="6"/>
        <v>105.65</v>
      </c>
      <c r="K20" s="105">
        <f aca="true" t="shared" si="8" ref="K20:K29">ROUND(D20/1000,0)</f>
        <v>1305</v>
      </c>
      <c r="L20" s="107">
        <f t="shared" si="7"/>
        <v>104.375288</v>
      </c>
      <c r="M20" s="105">
        <f>ROUND(F20/1000,0)+1</f>
        <v>291</v>
      </c>
      <c r="P20">
        <v>1305</v>
      </c>
      <c r="Q20">
        <v>1014</v>
      </c>
      <c r="R20">
        <f t="shared" si="3"/>
        <v>291</v>
      </c>
    </row>
    <row r="21" spans="1:18" ht="13.5" customHeight="1">
      <c r="A21" s="118" t="s">
        <v>354</v>
      </c>
      <c r="B21" s="101">
        <v>14528225</v>
      </c>
      <c r="C21" s="108">
        <v>100</v>
      </c>
      <c r="D21" s="103">
        <v>7693713.97</v>
      </c>
      <c r="E21" s="104">
        <f t="shared" si="4"/>
        <v>52.95701278029491</v>
      </c>
      <c r="F21" s="103">
        <f>D21-'[5]maijs'!D21</f>
        <v>673117.29</v>
      </c>
      <c r="H21" s="119" t="s">
        <v>354</v>
      </c>
      <c r="I21" s="105">
        <f t="shared" si="5"/>
        <v>14528</v>
      </c>
      <c r="J21" s="106">
        <f t="shared" si="6"/>
        <v>100</v>
      </c>
      <c r="K21" s="105">
        <f t="shared" si="8"/>
        <v>7694</v>
      </c>
      <c r="L21" s="107">
        <f t="shared" si="7"/>
        <v>52.95701278029491</v>
      </c>
      <c r="M21" s="105">
        <f aca="true" t="shared" si="9" ref="M21:M34">ROUND(F21/1000,0)</f>
        <v>673</v>
      </c>
      <c r="P21">
        <v>7694</v>
      </c>
      <c r="Q21">
        <v>7021</v>
      </c>
      <c r="R21">
        <f t="shared" si="3"/>
        <v>673</v>
      </c>
    </row>
    <row r="22" spans="1:18" ht="12" customHeight="1">
      <c r="A22" s="69" t="s">
        <v>355</v>
      </c>
      <c r="B22" s="101">
        <v>19729654</v>
      </c>
      <c r="C22" s="108">
        <v>100</v>
      </c>
      <c r="D22" s="103">
        <v>8639786.01</v>
      </c>
      <c r="E22" s="104">
        <f t="shared" si="4"/>
        <v>43.79086430000242</v>
      </c>
      <c r="F22" s="103">
        <f>D22-'[5]maijs'!D22</f>
        <v>1757028.6099999994</v>
      </c>
      <c r="H22" s="67" t="s">
        <v>355</v>
      </c>
      <c r="I22" s="105">
        <f t="shared" si="5"/>
        <v>19730</v>
      </c>
      <c r="J22" s="106">
        <f t="shared" si="6"/>
        <v>100</v>
      </c>
      <c r="K22" s="105">
        <f>ROUND(D22/1000,0)</f>
        <v>8640</v>
      </c>
      <c r="L22" s="107">
        <f t="shared" si="7"/>
        <v>43.79086430000242</v>
      </c>
      <c r="M22" s="105">
        <f t="shared" si="9"/>
        <v>1757</v>
      </c>
      <c r="P22">
        <v>8640</v>
      </c>
      <c r="Q22">
        <v>6883</v>
      </c>
      <c r="R22">
        <f t="shared" si="3"/>
        <v>1757</v>
      </c>
    </row>
    <row r="23" spans="1:18" ht="24.75" customHeight="1">
      <c r="A23" s="69" t="s">
        <v>356</v>
      </c>
      <c r="B23" s="101">
        <v>733720</v>
      </c>
      <c r="C23" s="108">
        <v>100</v>
      </c>
      <c r="D23" s="103">
        <v>485650.78</v>
      </c>
      <c r="E23" s="104">
        <f t="shared" si="4"/>
        <v>66.19020607316143</v>
      </c>
      <c r="F23" s="103">
        <f>D23-'[5]maijs'!D23</f>
        <v>133002.23000000004</v>
      </c>
      <c r="H23" s="67" t="s">
        <v>356</v>
      </c>
      <c r="I23" s="105">
        <f t="shared" si="5"/>
        <v>734</v>
      </c>
      <c r="J23" s="106">
        <f t="shared" si="6"/>
        <v>100</v>
      </c>
      <c r="K23" s="105">
        <f t="shared" si="8"/>
        <v>486</v>
      </c>
      <c r="L23" s="107">
        <f t="shared" si="7"/>
        <v>66.19020607316143</v>
      </c>
      <c r="M23" s="105">
        <f t="shared" si="9"/>
        <v>133</v>
      </c>
      <c r="P23">
        <v>486</v>
      </c>
      <c r="Q23">
        <v>353</v>
      </c>
      <c r="R23">
        <f t="shared" si="3"/>
        <v>133</v>
      </c>
    </row>
    <row r="24" spans="1:18" ht="13.5" customHeight="1">
      <c r="A24" s="69" t="s">
        <v>357</v>
      </c>
      <c r="B24" s="101">
        <v>624000</v>
      </c>
      <c r="C24" s="108">
        <v>100</v>
      </c>
      <c r="D24" s="103">
        <v>289891.71</v>
      </c>
      <c r="E24" s="104">
        <f t="shared" si="4"/>
        <v>46.45700480769231</v>
      </c>
      <c r="F24" s="103">
        <f>D24-'[5]maijs'!D24</f>
        <v>22660.780000000028</v>
      </c>
      <c r="H24" s="67" t="s">
        <v>357</v>
      </c>
      <c r="I24" s="105">
        <f t="shared" si="5"/>
        <v>624</v>
      </c>
      <c r="J24" s="106">
        <f t="shared" si="6"/>
        <v>100</v>
      </c>
      <c r="K24" s="105">
        <f t="shared" si="8"/>
        <v>290</v>
      </c>
      <c r="L24" s="107">
        <f t="shared" si="7"/>
        <v>46.45700480769231</v>
      </c>
      <c r="M24" s="105">
        <f t="shared" si="9"/>
        <v>23</v>
      </c>
      <c r="P24">
        <v>290</v>
      </c>
      <c r="Q24">
        <v>267</v>
      </c>
      <c r="R24">
        <f t="shared" si="3"/>
        <v>23</v>
      </c>
    </row>
    <row r="25" spans="1:18" ht="13.5" customHeight="1">
      <c r="A25" s="120" t="s">
        <v>358</v>
      </c>
      <c r="B25" s="101">
        <v>6650000</v>
      </c>
      <c r="C25" s="108">
        <v>100</v>
      </c>
      <c r="D25" s="103">
        <v>4055338.56</v>
      </c>
      <c r="E25" s="104">
        <f t="shared" si="4"/>
        <v>60.98253473684211</v>
      </c>
      <c r="F25" s="103">
        <f>D25-'[5]maijs'!D25</f>
        <v>651512.5</v>
      </c>
      <c r="H25" s="121" t="s">
        <v>358</v>
      </c>
      <c r="I25" s="105">
        <f t="shared" si="5"/>
        <v>6650</v>
      </c>
      <c r="J25" s="106">
        <f t="shared" si="6"/>
        <v>100</v>
      </c>
      <c r="K25" s="105">
        <f t="shared" si="8"/>
        <v>4055</v>
      </c>
      <c r="L25" s="107">
        <f t="shared" si="7"/>
        <v>60.98253473684211</v>
      </c>
      <c r="M25" s="105">
        <f>ROUND(F25/1000,0)-1</f>
        <v>651</v>
      </c>
      <c r="P25">
        <v>4055</v>
      </c>
      <c r="Q25">
        <v>3404</v>
      </c>
      <c r="R25">
        <f t="shared" si="3"/>
        <v>651</v>
      </c>
    </row>
    <row r="26" spans="1:21" ht="24" customHeight="1">
      <c r="A26" s="122" t="s">
        <v>359</v>
      </c>
      <c r="B26" s="101">
        <v>2250000</v>
      </c>
      <c r="C26" s="108">
        <v>100</v>
      </c>
      <c r="D26" s="103">
        <v>1318726.44</v>
      </c>
      <c r="E26" s="104">
        <f t="shared" si="4"/>
        <v>58.610063999999994</v>
      </c>
      <c r="F26" s="103">
        <f>D26-'[5]maijs'!D26</f>
        <v>235202.8799999999</v>
      </c>
      <c r="H26" s="123" t="s">
        <v>360</v>
      </c>
      <c r="I26" s="105">
        <f t="shared" si="5"/>
        <v>2250</v>
      </c>
      <c r="J26" s="106">
        <f t="shared" si="6"/>
        <v>100</v>
      </c>
      <c r="K26" s="105">
        <f t="shared" si="8"/>
        <v>1319</v>
      </c>
      <c r="L26" s="107">
        <f t="shared" si="7"/>
        <v>58.610063999999994</v>
      </c>
      <c r="M26" s="105">
        <f t="shared" si="9"/>
        <v>235</v>
      </c>
      <c r="P26">
        <v>1319</v>
      </c>
      <c r="Q26">
        <v>1084</v>
      </c>
      <c r="R26">
        <f t="shared" si="3"/>
        <v>235</v>
      </c>
      <c r="U26" s="716"/>
    </row>
    <row r="27" spans="1:18" ht="25.5">
      <c r="A27" s="122" t="s">
        <v>361</v>
      </c>
      <c r="B27" s="124">
        <v>4200000</v>
      </c>
      <c r="C27" s="108">
        <v>100</v>
      </c>
      <c r="D27" s="103">
        <v>2382089.66</v>
      </c>
      <c r="E27" s="104">
        <f t="shared" si="4"/>
        <v>56.71642047619048</v>
      </c>
      <c r="F27" s="103">
        <f>D27-'[5]maijs'!D27</f>
        <v>371684.3700000001</v>
      </c>
      <c r="H27" s="123" t="s">
        <v>361</v>
      </c>
      <c r="I27" s="105">
        <f t="shared" si="5"/>
        <v>4200</v>
      </c>
      <c r="J27" s="106">
        <f t="shared" si="6"/>
        <v>100</v>
      </c>
      <c r="K27" s="105">
        <f t="shared" si="8"/>
        <v>2382</v>
      </c>
      <c r="L27" s="107">
        <f t="shared" si="7"/>
        <v>56.71642047619048</v>
      </c>
      <c r="M27" s="105">
        <f t="shared" si="9"/>
        <v>372</v>
      </c>
      <c r="P27">
        <v>2382</v>
      </c>
      <c r="Q27">
        <v>2010</v>
      </c>
      <c r="R27">
        <f t="shared" si="3"/>
        <v>372</v>
      </c>
    </row>
    <row r="28" spans="1:18" ht="14.25" customHeight="1">
      <c r="A28" s="122" t="s">
        <v>362</v>
      </c>
      <c r="B28" s="124">
        <v>200000</v>
      </c>
      <c r="C28" s="108">
        <v>100</v>
      </c>
      <c r="D28" s="103">
        <v>125252.5</v>
      </c>
      <c r="E28" s="104">
        <f t="shared" si="4"/>
        <v>62.626250000000006</v>
      </c>
      <c r="F28" s="103">
        <f>D28-'[5]maijs'!D28</f>
        <v>5512.5</v>
      </c>
      <c r="H28" s="123" t="s">
        <v>362</v>
      </c>
      <c r="I28" s="105">
        <f t="shared" si="5"/>
        <v>200</v>
      </c>
      <c r="J28" s="106">
        <f t="shared" si="6"/>
        <v>100</v>
      </c>
      <c r="K28" s="105">
        <f t="shared" si="8"/>
        <v>125</v>
      </c>
      <c r="L28" s="107">
        <f t="shared" si="7"/>
        <v>62.626250000000006</v>
      </c>
      <c r="M28" s="622">
        <f>ROUND(F28/1000,0)-1</f>
        <v>5</v>
      </c>
      <c r="P28">
        <v>125</v>
      </c>
      <c r="Q28">
        <v>120</v>
      </c>
      <c r="R28">
        <f t="shared" si="3"/>
        <v>5</v>
      </c>
    </row>
    <row r="29" spans="1:18" ht="13.5" customHeight="1">
      <c r="A29" s="60" t="s">
        <v>363</v>
      </c>
      <c r="B29" s="101">
        <v>8594225</v>
      </c>
      <c r="C29" s="108">
        <v>100</v>
      </c>
      <c r="D29" s="103">
        <v>3686282.82</v>
      </c>
      <c r="E29" s="104">
        <f t="shared" si="4"/>
        <v>42.892556571418595</v>
      </c>
      <c r="F29" s="103">
        <f>D29-'[5]maijs'!D29</f>
        <v>655227.3399999999</v>
      </c>
      <c r="H29" s="66" t="s">
        <v>363</v>
      </c>
      <c r="I29" s="105">
        <f t="shared" si="5"/>
        <v>8594</v>
      </c>
      <c r="J29" s="106">
        <f t="shared" si="6"/>
        <v>100</v>
      </c>
      <c r="K29" s="105">
        <f t="shared" si="8"/>
        <v>3686</v>
      </c>
      <c r="L29" s="107">
        <f t="shared" si="7"/>
        <v>42.892556571418595</v>
      </c>
      <c r="M29" s="105">
        <f t="shared" si="9"/>
        <v>655</v>
      </c>
      <c r="P29">
        <v>3686</v>
      </c>
      <c r="Q29">
        <v>3031</v>
      </c>
      <c r="R29">
        <f t="shared" si="3"/>
        <v>655</v>
      </c>
    </row>
    <row r="30" spans="1:18" ht="13.5" customHeight="1">
      <c r="A30" s="60" t="s">
        <v>364</v>
      </c>
      <c r="B30" s="101">
        <v>14542329</v>
      </c>
      <c r="C30" s="108">
        <v>100</v>
      </c>
      <c r="D30" s="103">
        <v>7752855.27</v>
      </c>
      <c r="E30" s="104">
        <f t="shared" si="4"/>
        <v>53.31233580260768</v>
      </c>
      <c r="F30" s="103">
        <f>D30-'[5]maijs'!D30</f>
        <v>1126778.0099999998</v>
      </c>
      <c r="H30" s="66" t="s">
        <v>364</v>
      </c>
      <c r="I30" s="105">
        <f t="shared" si="5"/>
        <v>14542</v>
      </c>
      <c r="J30" s="106">
        <f t="shared" si="6"/>
        <v>100</v>
      </c>
      <c r="K30" s="105">
        <f>ROUND(D30/1000,0)</f>
        <v>7753</v>
      </c>
      <c r="L30" s="107">
        <f t="shared" si="7"/>
        <v>53.31233580260768</v>
      </c>
      <c r="M30" s="105">
        <f>ROUND(F30/1000,0)+2</f>
        <v>1129</v>
      </c>
      <c r="P30">
        <v>7753</v>
      </c>
      <c r="Q30">
        <v>6624</v>
      </c>
      <c r="R30">
        <f t="shared" si="3"/>
        <v>1129</v>
      </c>
    </row>
    <row r="31" spans="1:18" ht="27.75" customHeight="1">
      <c r="A31" s="125" t="s">
        <v>365</v>
      </c>
      <c r="B31" s="101">
        <v>1201200</v>
      </c>
      <c r="C31" s="108">
        <v>100</v>
      </c>
      <c r="D31" s="103">
        <v>600600</v>
      </c>
      <c r="E31" s="104">
        <f t="shared" si="4"/>
        <v>50</v>
      </c>
      <c r="F31" s="103">
        <f>D31-'[5]maijs'!D31</f>
        <v>100100</v>
      </c>
      <c r="H31" s="126" t="s">
        <v>365</v>
      </c>
      <c r="I31" s="105">
        <f t="shared" si="5"/>
        <v>1201</v>
      </c>
      <c r="J31" s="106">
        <f t="shared" si="6"/>
        <v>100</v>
      </c>
      <c r="K31" s="105">
        <f>ROUND(D31/1000,0)</f>
        <v>601</v>
      </c>
      <c r="L31" s="107">
        <f t="shared" si="7"/>
        <v>50</v>
      </c>
      <c r="M31" s="105">
        <f t="shared" si="9"/>
        <v>100</v>
      </c>
      <c r="P31">
        <v>601</v>
      </c>
      <c r="Q31">
        <v>501</v>
      </c>
      <c r="R31">
        <f t="shared" si="3"/>
        <v>100</v>
      </c>
    </row>
    <row r="32" spans="1:18" ht="12.75">
      <c r="A32" s="127" t="s">
        <v>366</v>
      </c>
      <c r="B32" s="101">
        <v>8136610</v>
      </c>
      <c r="C32" s="108">
        <v>100</v>
      </c>
      <c r="D32" s="103">
        <v>4068000</v>
      </c>
      <c r="E32" s="104">
        <f t="shared" si="4"/>
        <v>49.996251510149804</v>
      </c>
      <c r="F32" s="103">
        <f>D32-'[5]maijs'!D32</f>
        <v>678000</v>
      </c>
      <c r="H32" s="128" t="s">
        <v>367</v>
      </c>
      <c r="I32" s="105">
        <f t="shared" si="5"/>
        <v>8137</v>
      </c>
      <c r="J32" s="106">
        <f t="shared" si="6"/>
        <v>100</v>
      </c>
      <c r="K32" s="105">
        <f>ROUND(D32/1000,0)</f>
        <v>4068</v>
      </c>
      <c r="L32" s="107">
        <f t="shared" si="7"/>
        <v>49.996251510149804</v>
      </c>
      <c r="M32" s="105">
        <f t="shared" si="9"/>
        <v>678</v>
      </c>
      <c r="P32">
        <v>4068</v>
      </c>
      <c r="Q32">
        <v>3390</v>
      </c>
      <c r="R32">
        <f t="shared" si="3"/>
        <v>678</v>
      </c>
    </row>
    <row r="33" spans="1:18" ht="12.75">
      <c r="A33" s="127" t="s">
        <v>368</v>
      </c>
      <c r="B33" s="101">
        <v>239519</v>
      </c>
      <c r="C33" s="108">
        <v>100</v>
      </c>
      <c r="D33" s="103">
        <v>116109</v>
      </c>
      <c r="E33" s="104">
        <f t="shared" si="4"/>
        <v>48.475903790513485</v>
      </c>
      <c r="F33" s="103">
        <f>D33-'[5]maijs'!D33</f>
        <v>19535</v>
      </c>
      <c r="H33" s="128" t="s">
        <v>369</v>
      </c>
      <c r="I33" s="105">
        <f t="shared" si="5"/>
        <v>240</v>
      </c>
      <c r="J33" s="106">
        <f t="shared" si="6"/>
        <v>100</v>
      </c>
      <c r="K33" s="105">
        <f>ROUND(D33/1000,0)</f>
        <v>116</v>
      </c>
      <c r="L33" s="107">
        <f t="shared" si="7"/>
        <v>48.475903790513485</v>
      </c>
      <c r="M33" s="105">
        <f>ROUND(F33/1000,0)-1</f>
        <v>19</v>
      </c>
      <c r="P33">
        <v>116</v>
      </c>
      <c r="Q33">
        <v>97</v>
      </c>
      <c r="R33">
        <f t="shared" si="3"/>
        <v>19</v>
      </c>
    </row>
    <row r="34" spans="1:18" ht="24" customHeight="1">
      <c r="A34" s="122" t="s">
        <v>370</v>
      </c>
      <c r="B34" s="101">
        <v>100000</v>
      </c>
      <c r="C34" s="108">
        <v>100</v>
      </c>
      <c r="D34" s="103">
        <v>100000</v>
      </c>
      <c r="E34" s="104">
        <f t="shared" si="4"/>
        <v>100</v>
      </c>
      <c r="F34" s="103">
        <f>D34-'[5]maijs'!D34</f>
        <v>0</v>
      </c>
      <c r="H34" s="123" t="s">
        <v>370</v>
      </c>
      <c r="I34" s="105">
        <f t="shared" si="5"/>
        <v>100</v>
      </c>
      <c r="J34" s="106">
        <f t="shared" si="6"/>
        <v>100</v>
      </c>
      <c r="K34" s="105">
        <f>ROUND(D34/1000,0)</f>
        <v>100</v>
      </c>
      <c r="L34" s="107">
        <f t="shared" si="7"/>
        <v>100</v>
      </c>
      <c r="M34" s="105">
        <f t="shared" si="9"/>
        <v>0</v>
      </c>
      <c r="P34">
        <v>100</v>
      </c>
      <c r="R34">
        <f t="shared" si="3"/>
        <v>100</v>
      </c>
    </row>
    <row r="35" spans="1:18" ht="15" customHeight="1">
      <c r="A35" s="118" t="s">
        <v>371</v>
      </c>
      <c r="B35" s="129">
        <v>1140000</v>
      </c>
      <c r="C35" s="108">
        <v>100</v>
      </c>
      <c r="D35" s="103"/>
      <c r="E35" s="104"/>
      <c r="F35" s="103">
        <f>D35-'[5]maijs'!D35</f>
        <v>0</v>
      </c>
      <c r="H35" s="119" t="s">
        <v>371</v>
      </c>
      <c r="I35" s="105">
        <f t="shared" si="5"/>
        <v>1140</v>
      </c>
      <c r="J35" s="106">
        <f t="shared" si="6"/>
        <v>100</v>
      </c>
      <c r="K35" s="105"/>
      <c r="L35" s="107"/>
      <c r="M35" s="105"/>
      <c r="R35">
        <f t="shared" si="3"/>
        <v>0</v>
      </c>
    </row>
    <row r="36" spans="1:18" ht="12.75">
      <c r="A36" s="130" t="s">
        <v>372</v>
      </c>
      <c r="B36" s="131">
        <f>B37</f>
        <v>60659270</v>
      </c>
      <c r="C36" s="132">
        <v>100</v>
      </c>
      <c r="D36" s="131">
        <f>D37</f>
        <v>28882310.22</v>
      </c>
      <c r="E36" s="97">
        <f>IF(ISERROR(D36/B36)," ",(D36/B36))*100</f>
        <v>47.6140089058111</v>
      </c>
      <c r="F36" s="103">
        <f>D36-'[5]maijs'!D36</f>
        <v>4372023.169999998</v>
      </c>
      <c r="H36" s="130" t="s">
        <v>372</v>
      </c>
      <c r="I36" s="98">
        <f t="shared" si="5"/>
        <v>60659</v>
      </c>
      <c r="J36" s="106">
        <f t="shared" si="6"/>
        <v>100</v>
      </c>
      <c r="K36" s="117">
        <f>K37</f>
        <v>28882</v>
      </c>
      <c r="L36" s="99">
        <f>E36</f>
        <v>47.6140089058111</v>
      </c>
      <c r="M36" s="133">
        <f>M37</f>
        <v>4372</v>
      </c>
      <c r="P36">
        <v>28882</v>
      </c>
      <c r="Q36">
        <v>24510</v>
      </c>
      <c r="R36">
        <f t="shared" si="3"/>
        <v>4372</v>
      </c>
    </row>
    <row r="37" spans="1:18" ht="25.5">
      <c r="A37" s="134" t="s">
        <v>373</v>
      </c>
      <c r="B37" s="101">
        <v>60659270</v>
      </c>
      <c r="C37" s="108">
        <v>100</v>
      </c>
      <c r="D37" s="103">
        <v>28882310.22</v>
      </c>
      <c r="E37" s="104">
        <f>IF(ISERROR(D37/B37)," ",(D37/B37))*100</f>
        <v>47.6140089058111</v>
      </c>
      <c r="F37" s="103">
        <f>D37-'[5]maijs'!D37</f>
        <v>4372023.169999998</v>
      </c>
      <c r="H37" s="135" t="s">
        <v>373</v>
      </c>
      <c r="I37" s="105">
        <f t="shared" si="5"/>
        <v>60659</v>
      </c>
      <c r="J37" s="106">
        <f t="shared" si="6"/>
        <v>100</v>
      </c>
      <c r="K37" s="105">
        <f>ROUND(D37/1000,0)</f>
        <v>28882</v>
      </c>
      <c r="L37" s="107">
        <f>E37</f>
        <v>47.6140089058111</v>
      </c>
      <c r="M37" s="136">
        <f>ROUND(F37/1000,0)</f>
        <v>4372</v>
      </c>
      <c r="P37">
        <v>28882</v>
      </c>
      <c r="Q37">
        <v>24510</v>
      </c>
      <c r="R37">
        <f t="shared" si="3"/>
        <v>4372</v>
      </c>
    </row>
    <row r="38" spans="1:18" ht="12.75">
      <c r="A38" s="130" t="s">
        <v>374</v>
      </c>
      <c r="B38" s="131">
        <v>56158811</v>
      </c>
      <c r="C38" s="132">
        <v>100</v>
      </c>
      <c r="D38" s="113">
        <v>14355077.73</v>
      </c>
      <c r="E38" s="97">
        <f>IF(ISERROR(D38/B38)," ",(D38/B38))*100</f>
        <v>25.561577024841213</v>
      </c>
      <c r="F38" s="103">
        <f>D38-'[5]maijs'!D38</f>
        <v>3779288.24</v>
      </c>
      <c r="H38" s="130" t="s">
        <v>374</v>
      </c>
      <c r="I38" s="98">
        <f t="shared" si="5"/>
        <v>56159</v>
      </c>
      <c r="J38" s="106">
        <f t="shared" si="6"/>
        <v>100</v>
      </c>
      <c r="K38" s="98">
        <f>ROUND(D38/1000,0)</f>
        <v>14355</v>
      </c>
      <c r="L38" s="99">
        <f>E38</f>
        <v>25.561577024841213</v>
      </c>
      <c r="M38" s="136">
        <f>ROUND(F38/1000,0)</f>
        <v>3779</v>
      </c>
      <c r="P38">
        <v>14355</v>
      </c>
      <c r="Q38">
        <v>10576</v>
      </c>
      <c r="R38">
        <f t="shared" si="3"/>
        <v>3779</v>
      </c>
    </row>
    <row r="39" spans="1:13" ht="17.25" customHeight="1">
      <c r="A39" s="137"/>
      <c r="B39" s="138"/>
      <c r="C39" s="139"/>
      <c r="D39" s="139"/>
      <c r="E39" s="139"/>
      <c r="F39" s="140"/>
      <c r="H39" s="137"/>
      <c r="I39" s="138"/>
      <c r="J39" s="139"/>
      <c r="K39" s="139"/>
      <c r="L39" s="139"/>
      <c r="M39" s="139"/>
    </row>
    <row r="40" spans="1:13" ht="17.25" customHeight="1">
      <c r="A40" s="141"/>
      <c r="B40" s="142"/>
      <c r="C40" s="139"/>
      <c r="D40" s="139"/>
      <c r="E40" s="139"/>
      <c r="F40" s="139"/>
      <c r="H40" s="141"/>
      <c r="I40" s="142"/>
      <c r="J40" s="139"/>
      <c r="K40" s="139"/>
      <c r="L40" s="139"/>
      <c r="M40" s="139"/>
    </row>
    <row r="41" spans="1:12" ht="15" customHeight="1">
      <c r="A41" s="41" t="s">
        <v>375</v>
      </c>
      <c r="B41" s="39"/>
      <c r="C41" s="39"/>
      <c r="D41" s="39" t="s">
        <v>376</v>
      </c>
      <c r="E41" s="1"/>
      <c r="H41" s="143" t="s">
        <v>318</v>
      </c>
      <c r="I41" s="6"/>
      <c r="J41" s="6"/>
      <c r="L41" s="6" t="s">
        <v>376</v>
      </c>
    </row>
    <row r="43" spans="8:12" ht="14.25" customHeight="1">
      <c r="H43" s="1" t="s">
        <v>377</v>
      </c>
      <c r="I43" s="39"/>
      <c r="J43" s="39"/>
      <c r="K43" s="39"/>
      <c r="L43" s="1"/>
    </row>
    <row r="44" ht="15" customHeight="1">
      <c r="H44" s="1" t="s">
        <v>530</v>
      </c>
    </row>
    <row r="45" ht="12.75" customHeight="1"/>
    <row r="46" ht="15.75" customHeight="1"/>
    <row r="47" ht="15" customHeight="1"/>
    <row r="50" ht="17.25" customHeight="1">
      <c r="H50" s="1"/>
    </row>
    <row r="51" ht="17.25" customHeight="1">
      <c r="H51" s="1"/>
    </row>
    <row r="53" ht="15.75" customHeight="1"/>
    <row r="54" ht="15.75" customHeight="1"/>
  </sheetData>
  <mergeCells count="6">
    <mergeCell ref="A5:E5"/>
    <mergeCell ref="H5:L5"/>
    <mergeCell ref="A2:F2"/>
    <mergeCell ref="H2:M2"/>
    <mergeCell ref="A4:F4"/>
    <mergeCell ref="H4:M4"/>
  </mergeCells>
  <printOptions/>
  <pageMargins left="0.75" right="0.27" top="1" bottom="1" header="0.5" footer="0.5"/>
  <pageSetup firstPageNumber="7" useFirstPageNumber="1" horizontalDpi="600" verticalDpi="600" orientation="portrait" paperSize="9" r:id="rId1"/>
  <headerFooter alignWithMargins="0">
    <oddFooter>&amp;R&amp;9&amp;P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Q39"/>
  <sheetViews>
    <sheetView workbookViewId="0" topLeftCell="F3">
      <selection activeCell="J7" sqref="J7"/>
    </sheetView>
  </sheetViews>
  <sheetFormatPr defaultColWidth="9.140625" defaultRowHeight="17.25" customHeight="1"/>
  <cols>
    <col min="1" max="1" width="34.28125" style="0" hidden="1" customWidth="1"/>
    <col min="2" max="3" width="12.7109375" style="0" hidden="1" customWidth="1"/>
    <col min="4" max="4" width="5.57421875" style="0" hidden="1" customWidth="1"/>
    <col min="5" max="5" width="12.140625" style="0" hidden="1" customWidth="1"/>
    <col min="6" max="6" width="37.7109375" style="0" customWidth="1"/>
    <col min="7" max="7" width="12.140625" style="0" customWidth="1"/>
    <col min="8" max="8" width="10.7109375" style="0" customWidth="1"/>
    <col min="9" max="9" width="9.8515625" style="0" customWidth="1"/>
    <col min="10" max="10" width="10.28125" style="0" customWidth="1"/>
    <col min="148" max="16384" width="9.140625" style="49" customWidth="1"/>
  </cols>
  <sheetData>
    <row r="1" spans="1:10" ht="12.75">
      <c r="A1" s="49"/>
      <c r="B1" s="50"/>
      <c r="C1" s="49"/>
      <c r="E1" s="309"/>
      <c r="F1" s="49"/>
      <c r="G1" s="50"/>
      <c r="H1" s="49"/>
      <c r="J1" s="309" t="s">
        <v>113</v>
      </c>
    </row>
    <row r="2" spans="1:10" ht="12.75">
      <c r="A2" s="49"/>
      <c r="B2" s="50"/>
      <c r="C2" s="49"/>
      <c r="E2" s="309"/>
      <c r="F2" s="49"/>
      <c r="G2" s="50"/>
      <c r="H2" s="49"/>
      <c r="J2" s="309"/>
    </row>
    <row r="3" spans="1:10" ht="12.75">
      <c r="A3" s="830" t="s">
        <v>337</v>
      </c>
      <c r="B3" s="830"/>
      <c r="C3" s="830"/>
      <c r="D3" s="830"/>
      <c r="E3" s="830"/>
      <c r="F3" s="830" t="s">
        <v>337</v>
      </c>
      <c r="G3" s="830"/>
      <c r="H3" s="830"/>
      <c r="I3" s="830"/>
      <c r="J3" s="830"/>
    </row>
    <row r="4" spans="1:10" ht="12.75">
      <c r="A4" s="49"/>
      <c r="B4" s="50"/>
      <c r="C4" s="49"/>
      <c r="E4" s="309"/>
      <c r="F4" s="49"/>
      <c r="G4" s="50"/>
      <c r="H4" s="49"/>
      <c r="J4" s="309"/>
    </row>
    <row r="5" spans="1:10" ht="50.25" customHeight="1">
      <c r="A5" s="887" t="s">
        <v>114</v>
      </c>
      <c r="B5" s="887"/>
      <c r="C5" s="887"/>
      <c r="D5" s="887"/>
      <c r="E5" s="887"/>
      <c r="F5" s="887" t="s">
        <v>881</v>
      </c>
      <c r="G5" s="887"/>
      <c r="H5" s="887"/>
      <c r="I5" s="887"/>
      <c r="J5" s="887"/>
    </row>
    <row r="6" spans="1:10" ht="17.25" customHeight="1">
      <c r="A6" s="53"/>
      <c r="B6" s="52"/>
      <c r="C6" s="51"/>
      <c r="D6" s="38"/>
      <c r="E6" s="2" t="s">
        <v>742</v>
      </c>
      <c r="F6" s="53"/>
      <c r="G6" s="52"/>
      <c r="H6" s="51"/>
      <c r="I6" s="38"/>
      <c r="J6" s="2" t="s">
        <v>240</v>
      </c>
    </row>
    <row r="7" spans="1:10" ht="57" customHeight="1">
      <c r="A7" s="9" t="s">
        <v>193</v>
      </c>
      <c r="B7" s="54" t="s">
        <v>241</v>
      </c>
      <c r="C7" s="9" t="s">
        <v>242</v>
      </c>
      <c r="D7" s="9" t="s">
        <v>115</v>
      </c>
      <c r="E7" s="9" t="s">
        <v>464</v>
      </c>
      <c r="F7" s="9" t="s">
        <v>193</v>
      </c>
      <c r="G7" s="54" t="s">
        <v>241</v>
      </c>
      <c r="H7" s="9" t="s">
        <v>242</v>
      </c>
      <c r="I7" s="9" t="s">
        <v>115</v>
      </c>
      <c r="J7" s="9" t="s">
        <v>882</v>
      </c>
    </row>
    <row r="8" spans="1:10" ht="12.75">
      <c r="A8" s="9">
        <v>1</v>
      </c>
      <c r="B8" s="54">
        <v>2</v>
      </c>
      <c r="C8" s="54">
        <v>4</v>
      </c>
      <c r="D8" s="54">
        <v>5</v>
      </c>
      <c r="E8" s="54">
        <v>7</v>
      </c>
      <c r="F8" s="9">
        <v>1</v>
      </c>
      <c r="G8" s="54">
        <v>2</v>
      </c>
      <c r="H8" s="54">
        <v>4</v>
      </c>
      <c r="I8" s="54">
        <v>5</v>
      </c>
      <c r="J8" s="54">
        <v>7</v>
      </c>
    </row>
    <row r="9" spans="1:147" s="699" customFormat="1" ht="15.75">
      <c r="A9" s="698" t="s">
        <v>116</v>
      </c>
      <c r="B9" s="699">
        <f>B10+B11+B14+B19+B21+B23+B30</f>
        <v>55211790</v>
      </c>
      <c r="C9" s="699">
        <f>C10+C11+C14+C19+C21+C23+C30</f>
        <v>26198994</v>
      </c>
      <c r="D9" s="700">
        <f aca="true" t="shared" si="0" ref="D9:D30">C9/B9*100</f>
        <v>47.45181056437402</v>
      </c>
      <c r="E9" s="699">
        <f>C9-'[23]Maijs'!C9</f>
        <v>4635106</v>
      </c>
      <c r="F9" s="699" t="s">
        <v>116</v>
      </c>
      <c r="G9" s="699">
        <f>G10+G11+G14+G19+G21+G23+G30</f>
        <v>55212</v>
      </c>
      <c r="H9" s="699">
        <f>H10+H11+H14+H19+H21+H23+H30</f>
        <v>26200</v>
      </c>
      <c r="I9" s="700">
        <f aca="true" t="shared" si="1" ref="I9:I30">H9/G9*100</f>
        <v>47.453452148083755</v>
      </c>
      <c r="J9" s="699">
        <f>H9-'[23]Maijs'!H9</f>
        <v>4636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1:10" ht="12.75">
      <c r="A10" s="32" t="s">
        <v>404</v>
      </c>
      <c r="B10" s="57">
        <v>48424727</v>
      </c>
      <c r="C10" s="57">
        <v>22758448</v>
      </c>
      <c r="D10" s="214">
        <f t="shared" si="0"/>
        <v>46.99757625892243</v>
      </c>
      <c r="E10" s="57">
        <f>C10-'[23]Maijs'!C10</f>
        <v>3828726</v>
      </c>
      <c r="F10" s="32" t="s">
        <v>404</v>
      </c>
      <c r="G10" s="57">
        <f>ROUND(B10/1000,0)</f>
        <v>48425</v>
      </c>
      <c r="H10" s="57">
        <f>ROUND(C10/1000,0)</f>
        <v>22758</v>
      </c>
      <c r="I10" s="214">
        <f t="shared" si="1"/>
        <v>46.9963861641714</v>
      </c>
      <c r="J10" s="57">
        <f>H10-'[23]Maijs'!H10</f>
        <v>3828</v>
      </c>
    </row>
    <row r="11" spans="1:10" ht="12.75">
      <c r="A11" s="32" t="s">
        <v>117</v>
      </c>
      <c r="B11" s="57">
        <f>SUM(B12:B13)</f>
        <v>223133</v>
      </c>
      <c r="C11" s="57">
        <f>SUM(C12:C13)</f>
        <v>163217</v>
      </c>
      <c r="D11" s="214">
        <f t="shared" si="0"/>
        <v>73.14785352233869</v>
      </c>
      <c r="E11" s="57">
        <f>C11-'[23]Maijs'!C11</f>
        <v>47257</v>
      </c>
      <c r="F11" s="32" t="s">
        <v>117</v>
      </c>
      <c r="G11" s="57">
        <f>SUM(G12:G13)</f>
        <v>223</v>
      </c>
      <c r="H11" s="57">
        <f>SUM(H12:H13)</f>
        <v>163</v>
      </c>
      <c r="I11" s="214">
        <f t="shared" si="1"/>
        <v>73.09417040358744</v>
      </c>
      <c r="J11" s="57">
        <f>H11-'[23]Maijs'!H11</f>
        <v>47</v>
      </c>
    </row>
    <row r="12" spans="1:147" s="1" customFormat="1" ht="12.75">
      <c r="A12" s="66" t="s">
        <v>118</v>
      </c>
      <c r="B12" s="63">
        <v>61755</v>
      </c>
      <c r="C12" s="63">
        <v>26979</v>
      </c>
      <c r="D12" s="194">
        <f t="shared" si="0"/>
        <v>43.687150837988824</v>
      </c>
      <c r="E12" s="63">
        <f>C12-'[23]Maijs'!C12</f>
        <v>6217</v>
      </c>
      <c r="F12" s="66" t="s">
        <v>118</v>
      </c>
      <c r="G12" s="63">
        <f>ROUND(B12/1000,0)</f>
        <v>62</v>
      </c>
      <c r="H12" s="63">
        <f>ROUND(C12/1000,0)</f>
        <v>27</v>
      </c>
      <c r="I12" s="194">
        <f t="shared" si="1"/>
        <v>43.54838709677419</v>
      </c>
      <c r="J12" s="63">
        <f>H12-'[23]Maijs'!H12</f>
        <v>6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</row>
    <row r="13" spans="1:147" s="1" customFormat="1" ht="12.75">
      <c r="A13" s="66" t="s">
        <v>119</v>
      </c>
      <c r="B13" s="63">
        <v>161378</v>
      </c>
      <c r="C13" s="63">
        <v>136238</v>
      </c>
      <c r="D13" s="194">
        <f t="shared" si="0"/>
        <v>84.42166838106805</v>
      </c>
      <c r="E13" s="63">
        <f>C13-'[23]Maijs'!C13</f>
        <v>41040</v>
      </c>
      <c r="F13" s="66" t="s">
        <v>119</v>
      </c>
      <c r="G13" s="63">
        <f>ROUND(B13/1000,0)</f>
        <v>161</v>
      </c>
      <c r="H13" s="63">
        <f>ROUND(C13/1000,0)</f>
        <v>136</v>
      </c>
      <c r="I13" s="194">
        <f t="shared" si="1"/>
        <v>84.472049689441</v>
      </c>
      <c r="J13" s="63">
        <f>H13-'[23]Maijs'!H13</f>
        <v>41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</row>
    <row r="14" spans="1:10" ht="17.25" customHeight="1">
      <c r="A14" s="32" t="s">
        <v>406</v>
      </c>
      <c r="B14" s="57">
        <f>SUM(B15:B18)</f>
        <v>1105085</v>
      </c>
      <c r="C14" s="57">
        <f>SUM(C15:C18)</f>
        <v>503449</v>
      </c>
      <c r="D14" s="214">
        <f t="shared" si="0"/>
        <v>45.55749105272445</v>
      </c>
      <c r="E14" s="57">
        <f>C14-'[23]Maijs'!C14</f>
        <v>31847</v>
      </c>
      <c r="F14" s="32" t="s">
        <v>406</v>
      </c>
      <c r="G14" s="57">
        <f>SUM(G15:G18)</f>
        <v>1105</v>
      </c>
      <c r="H14" s="57">
        <f>SUM(H15:H18)</f>
        <v>504</v>
      </c>
      <c r="I14" s="214">
        <f t="shared" si="1"/>
        <v>45.61085972850679</v>
      </c>
      <c r="J14" s="57">
        <f>H14-'[23]Maijs'!H14</f>
        <v>32</v>
      </c>
    </row>
    <row r="15" spans="1:147" s="1" customFormat="1" ht="24">
      <c r="A15" s="67" t="s">
        <v>120</v>
      </c>
      <c r="B15" s="63">
        <v>167030</v>
      </c>
      <c r="C15" s="63">
        <v>68030</v>
      </c>
      <c r="D15" s="194">
        <f t="shared" si="0"/>
        <v>40.72921032149913</v>
      </c>
      <c r="E15" s="63">
        <f>C15-'[23]Maijs'!C15</f>
        <v>3399</v>
      </c>
      <c r="F15" s="67" t="s">
        <v>120</v>
      </c>
      <c r="G15" s="63">
        <f aca="true" t="shared" si="2" ref="G15:H18">ROUND(B15/1000,0)</f>
        <v>167</v>
      </c>
      <c r="H15" s="63">
        <f t="shared" si="2"/>
        <v>68</v>
      </c>
      <c r="I15" s="194">
        <f t="shared" si="1"/>
        <v>40.7185628742515</v>
      </c>
      <c r="J15" s="63">
        <f>H15-'[23]Maijs'!H15</f>
        <v>3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</row>
    <row r="16" spans="1:147" s="1" customFormat="1" ht="24">
      <c r="A16" s="67" t="s">
        <v>121</v>
      </c>
      <c r="B16" s="63">
        <v>265000</v>
      </c>
      <c r="C16" s="63">
        <v>9821</v>
      </c>
      <c r="D16" s="194">
        <f t="shared" si="0"/>
        <v>3.706037735849057</v>
      </c>
      <c r="E16" s="63">
        <f>C16-'[23]Maijs'!C16</f>
        <v>7575</v>
      </c>
      <c r="F16" s="67" t="s">
        <v>121</v>
      </c>
      <c r="G16" s="63">
        <f t="shared" si="2"/>
        <v>265</v>
      </c>
      <c r="H16" s="192">
        <f t="shared" si="2"/>
        <v>10</v>
      </c>
      <c r="I16" s="194">
        <f t="shared" si="1"/>
        <v>3.7735849056603774</v>
      </c>
      <c r="J16" s="192">
        <f>H16-'[23]Maijs'!H16</f>
        <v>8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</row>
    <row r="17" spans="1:147" s="1" customFormat="1" ht="12.75">
      <c r="A17" s="66" t="s">
        <v>122</v>
      </c>
      <c r="B17" s="63">
        <v>530000</v>
      </c>
      <c r="C17" s="63">
        <v>353598</v>
      </c>
      <c r="D17" s="194">
        <f t="shared" si="0"/>
        <v>66.71660377358491</v>
      </c>
      <c r="E17" s="63">
        <f>C17-'[23]Maijs'!C17</f>
        <v>8873</v>
      </c>
      <c r="F17" s="66" t="s">
        <v>122</v>
      </c>
      <c r="G17" s="63">
        <f t="shared" si="2"/>
        <v>530</v>
      </c>
      <c r="H17" s="63">
        <f t="shared" si="2"/>
        <v>354</v>
      </c>
      <c r="I17" s="194">
        <f t="shared" si="1"/>
        <v>66.79245283018868</v>
      </c>
      <c r="J17" s="63">
        <f>H17-'[23]Maijs'!H17</f>
        <v>9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</row>
    <row r="18" spans="1:147" s="1" customFormat="1" ht="24">
      <c r="A18" s="67" t="s">
        <v>123</v>
      </c>
      <c r="B18" s="63">
        <v>143055</v>
      </c>
      <c r="C18" s="63">
        <v>72000</v>
      </c>
      <c r="D18" s="194">
        <f t="shared" si="0"/>
        <v>50.33029254482542</v>
      </c>
      <c r="E18" s="63">
        <f>C18-'[23]Maijs'!C18</f>
        <v>12000</v>
      </c>
      <c r="F18" s="67" t="s">
        <v>123</v>
      </c>
      <c r="G18" s="63">
        <f t="shared" si="2"/>
        <v>143</v>
      </c>
      <c r="H18" s="63">
        <f t="shared" si="2"/>
        <v>72</v>
      </c>
      <c r="I18" s="194">
        <f t="shared" si="1"/>
        <v>50.349650349650354</v>
      </c>
      <c r="J18" s="63">
        <f>H18-'[23]Maijs'!H18</f>
        <v>12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</row>
    <row r="19" spans="1:10" ht="12.75">
      <c r="A19" s="32" t="s">
        <v>428</v>
      </c>
      <c r="B19" s="57">
        <f>SUM(B20)</f>
        <v>347522</v>
      </c>
      <c r="C19" s="57">
        <f>SUM(C20)</f>
        <v>159691</v>
      </c>
      <c r="D19" s="214">
        <f t="shared" si="0"/>
        <v>45.95133545502155</v>
      </c>
      <c r="E19" s="57">
        <f>C19-'[23]Maijs'!C19</f>
        <v>33646</v>
      </c>
      <c r="F19" s="32" t="s">
        <v>428</v>
      </c>
      <c r="G19" s="57">
        <f>SUM(G20)</f>
        <v>348</v>
      </c>
      <c r="H19" s="184">
        <f>SUM(H20)</f>
        <v>160</v>
      </c>
      <c r="I19" s="214">
        <f t="shared" si="1"/>
        <v>45.97701149425287</v>
      </c>
      <c r="J19" s="184">
        <f>H19-'[23]Maijs'!H19</f>
        <v>34</v>
      </c>
    </row>
    <row r="20" spans="1:147" s="1" customFormat="1" ht="12.75">
      <c r="A20" s="66" t="s">
        <v>124</v>
      </c>
      <c r="B20" s="63">
        <v>347522</v>
      </c>
      <c r="C20" s="63">
        <v>159691</v>
      </c>
      <c r="D20" s="194">
        <f t="shared" si="0"/>
        <v>45.95133545502155</v>
      </c>
      <c r="E20" s="63">
        <f>C20-'[23]Maijs'!C20</f>
        <v>33646</v>
      </c>
      <c r="F20" s="66" t="s">
        <v>124</v>
      </c>
      <c r="G20" s="63">
        <f>ROUND(B20/1000,0)</f>
        <v>348</v>
      </c>
      <c r="H20" s="192">
        <f>ROUND(C20/1000,0)</f>
        <v>160</v>
      </c>
      <c r="I20" s="194">
        <f t="shared" si="1"/>
        <v>45.97701149425287</v>
      </c>
      <c r="J20" s="192">
        <f>H20-'[23]Maijs'!H20</f>
        <v>34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</row>
    <row r="21" spans="1:10" ht="12.75">
      <c r="A21" s="32" t="s">
        <v>418</v>
      </c>
      <c r="B21" s="57">
        <f>SUM(B22)</f>
        <v>275000</v>
      </c>
      <c r="C21" s="57">
        <f>SUM(C22)</f>
        <v>275000</v>
      </c>
      <c r="D21" s="214">
        <f t="shared" si="0"/>
        <v>100</v>
      </c>
      <c r="E21" s="57">
        <f>C21-'[23]Maijs'!C21</f>
        <v>101044</v>
      </c>
      <c r="F21" s="32" t="s">
        <v>418</v>
      </c>
      <c r="G21" s="57">
        <f>SUM(G22)</f>
        <v>275</v>
      </c>
      <c r="H21" s="184">
        <f>SUM(H22)</f>
        <v>275</v>
      </c>
      <c r="I21" s="214">
        <f t="shared" si="1"/>
        <v>100</v>
      </c>
      <c r="J21" s="184">
        <f>H21-'[23]Maijs'!H21</f>
        <v>101</v>
      </c>
    </row>
    <row r="22" spans="1:147" s="1" customFormat="1" ht="36">
      <c r="A22" s="67" t="s">
        <v>125</v>
      </c>
      <c r="B22" s="63">
        <v>275000</v>
      </c>
      <c r="C22" s="63">
        <v>275000</v>
      </c>
      <c r="D22" s="194">
        <f t="shared" si="0"/>
        <v>100</v>
      </c>
      <c r="E22" s="63">
        <f>C22-'[23]Maijs'!C22</f>
        <v>101044</v>
      </c>
      <c r="F22" s="67" t="s">
        <v>126</v>
      </c>
      <c r="G22" s="63">
        <f>ROUND(B22/1000,0)</f>
        <v>275</v>
      </c>
      <c r="H22" s="192">
        <f>ROUND(C22/1000,0)</f>
        <v>275</v>
      </c>
      <c r="I22" s="194">
        <f t="shared" si="1"/>
        <v>100</v>
      </c>
      <c r="J22" s="192">
        <f>H22-'[23]Maijs'!H22</f>
        <v>101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</row>
    <row r="23" spans="1:10" ht="12.75">
      <c r="A23" s="32" t="s">
        <v>412</v>
      </c>
      <c r="B23" s="57">
        <f>SUM(B24:B29)</f>
        <v>3192416</v>
      </c>
      <c r="C23" s="57">
        <f>SUM(C24:C29)</f>
        <v>1793399</v>
      </c>
      <c r="D23" s="214">
        <f t="shared" si="0"/>
        <v>56.17685790323066</v>
      </c>
      <c r="E23" s="57">
        <f>C23-'[23]Maijs'!C23</f>
        <v>501586</v>
      </c>
      <c r="F23" s="32" t="s">
        <v>412</v>
      </c>
      <c r="G23" s="57">
        <f>SUM(G24:G29)</f>
        <v>3192</v>
      </c>
      <c r="H23" s="57">
        <f>SUM(H24:H29)</f>
        <v>1794</v>
      </c>
      <c r="I23" s="214">
        <f t="shared" si="1"/>
        <v>56.20300751879699</v>
      </c>
      <c r="J23" s="57">
        <f>H23-'[23]Maijs'!H23</f>
        <v>503</v>
      </c>
    </row>
    <row r="24" spans="1:147" s="1" customFormat="1" ht="12.75">
      <c r="A24" s="66" t="s">
        <v>127</v>
      </c>
      <c r="B24" s="63">
        <v>1190814</v>
      </c>
      <c r="C24" s="63">
        <v>604038</v>
      </c>
      <c r="D24" s="194">
        <f t="shared" si="0"/>
        <v>50.72479833122553</v>
      </c>
      <c r="E24" s="63">
        <f>C24-'[23]Maijs'!C24</f>
        <v>86124</v>
      </c>
      <c r="F24" s="66" t="s">
        <v>127</v>
      </c>
      <c r="G24" s="63">
        <f aca="true" t="shared" si="3" ref="G24:H30">ROUND(B24/1000,0)</f>
        <v>1191</v>
      </c>
      <c r="H24" s="63">
        <f>ROUND(C24/1000,0)</f>
        <v>604</v>
      </c>
      <c r="I24" s="194">
        <f t="shared" si="1"/>
        <v>50.71368597816961</v>
      </c>
      <c r="J24" s="63">
        <f>H24-'[23]Maijs'!H24</f>
        <v>86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</row>
    <row r="25" spans="1:147" s="1" customFormat="1" ht="24">
      <c r="A25" s="67" t="s">
        <v>132</v>
      </c>
      <c r="B25" s="63">
        <v>919056</v>
      </c>
      <c r="C25" s="63">
        <v>661560</v>
      </c>
      <c r="D25" s="194">
        <f t="shared" si="0"/>
        <v>71.98255601399697</v>
      </c>
      <c r="E25" s="63">
        <f>C25-'[23]Maijs'!C25</f>
        <v>269982</v>
      </c>
      <c r="F25" s="67" t="s">
        <v>132</v>
      </c>
      <c r="G25" s="63">
        <f t="shared" si="3"/>
        <v>919</v>
      </c>
      <c r="H25" s="63">
        <f>ROUND(C25/1000,0)</f>
        <v>662</v>
      </c>
      <c r="I25" s="194">
        <f t="shared" si="1"/>
        <v>72.0348204570185</v>
      </c>
      <c r="J25" s="63">
        <f>H25-'[23]Maijs'!H25</f>
        <v>271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</row>
    <row r="26" spans="1:147" s="1" customFormat="1" ht="24">
      <c r="A26" s="67" t="s">
        <v>128</v>
      </c>
      <c r="B26" s="63">
        <v>150000</v>
      </c>
      <c r="C26" s="63">
        <v>132528</v>
      </c>
      <c r="D26" s="194">
        <f t="shared" si="0"/>
        <v>88.352</v>
      </c>
      <c r="E26" s="63">
        <f>C26-'[23]Maijs'!C26</f>
        <v>77464</v>
      </c>
      <c r="F26" s="67" t="s">
        <v>128</v>
      </c>
      <c r="G26" s="63">
        <f t="shared" si="3"/>
        <v>150</v>
      </c>
      <c r="H26" s="192">
        <f t="shared" si="3"/>
        <v>133</v>
      </c>
      <c r="I26" s="194">
        <f t="shared" si="1"/>
        <v>88.66666666666667</v>
      </c>
      <c r="J26" s="192">
        <f>H26-'[23]Maijs'!H26</f>
        <v>78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</row>
    <row r="27" spans="1:147" s="1" customFormat="1" ht="60">
      <c r="A27" s="67" t="s">
        <v>129</v>
      </c>
      <c r="B27" s="63">
        <v>225466</v>
      </c>
      <c r="C27" s="63">
        <v>79606</v>
      </c>
      <c r="D27" s="194">
        <f t="shared" si="0"/>
        <v>35.30731906362822</v>
      </c>
      <c r="E27" s="63">
        <f>C27-'[23]Maijs'!C27</f>
        <v>13395</v>
      </c>
      <c r="F27" s="67" t="s">
        <v>129</v>
      </c>
      <c r="G27" s="63">
        <f t="shared" si="3"/>
        <v>225</v>
      </c>
      <c r="H27" s="63">
        <f t="shared" si="3"/>
        <v>80</v>
      </c>
      <c r="I27" s="194">
        <f t="shared" si="1"/>
        <v>35.55555555555556</v>
      </c>
      <c r="J27" s="63">
        <f>H27-'[23]Maijs'!H27</f>
        <v>14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</row>
    <row r="28" spans="1:147" s="1" customFormat="1" ht="36">
      <c r="A28" s="67" t="s">
        <v>130</v>
      </c>
      <c r="B28" s="63">
        <v>141288</v>
      </c>
      <c r="C28" s="63">
        <v>61247</v>
      </c>
      <c r="D28" s="194">
        <f t="shared" si="0"/>
        <v>43.34904592038956</v>
      </c>
      <c r="E28" s="63">
        <f>C28-'[23]Maijs'!C28</f>
        <v>13667</v>
      </c>
      <c r="F28" s="67" t="s">
        <v>130</v>
      </c>
      <c r="G28" s="63">
        <f t="shared" si="3"/>
        <v>141</v>
      </c>
      <c r="H28" s="63">
        <f t="shared" si="3"/>
        <v>61</v>
      </c>
      <c r="I28" s="194">
        <f t="shared" si="1"/>
        <v>43.262411347517734</v>
      </c>
      <c r="J28" s="63">
        <f>H28-'[23]Maijs'!H28</f>
        <v>13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</row>
    <row r="29" spans="1:147" s="1" customFormat="1" ht="24">
      <c r="A29" s="67" t="s">
        <v>131</v>
      </c>
      <c r="B29" s="63">
        <v>565792</v>
      </c>
      <c r="C29" s="63">
        <v>254420</v>
      </c>
      <c r="D29" s="194">
        <f t="shared" si="0"/>
        <v>44.96705503082405</v>
      </c>
      <c r="E29" s="63">
        <f>C29-'[23]Maijs'!C29</f>
        <v>40954</v>
      </c>
      <c r="F29" s="67" t="s">
        <v>131</v>
      </c>
      <c r="G29" s="63">
        <f t="shared" si="3"/>
        <v>566</v>
      </c>
      <c r="H29" s="63">
        <f t="shared" si="3"/>
        <v>254</v>
      </c>
      <c r="I29" s="194">
        <f t="shared" si="1"/>
        <v>44.87632508833922</v>
      </c>
      <c r="J29" s="63">
        <f>H29-'[23]Maijs'!H29</f>
        <v>41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</row>
    <row r="30" spans="1:10" ht="12.75">
      <c r="A30" s="32" t="s">
        <v>442</v>
      </c>
      <c r="B30" s="57">
        <v>1643907</v>
      </c>
      <c r="C30" s="57">
        <v>545790</v>
      </c>
      <c r="D30" s="214">
        <f t="shared" si="0"/>
        <v>33.20078325598711</v>
      </c>
      <c r="E30" s="57">
        <f>C30-'[23]Maijs'!C30</f>
        <v>91000</v>
      </c>
      <c r="F30" s="32" t="s">
        <v>442</v>
      </c>
      <c r="G30" s="57">
        <f t="shared" si="3"/>
        <v>1644</v>
      </c>
      <c r="H30" s="57">
        <f t="shared" si="3"/>
        <v>546</v>
      </c>
      <c r="I30" s="214">
        <f t="shared" si="1"/>
        <v>33.21167883211679</v>
      </c>
      <c r="J30" s="57">
        <f>H30-'[23]Maijs'!H30</f>
        <v>91</v>
      </c>
    </row>
    <row r="31" spans="1:147" s="85" customFormat="1" ht="17.25" customHeight="1">
      <c r="A31" s="86"/>
      <c r="B31" s="84"/>
      <c r="E31"/>
      <c r="F31" s="86"/>
      <c r="G31" s="84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</row>
    <row r="32" spans="1:147" s="85" customFormat="1" ht="17.25" customHeight="1">
      <c r="A32" s="86"/>
      <c r="B32" s="84"/>
      <c r="E32"/>
      <c r="F32" s="86"/>
      <c r="G32" s="84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</row>
    <row r="33" spans="1:9" ht="17.25" customHeight="1">
      <c r="A33" s="87"/>
      <c r="B33" s="50"/>
      <c r="C33" s="49"/>
      <c r="D33" s="49"/>
      <c r="F33" s="87"/>
      <c r="G33" s="50"/>
      <c r="H33" s="49"/>
      <c r="I33" s="49"/>
    </row>
    <row r="34" spans="1:10" ht="17.25" customHeight="1">
      <c r="A34" s="41" t="s">
        <v>456</v>
      </c>
      <c r="B34" s="49"/>
      <c r="C34" s="49"/>
      <c r="D34" s="49"/>
      <c r="E34" s="49"/>
      <c r="F34" s="41" t="s">
        <v>883</v>
      </c>
      <c r="G34" s="49"/>
      <c r="H34" s="49"/>
      <c r="I34" s="49"/>
      <c r="J34" s="49"/>
    </row>
    <row r="36" spans="1:9" ht="17.25" customHeight="1">
      <c r="A36" s="88"/>
      <c r="B36" s="52"/>
      <c r="C36" s="89"/>
      <c r="D36" s="89"/>
      <c r="F36" s="88"/>
      <c r="G36" s="52"/>
      <c r="H36" s="89"/>
      <c r="I36" s="89"/>
    </row>
    <row r="37" spans="1:9" ht="17.25" customHeight="1">
      <c r="A37" s="1"/>
      <c r="B37" s="50"/>
      <c r="C37" s="49"/>
      <c r="D37" s="49"/>
      <c r="F37" s="1"/>
      <c r="G37" s="50"/>
      <c r="H37" s="49"/>
      <c r="I37" s="49"/>
    </row>
    <row r="38" spans="1:9" ht="12.75">
      <c r="A38" s="1"/>
      <c r="B38" s="50"/>
      <c r="C38" s="38"/>
      <c r="D38" s="38"/>
      <c r="F38" s="38" t="s">
        <v>334</v>
      </c>
      <c r="G38" s="50"/>
      <c r="H38" s="38"/>
      <c r="I38" s="38"/>
    </row>
    <row r="39" spans="2:9" ht="12.75">
      <c r="B39" s="50"/>
      <c r="C39" s="49"/>
      <c r="D39" s="49"/>
      <c r="F39" s="38" t="s">
        <v>148</v>
      </c>
      <c r="G39" s="50"/>
      <c r="H39" s="49"/>
      <c r="I39" s="49"/>
    </row>
    <row r="40" ht="12.75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</sheetData>
  <mergeCells count="4">
    <mergeCell ref="A3:E3"/>
    <mergeCell ref="F3:J3"/>
    <mergeCell ref="A5:E5"/>
    <mergeCell ref="F5:J5"/>
  </mergeCells>
  <printOptions/>
  <pageMargins left="0.75" right="0.75" top="0.25" bottom="0.24" header="0.5" footer="0.5"/>
  <pageSetup firstPageNumber="56" useFirstPageNumber="1" horizontalDpi="600" verticalDpi="600" orientation="portrait" paperSize="9" r:id="rId1"/>
  <headerFooter alignWithMargins="0">
    <oddFooter>&amp;R&amp;9&amp;P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X53"/>
  <sheetViews>
    <sheetView workbookViewId="0" topLeftCell="E1">
      <selection activeCell="F10" sqref="F10"/>
    </sheetView>
  </sheetViews>
  <sheetFormatPr defaultColWidth="9.140625" defaultRowHeight="12.75"/>
  <cols>
    <col min="1" max="1" width="30.00390625" style="0" hidden="1" customWidth="1"/>
    <col min="2" max="2" width="14.28125" style="0" hidden="1" customWidth="1"/>
    <col min="3" max="3" width="14.421875" style="0" hidden="1" customWidth="1"/>
    <col min="4" max="4" width="12.00390625" style="0" hidden="1" customWidth="1"/>
    <col min="5" max="5" width="32.7109375" style="0" customWidth="1"/>
    <col min="6" max="6" width="15.8515625" style="0" customWidth="1"/>
    <col min="7" max="7" width="16.28125" style="0" customWidth="1"/>
    <col min="8" max="8" width="13.28125" style="0" customWidth="1"/>
  </cols>
  <sheetData>
    <row r="1" spans="2:206" s="49" customFormat="1" ht="12.75">
      <c r="B1" s="50"/>
      <c r="D1" s="309" t="s">
        <v>133</v>
      </c>
      <c r="F1" s="50"/>
      <c r="H1" s="309" t="s">
        <v>133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2:206" s="49" customFormat="1" ht="12.75">
      <c r="B2" s="50"/>
      <c r="D2" s="309"/>
      <c r="F2" s="50"/>
      <c r="H2" s="309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206" s="49" customFormat="1" ht="12.75">
      <c r="A3" s="830" t="s">
        <v>337</v>
      </c>
      <c r="B3" s="830"/>
      <c r="C3" s="830"/>
      <c r="D3" s="830"/>
      <c r="E3" s="830" t="s">
        <v>337</v>
      </c>
      <c r="F3" s="830"/>
      <c r="G3" s="830"/>
      <c r="H3" s="830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</row>
    <row r="4" spans="2:206" s="49" customFormat="1" ht="12.75">
      <c r="B4" s="50"/>
      <c r="D4" s="309"/>
      <c r="F4" s="50"/>
      <c r="H4" s="30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</row>
    <row r="5" spans="1:8" ht="15">
      <c r="A5" s="889" t="s">
        <v>134</v>
      </c>
      <c r="B5" s="889"/>
      <c r="C5" s="889"/>
      <c r="D5" s="889"/>
      <c r="E5" s="889" t="s">
        <v>134</v>
      </c>
      <c r="F5" s="889"/>
      <c r="G5" s="889"/>
      <c r="H5" s="889"/>
    </row>
    <row r="6" spans="1:8" ht="12.75">
      <c r="A6" s="808" t="s">
        <v>879</v>
      </c>
      <c r="B6" s="808"/>
      <c r="C6" s="808"/>
      <c r="D6" s="808"/>
      <c r="E6" s="830" t="s">
        <v>309</v>
      </c>
      <c r="F6" s="830"/>
      <c r="G6" s="830"/>
      <c r="H6" s="830"/>
    </row>
    <row r="7" spans="1:8" ht="12.75">
      <c r="A7" s="256"/>
      <c r="B7" s="256"/>
      <c r="C7" s="256"/>
      <c r="D7" s="256"/>
      <c r="E7" s="256"/>
      <c r="F7" s="256"/>
      <c r="G7" s="256"/>
      <c r="H7" s="256"/>
    </row>
    <row r="8" spans="4:8" ht="12.75">
      <c r="D8" s="2" t="s">
        <v>742</v>
      </c>
      <c r="H8" s="2" t="s">
        <v>240</v>
      </c>
    </row>
    <row r="9" spans="1:8" s="702" customFormat="1" ht="57" customHeight="1">
      <c r="A9" s="701" t="s">
        <v>193</v>
      </c>
      <c r="B9" s="312" t="s">
        <v>135</v>
      </c>
      <c r="C9" s="312" t="s">
        <v>162</v>
      </c>
      <c r="D9" s="312" t="s">
        <v>163</v>
      </c>
      <c r="E9" s="701" t="s">
        <v>193</v>
      </c>
      <c r="F9" s="312" t="s">
        <v>135</v>
      </c>
      <c r="G9" s="312" t="s">
        <v>162</v>
      </c>
      <c r="H9" s="312" t="s">
        <v>163</v>
      </c>
    </row>
    <row r="10" spans="1:8" s="704" customFormat="1" ht="11.25" customHeight="1">
      <c r="A10" s="703">
        <v>1</v>
      </c>
      <c r="B10" s="703">
        <v>2</v>
      </c>
      <c r="C10" s="8">
        <v>3</v>
      </c>
      <c r="D10" s="8" t="s">
        <v>164</v>
      </c>
      <c r="E10" s="703">
        <v>1</v>
      </c>
      <c r="F10" s="703">
        <v>2</v>
      </c>
      <c r="G10" s="8">
        <v>3</v>
      </c>
      <c r="H10" s="8" t="s">
        <v>164</v>
      </c>
    </row>
    <row r="11" spans="1:8" s="707" customFormat="1" ht="15">
      <c r="A11" s="705" t="s">
        <v>165</v>
      </c>
      <c r="B11" s="706">
        <f>B12+B35</f>
        <v>49031643</v>
      </c>
      <c r="C11" s="706">
        <f>C12+C35</f>
        <v>103558515</v>
      </c>
      <c r="D11" s="706">
        <f>C11-B11</f>
        <v>54526872</v>
      </c>
      <c r="E11" s="705" t="s">
        <v>165</v>
      </c>
      <c r="F11" s="706">
        <f>F12+F35</f>
        <v>49032</v>
      </c>
      <c r="G11" s="706">
        <f>G12+G35</f>
        <v>103558</v>
      </c>
      <c r="H11" s="706">
        <f>G11-F11</f>
        <v>54526</v>
      </c>
    </row>
    <row r="12" spans="1:8" s="476" customFormat="1" ht="12.75">
      <c r="A12" s="244" t="s">
        <v>166</v>
      </c>
      <c r="B12" s="245">
        <f>B13+B22</f>
        <v>47461838</v>
      </c>
      <c r="C12" s="245">
        <f>C13+C22</f>
        <v>100345351</v>
      </c>
      <c r="D12" s="245">
        <f aca="true" t="shared" si="0" ref="D12:D41">C12-B12</f>
        <v>52883513</v>
      </c>
      <c r="E12" s="244" t="s">
        <v>166</v>
      </c>
      <c r="F12" s="245">
        <f>F13+F22</f>
        <v>47462</v>
      </c>
      <c r="G12" s="245">
        <f>G13+G22</f>
        <v>100345</v>
      </c>
      <c r="H12" s="245">
        <f aca="true" t="shared" si="1" ref="H12:H41">G12-F12</f>
        <v>52883</v>
      </c>
    </row>
    <row r="13" spans="1:8" s="679" customFormat="1" ht="12">
      <c r="A13" s="74" t="s">
        <v>167</v>
      </c>
      <c r="B13" s="184">
        <f>SUM(B14:B21)</f>
        <v>25367091</v>
      </c>
      <c r="C13" s="184">
        <f>SUM(C14:C21)</f>
        <v>23465724</v>
      </c>
      <c r="D13" s="184">
        <f t="shared" si="0"/>
        <v>-1901367</v>
      </c>
      <c r="E13" s="74" t="s">
        <v>167</v>
      </c>
      <c r="F13" s="184">
        <f>SUM(F14:F21)</f>
        <v>25367</v>
      </c>
      <c r="G13" s="184">
        <f>SUM(G14:G21)</f>
        <v>23465</v>
      </c>
      <c r="H13" s="184">
        <f t="shared" si="1"/>
        <v>-1902</v>
      </c>
    </row>
    <row r="14" spans="1:8" s="38" customFormat="1" ht="11.25">
      <c r="A14" s="65" t="s">
        <v>222</v>
      </c>
      <c r="B14" s="585">
        <v>24184285</v>
      </c>
      <c r="C14" s="585">
        <f>5260652+941559+9104061+3764598+662557+365926</f>
        <v>20099353</v>
      </c>
      <c r="D14" s="585">
        <f t="shared" si="0"/>
        <v>-4084932</v>
      </c>
      <c r="E14" s="65" t="s">
        <v>222</v>
      </c>
      <c r="F14" s="585">
        <f>ROUND(B14/1000,0)</f>
        <v>24184</v>
      </c>
      <c r="G14" s="585">
        <f>ROUND(C14/1000,0)</f>
        <v>20099</v>
      </c>
      <c r="H14" s="585">
        <f t="shared" si="1"/>
        <v>-4085</v>
      </c>
    </row>
    <row r="15" spans="1:8" s="38" customFormat="1" ht="11.25">
      <c r="A15" s="65" t="s">
        <v>168</v>
      </c>
      <c r="B15" s="585">
        <f>1683+47151</f>
        <v>48834</v>
      </c>
      <c r="C15" s="585">
        <v>59412</v>
      </c>
      <c r="D15" s="585">
        <f t="shared" si="0"/>
        <v>10578</v>
      </c>
      <c r="E15" s="65" t="s">
        <v>168</v>
      </c>
      <c r="F15" s="585">
        <f aca="true" t="shared" si="2" ref="F15:G30">ROUND(B15/1000,0)</f>
        <v>49</v>
      </c>
      <c r="G15" s="585">
        <f t="shared" si="2"/>
        <v>59</v>
      </c>
      <c r="H15" s="585">
        <f t="shared" si="1"/>
        <v>10</v>
      </c>
    </row>
    <row r="16" spans="1:8" s="38" customFormat="1" ht="11.25">
      <c r="A16" s="65" t="s">
        <v>169</v>
      </c>
      <c r="B16" s="585">
        <f>1051331+27952</f>
        <v>1079283</v>
      </c>
      <c r="C16" s="585">
        <f>3254377+23781</f>
        <v>3278158</v>
      </c>
      <c r="D16" s="585">
        <f t="shared" si="0"/>
        <v>2198875</v>
      </c>
      <c r="E16" s="65" t="s">
        <v>169</v>
      </c>
      <c r="F16" s="585">
        <f t="shared" si="2"/>
        <v>1079</v>
      </c>
      <c r="G16" s="585">
        <f t="shared" si="2"/>
        <v>3278</v>
      </c>
      <c r="H16" s="585">
        <f t="shared" si="1"/>
        <v>2199</v>
      </c>
    </row>
    <row r="17" spans="1:8" s="38" customFormat="1" ht="11.25">
      <c r="A17" s="65" t="s">
        <v>170</v>
      </c>
      <c r="B17" s="585">
        <v>11043</v>
      </c>
      <c r="C17" s="585">
        <v>23996</v>
      </c>
      <c r="D17" s="585">
        <f t="shared" si="0"/>
        <v>12953</v>
      </c>
      <c r="E17" s="65" t="s">
        <v>170</v>
      </c>
      <c r="F17" s="585">
        <f t="shared" si="2"/>
        <v>11</v>
      </c>
      <c r="G17" s="585">
        <f>ROUND(C17/1000,0)</f>
        <v>24</v>
      </c>
      <c r="H17" s="585">
        <f t="shared" si="1"/>
        <v>13</v>
      </c>
    </row>
    <row r="18" spans="1:8" s="38" customFormat="1" ht="11.25">
      <c r="A18" s="65" t="s">
        <v>171</v>
      </c>
      <c r="B18" s="585">
        <v>1284</v>
      </c>
      <c r="C18" s="585">
        <v>1945</v>
      </c>
      <c r="D18" s="585">
        <f t="shared" si="0"/>
        <v>661</v>
      </c>
      <c r="E18" s="65" t="s">
        <v>172</v>
      </c>
      <c r="F18" s="585">
        <f t="shared" si="2"/>
        <v>1</v>
      </c>
      <c r="G18" s="585">
        <f t="shared" si="2"/>
        <v>2</v>
      </c>
      <c r="H18" s="585">
        <f t="shared" si="1"/>
        <v>1</v>
      </c>
    </row>
    <row r="19" spans="1:8" s="38" customFormat="1" ht="11.25">
      <c r="A19" s="65" t="s">
        <v>173</v>
      </c>
      <c r="B19" s="585"/>
      <c r="C19" s="585"/>
      <c r="D19" s="585">
        <f t="shared" si="0"/>
        <v>0</v>
      </c>
      <c r="E19" s="65" t="s">
        <v>173</v>
      </c>
      <c r="F19" s="585">
        <f t="shared" si="2"/>
        <v>0</v>
      </c>
      <c r="G19" s="585">
        <f t="shared" si="2"/>
        <v>0</v>
      </c>
      <c r="H19" s="585">
        <f t="shared" si="1"/>
        <v>0</v>
      </c>
    </row>
    <row r="20" spans="1:8" s="38" customFormat="1" ht="11.25">
      <c r="A20" s="65" t="s">
        <v>174</v>
      </c>
      <c r="B20" s="585">
        <v>42362</v>
      </c>
      <c r="C20" s="585">
        <v>2860</v>
      </c>
      <c r="D20" s="585">
        <f t="shared" si="0"/>
        <v>-39502</v>
      </c>
      <c r="E20" s="65" t="s">
        <v>174</v>
      </c>
      <c r="F20" s="585">
        <f>ROUND(B20/1000,0)+1</f>
        <v>43</v>
      </c>
      <c r="G20" s="585">
        <f t="shared" si="2"/>
        <v>3</v>
      </c>
      <c r="H20" s="585">
        <f t="shared" si="1"/>
        <v>-40</v>
      </c>
    </row>
    <row r="21" spans="1:8" s="38" customFormat="1" ht="11.25">
      <c r="A21" s="65" t="s">
        <v>175</v>
      </c>
      <c r="B21" s="585"/>
      <c r="C21" s="585"/>
      <c r="D21" s="585">
        <f t="shared" si="0"/>
        <v>0</v>
      </c>
      <c r="E21" s="65" t="s">
        <v>175</v>
      </c>
      <c r="F21" s="585">
        <f t="shared" si="2"/>
        <v>0</v>
      </c>
      <c r="G21" s="585">
        <f t="shared" si="2"/>
        <v>0</v>
      </c>
      <c r="H21" s="585">
        <f t="shared" si="1"/>
        <v>0</v>
      </c>
    </row>
    <row r="22" spans="1:8" s="679" customFormat="1" ht="12">
      <c r="A22" s="74" t="s">
        <v>176</v>
      </c>
      <c r="B22" s="184">
        <f>SUM(B23:B34)</f>
        <v>22094747</v>
      </c>
      <c r="C22" s="184">
        <f>SUM(C23:C34)</f>
        <v>76879627</v>
      </c>
      <c r="D22" s="184">
        <f t="shared" si="0"/>
        <v>54784880</v>
      </c>
      <c r="E22" s="74" t="s">
        <v>176</v>
      </c>
      <c r="F22" s="184">
        <f>SUM(F23:F34)</f>
        <v>22095</v>
      </c>
      <c r="G22" s="184">
        <f>SUM(G23:G34)</f>
        <v>76880</v>
      </c>
      <c r="H22" s="184">
        <f t="shared" si="1"/>
        <v>54785</v>
      </c>
    </row>
    <row r="23" spans="1:8" s="38" customFormat="1" ht="11.25">
      <c r="A23" s="65" t="s">
        <v>222</v>
      </c>
      <c r="B23" s="585">
        <v>22085409</v>
      </c>
      <c r="C23" s="585">
        <f>66300000+1540227+2939400</f>
        <v>70779627</v>
      </c>
      <c r="D23" s="585">
        <f t="shared" si="0"/>
        <v>48694218</v>
      </c>
      <c r="E23" s="65" t="s">
        <v>222</v>
      </c>
      <c r="F23" s="585">
        <f>ROUND(B23/1000,0)+1</f>
        <v>22086</v>
      </c>
      <c r="G23" s="585">
        <f>ROUND(C23/1000,0)</f>
        <v>70780</v>
      </c>
      <c r="H23" s="585">
        <f t="shared" si="1"/>
        <v>48694</v>
      </c>
    </row>
    <row r="24" spans="1:8" s="38" customFormat="1" ht="11.25">
      <c r="A24" s="65" t="s">
        <v>168</v>
      </c>
      <c r="B24" s="585"/>
      <c r="C24" s="585">
        <v>4300000</v>
      </c>
      <c r="D24" s="585">
        <f t="shared" si="0"/>
        <v>4300000</v>
      </c>
      <c r="E24" s="65" t="s">
        <v>168</v>
      </c>
      <c r="F24" s="585">
        <f t="shared" si="2"/>
        <v>0</v>
      </c>
      <c r="G24" s="585">
        <f t="shared" si="2"/>
        <v>4300</v>
      </c>
      <c r="H24" s="585">
        <f t="shared" si="1"/>
        <v>4300</v>
      </c>
    </row>
    <row r="25" spans="1:8" s="38" customFormat="1" ht="11.25">
      <c r="A25" s="65" t="s">
        <v>169</v>
      </c>
      <c r="B25" s="585"/>
      <c r="C25" s="585">
        <v>1800000</v>
      </c>
      <c r="D25" s="585">
        <f t="shared" si="0"/>
        <v>1800000</v>
      </c>
      <c r="E25" s="65" t="s">
        <v>169</v>
      </c>
      <c r="F25" s="585">
        <f t="shared" si="2"/>
        <v>0</v>
      </c>
      <c r="G25" s="585">
        <f t="shared" si="2"/>
        <v>1800</v>
      </c>
      <c r="H25" s="585">
        <f t="shared" si="1"/>
        <v>1800</v>
      </c>
    </row>
    <row r="26" spans="1:8" s="38" customFormat="1" ht="11.25">
      <c r="A26" s="65" t="s">
        <v>177</v>
      </c>
      <c r="B26" s="585"/>
      <c r="C26" s="585"/>
      <c r="D26" s="585">
        <f t="shared" si="0"/>
        <v>0</v>
      </c>
      <c r="E26" s="65" t="s">
        <v>177</v>
      </c>
      <c r="F26" s="585">
        <f t="shared" si="2"/>
        <v>0</v>
      </c>
      <c r="G26" s="585">
        <f t="shared" si="2"/>
        <v>0</v>
      </c>
      <c r="H26" s="585">
        <f t="shared" si="1"/>
        <v>0</v>
      </c>
    </row>
    <row r="27" spans="1:8" s="38" customFormat="1" ht="11.25">
      <c r="A27" s="65" t="s">
        <v>170</v>
      </c>
      <c r="B27" s="585"/>
      <c r="C27" s="585"/>
      <c r="D27" s="585">
        <f t="shared" si="0"/>
        <v>0</v>
      </c>
      <c r="E27" s="65" t="s">
        <v>170</v>
      </c>
      <c r="F27" s="585">
        <f t="shared" si="2"/>
        <v>0</v>
      </c>
      <c r="G27" s="585">
        <f t="shared" si="2"/>
        <v>0</v>
      </c>
      <c r="H27" s="585">
        <f t="shared" si="1"/>
        <v>0</v>
      </c>
    </row>
    <row r="28" spans="1:8" s="38" customFormat="1" ht="11.25">
      <c r="A28" s="65" t="s">
        <v>178</v>
      </c>
      <c r="B28" s="585"/>
      <c r="C28" s="585"/>
      <c r="D28" s="585">
        <f t="shared" si="0"/>
        <v>0</v>
      </c>
      <c r="E28" s="65" t="s">
        <v>178</v>
      </c>
      <c r="F28" s="585">
        <f t="shared" si="2"/>
        <v>0</v>
      </c>
      <c r="G28" s="585">
        <f t="shared" si="2"/>
        <v>0</v>
      </c>
      <c r="H28" s="585">
        <f t="shared" si="1"/>
        <v>0</v>
      </c>
    </row>
    <row r="29" spans="1:8" s="38" customFormat="1" ht="11.25">
      <c r="A29" s="65" t="s">
        <v>173</v>
      </c>
      <c r="B29" s="585">
        <v>9338</v>
      </c>
      <c r="C29" s="585"/>
      <c r="D29" s="585">
        <f t="shared" si="0"/>
        <v>-9338</v>
      </c>
      <c r="E29" s="65" t="s">
        <v>173</v>
      </c>
      <c r="F29" s="585">
        <f t="shared" si="2"/>
        <v>9</v>
      </c>
      <c r="G29" s="585">
        <f t="shared" si="2"/>
        <v>0</v>
      </c>
      <c r="H29" s="585">
        <f t="shared" si="1"/>
        <v>-9</v>
      </c>
    </row>
    <row r="30" spans="1:8" s="38" customFormat="1" ht="11.25">
      <c r="A30" s="65" t="s">
        <v>174</v>
      </c>
      <c r="B30" s="585"/>
      <c r="C30" s="585"/>
      <c r="D30" s="585">
        <f t="shared" si="0"/>
        <v>0</v>
      </c>
      <c r="E30" s="65" t="s">
        <v>174</v>
      </c>
      <c r="F30" s="585">
        <f t="shared" si="2"/>
        <v>0</v>
      </c>
      <c r="G30" s="585">
        <f t="shared" si="2"/>
        <v>0</v>
      </c>
      <c r="H30" s="585">
        <f t="shared" si="1"/>
        <v>0</v>
      </c>
    </row>
    <row r="31" spans="1:8" s="38" customFormat="1" ht="11.25">
      <c r="A31" s="65" t="s">
        <v>171</v>
      </c>
      <c r="B31" s="585"/>
      <c r="C31" s="585"/>
      <c r="D31" s="585">
        <f t="shared" si="0"/>
        <v>0</v>
      </c>
      <c r="E31" s="65" t="s">
        <v>172</v>
      </c>
      <c r="F31" s="585">
        <f aca="true" t="shared" si="3" ref="F31:G34">ROUND(B31/1000,0)</f>
        <v>0</v>
      </c>
      <c r="G31" s="585">
        <f t="shared" si="3"/>
        <v>0</v>
      </c>
      <c r="H31" s="585">
        <f t="shared" si="1"/>
        <v>0</v>
      </c>
    </row>
    <row r="32" spans="1:8" s="38" customFormat="1" ht="11.25">
      <c r="A32" s="65" t="s">
        <v>179</v>
      </c>
      <c r="B32" s="585"/>
      <c r="C32" s="585"/>
      <c r="D32" s="585">
        <f t="shared" si="0"/>
        <v>0</v>
      </c>
      <c r="E32" s="65" t="s">
        <v>179</v>
      </c>
      <c r="F32" s="585">
        <f t="shared" si="3"/>
        <v>0</v>
      </c>
      <c r="G32" s="585">
        <f t="shared" si="3"/>
        <v>0</v>
      </c>
      <c r="H32" s="585">
        <f t="shared" si="1"/>
        <v>0</v>
      </c>
    </row>
    <row r="33" spans="1:8" s="38" customFormat="1" ht="11.25">
      <c r="A33" s="65" t="s">
        <v>180</v>
      </c>
      <c r="B33" s="585"/>
      <c r="C33" s="585"/>
      <c r="D33" s="585">
        <f t="shared" si="0"/>
        <v>0</v>
      </c>
      <c r="E33" s="65" t="s">
        <v>180</v>
      </c>
      <c r="F33" s="585">
        <f t="shared" si="3"/>
        <v>0</v>
      </c>
      <c r="G33" s="585">
        <f t="shared" si="3"/>
        <v>0</v>
      </c>
      <c r="H33" s="585">
        <f t="shared" si="1"/>
        <v>0</v>
      </c>
    </row>
    <row r="34" spans="1:8" s="38" customFormat="1" ht="11.25">
      <c r="A34" s="65" t="s">
        <v>175</v>
      </c>
      <c r="B34" s="585"/>
      <c r="C34" s="585"/>
      <c r="D34" s="585">
        <f t="shared" si="0"/>
        <v>0</v>
      </c>
      <c r="E34" s="65" t="s">
        <v>175</v>
      </c>
      <c r="F34" s="585">
        <f t="shared" si="3"/>
        <v>0</v>
      </c>
      <c r="G34" s="585">
        <f t="shared" si="3"/>
        <v>0</v>
      </c>
      <c r="H34" s="585">
        <f t="shared" si="1"/>
        <v>0</v>
      </c>
    </row>
    <row r="35" spans="1:8" s="476" customFormat="1" ht="12.75">
      <c r="A35" s="244" t="s">
        <v>181</v>
      </c>
      <c r="B35" s="245">
        <f>B36</f>
        <v>1569805</v>
      </c>
      <c r="C35" s="245">
        <f>C36</f>
        <v>3213164</v>
      </c>
      <c r="D35" s="245">
        <f t="shared" si="0"/>
        <v>1643359</v>
      </c>
      <c r="E35" s="244" t="s">
        <v>181</v>
      </c>
      <c r="F35" s="245">
        <f>F36</f>
        <v>1570</v>
      </c>
      <c r="G35" s="245">
        <f>G36</f>
        <v>3213</v>
      </c>
      <c r="H35" s="245">
        <f t="shared" si="1"/>
        <v>1643</v>
      </c>
    </row>
    <row r="36" spans="1:8" s="679" customFormat="1" ht="12">
      <c r="A36" s="74" t="s">
        <v>182</v>
      </c>
      <c r="B36" s="184">
        <f>SUM(B37:B41)</f>
        <v>1569805</v>
      </c>
      <c r="C36" s="184">
        <f>SUM(C37:C41)</f>
        <v>3213164</v>
      </c>
      <c r="D36" s="184">
        <f t="shared" si="0"/>
        <v>1643359</v>
      </c>
      <c r="E36" s="74" t="s">
        <v>182</v>
      </c>
      <c r="F36" s="184">
        <f>SUM(F37:F41)</f>
        <v>1570</v>
      </c>
      <c r="G36" s="184">
        <f>SUM(G37:G41)</f>
        <v>3213</v>
      </c>
      <c r="H36" s="184">
        <f t="shared" si="1"/>
        <v>1643</v>
      </c>
    </row>
    <row r="37" spans="1:8" s="38" customFormat="1" ht="11.25">
      <c r="A37" s="65" t="s">
        <v>183</v>
      </c>
      <c r="B37" s="585">
        <v>158837</v>
      </c>
      <c r="C37" s="585">
        <v>144418</v>
      </c>
      <c r="D37" s="585">
        <f t="shared" si="0"/>
        <v>-14419</v>
      </c>
      <c r="E37" s="65" t="s">
        <v>183</v>
      </c>
      <c r="F37" s="585">
        <f aca="true" t="shared" si="4" ref="F37:G41">ROUND(B37/1000,0)</f>
        <v>159</v>
      </c>
      <c r="G37" s="585">
        <f>ROUND(C37/1000,0)</f>
        <v>144</v>
      </c>
      <c r="H37" s="585">
        <f t="shared" si="1"/>
        <v>-15</v>
      </c>
    </row>
    <row r="38" spans="1:8" s="38" customFormat="1" ht="11.25">
      <c r="A38" s="65" t="s">
        <v>184</v>
      </c>
      <c r="B38" s="585">
        <v>760900</v>
      </c>
      <c r="C38" s="585">
        <v>1655437</v>
      </c>
      <c r="D38" s="585">
        <f t="shared" si="0"/>
        <v>894537</v>
      </c>
      <c r="E38" s="65" t="s">
        <v>184</v>
      </c>
      <c r="F38" s="585">
        <f t="shared" si="4"/>
        <v>761</v>
      </c>
      <c r="G38" s="585">
        <f>ROUND(C38/1000,0)+1</f>
        <v>1656</v>
      </c>
      <c r="H38" s="585">
        <f t="shared" si="1"/>
        <v>895</v>
      </c>
    </row>
    <row r="39" spans="1:8" s="38" customFormat="1" ht="11.25">
      <c r="A39" s="65" t="s">
        <v>185</v>
      </c>
      <c r="B39" s="585">
        <v>120897</v>
      </c>
      <c r="C39" s="585">
        <v>112068</v>
      </c>
      <c r="D39" s="585">
        <f t="shared" si="0"/>
        <v>-8829</v>
      </c>
      <c r="E39" s="65" t="s">
        <v>185</v>
      </c>
      <c r="F39" s="585">
        <f t="shared" si="4"/>
        <v>121</v>
      </c>
      <c r="G39" s="585">
        <f>ROUND(C39/1000,0)</f>
        <v>112</v>
      </c>
      <c r="H39" s="585">
        <f t="shared" si="1"/>
        <v>-9</v>
      </c>
    </row>
    <row r="40" spans="1:8" s="38" customFormat="1" ht="11.25">
      <c r="A40" s="65" t="s">
        <v>186</v>
      </c>
      <c r="B40" s="585">
        <v>37031</v>
      </c>
      <c r="C40" s="585"/>
      <c r="D40" s="585">
        <f t="shared" si="0"/>
        <v>-37031</v>
      </c>
      <c r="E40" s="65" t="s">
        <v>186</v>
      </c>
      <c r="F40" s="585">
        <f>ROUND(B40/1000,0)</f>
        <v>37</v>
      </c>
      <c r="G40" s="585">
        <f t="shared" si="4"/>
        <v>0</v>
      </c>
      <c r="H40" s="585">
        <f t="shared" si="1"/>
        <v>-37</v>
      </c>
    </row>
    <row r="41" spans="1:8" s="38" customFormat="1" ht="11.25">
      <c r="A41" s="65" t="s">
        <v>187</v>
      </c>
      <c r="B41" s="585">
        <v>492140</v>
      </c>
      <c r="C41" s="585">
        <v>1301241</v>
      </c>
      <c r="D41" s="585">
        <f t="shared" si="0"/>
        <v>809101</v>
      </c>
      <c r="E41" s="65" t="s">
        <v>187</v>
      </c>
      <c r="F41" s="585">
        <f t="shared" si="4"/>
        <v>492</v>
      </c>
      <c r="G41" s="585">
        <f t="shared" si="4"/>
        <v>1301</v>
      </c>
      <c r="H41" s="585">
        <f t="shared" si="1"/>
        <v>809</v>
      </c>
    </row>
    <row r="42" ht="12.75">
      <c r="E42" s="38"/>
    </row>
    <row r="44" spans="1:8" s="49" customFormat="1" ht="12.75">
      <c r="A44" s="49" t="s">
        <v>188</v>
      </c>
      <c r="B44" s="672"/>
      <c r="C44" s="672"/>
      <c r="D44" s="373" t="s">
        <v>376</v>
      </c>
      <c r="F44" s="85"/>
      <c r="G44" s="85"/>
      <c r="H44" s="373"/>
    </row>
    <row r="46" spans="5:8" ht="12.75">
      <c r="E46" s="49" t="s">
        <v>188</v>
      </c>
      <c r="G46" s="888" t="s">
        <v>544</v>
      </c>
      <c r="H46" s="888"/>
    </row>
    <row r="52" ht="12.75">
      <c r="E52" s="38" t="s">
        <v>334</v>
      </c>
    </row>
    <row r="53" ht="12.75">
      <c r="E53" s="38" t="s">
        <v>880</v>
      </c>
    </row>
  </sheetData>
  <mergeCells count="7">
    <mergeCell ref="A6:D6"/>
    <mergeCell ref="E6:H6"/>
    <mergeCell ref="G46:H46"/>
    <mergeCell ref="A3:D3"/>
    <mergeCell ref="E3:H3"/>
    <mergeCell ref="A5:D5"/>
    <mergeCell ref="E5:H5"/>
  </mergeCells>
  <printOptions/>
  <pageMargins left="0.75" right="0.75" top="1" bottom="1" header="0.5" footer="0.5"/>
  <pageSetup firstPageNumber="57" useFirstPageNumber="1" horizontalDpi="600" verticalDpi="600" orientation="portrait" paperSize="9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7"/>
  <sheetViews>
    <sheetView workbookViewId="0" topLeftCell="I1">
      <selection activeCell="I8" sqref="I8"/>
    </sheetView>
  </sheetViews>
  <sheetFormatPr defaultColWidth="9.140625" defaultRowHeight="17.25" customHeight="1"/>
  <cols>
    <col min="1" max="1" width="37.7109375" style="144" hidden="1" customWidth="1"/>
    <col min="2" max="2" width="12.140625" style="144" hidden="1" customWidth="1"/>
    <col min="3" max="3" width="12.421875" style="144" hidden="1" customWidth="1"/>
    <col min="4" max="4" width="11.140625" style="144" hidden="1" customWidth="1"/>
    <col min="5" max="5" width="7.8515625" style="144" hidden="1" customWidth="1"/>
    <col min="6" max="6" width="12.7109375" style="144" hidden="1" customWidth="1"/>
    <col min="7" max="7" width="11.421875" style="144" hidden="1" customWidth="1"/>
    <col min="8" max="8" width="9.7109375" style="144" hidden="1" customWidth="1"/>
    <col min="9" max="9" width="34.8515625" style="144" customWidth="1"/>
    <col min="10" max="10" width="10.7109375" style="144" customWidth="1"/>
    <col min="11" max="11" width="10.00390625" style="144" customWidth="1"/>
    <col min="12" max="12" width="9.7109375" style="144" customWidth="1"/>
    <col min="13" max="13" width="7.57421875" style="144" customWidth="1"/>
    <col min="14" max="14" width="8.8515625" style="144" customWidth="1"/>
    <col min="15" max="15" width="10.57421875" style="144" customWidth="1"/>
    <col min="16" max="19" width="11.421875" style="144" hidden="1" customWidth="1"/>
    <col min="20" max="16384" width="11.421875" style="144" customWidth="1"/>
  </cols>
  <sheetData>
    <row r="1" spans="2:15" ht="17.25" customHeight="1">
      <c r="B1" s="145"/>
      <c r="C1" s="145"/>
      <c r="D1" s="145"/>
      <c r="E1" s="145"/>
      <c r="F1" s="145"/>
      <c r="G1" s="144" t="s">
        <v>378</v>
      </c>
      <c r="J1" s="145"/>
      <c r="K1" s="145"/>
      <c r="L1" s="145"/>
      <c r="M1" s="145"/>
      <c r="N1" s="145"/>
      <c r="O1" s="144" t="s">
        <v>378</v>
      </c>
    </row>
    <row r="2" spans="1:14" ht="17.25" customHeight="1">
      <c r="A2" s="145" t="s">
        <v>379</v>
      </c>
      <c r="B2" s="145"/>
      <c r="C2" s="145"/>
      <c r="D2" s="145"/>
      <c r="E2" s="145"/>
      <c r="F2" s="145"/>
      <c r="I2" s="145" t="s">
        <v>379</v>
      </c>
      <c r="J2" s="145"/>
      <c r="K2" s="145"/>
      <c r="L2" s="145"/>
      <c r="M2" s="145"/>
      <c r="N2" s="145"/>
    </row>
    <row r="3" spans="1:15" ht="17.25" customHeight="1">
      <c r="A3" s="146" t="s">
        <v>380</v>
      </c>
      <c r="B3" s="145"/>
      <c r="C3" s="145"/>
      <c r="D3" s="145"/>
      <c r="E3" s="145"/>
      <c r="F3" s="145"/>
      <c r="I3" s="836" t="s">
        <v>380</v>
      </c>
      <c r="J3" s="836"/>
      <c r="K3" s="836"/>
      <c r="L3" s="836"/>
      <c r="M3" s="836"/>
      <c r="N3" s="836"/>
      <c r="O3" s="836"/>
    </row>
    <row r="4" spans="1:14" ht="17.25" customHeight="1">
      <c r="A4" s="837" t="s">
        <v>319</v>
      </c>
      <c r="B4" s="837"/>
      <c r="C4" s="837"/>
      <c r="D4" s="837"/>
      <c r="E4" s="837"/>
      <c r="F4" s="837"/>
      <c r="I4" s="837" t="s">
        <v>525</v>
      </c>
      <c r="J4" s="837"/>
      <c r="K4" s="837"/>
      <c r="L4" s="837"/>
      <c r="M4" s="837"/>
      <c r="N4" s="837"/>
    </row>
    <row r="5" spans="1:14" ht="17.25" customHeight="1">
      <c r="A5" s="835" t="s">
        <v>381</v>
      </c>
      <c r="B5" s="835"/>
      <c r="C5" s="835"/>
      <c r="D5" s="835"/>
      <c r="E5" s="835"/>
      <c r="F5" s="835"/>
      <c r="I5" s="835" t="s">
        <v>381</v>
      </c>
      <c r="J5" s="835"/>
      <c r="K5" s="835"/>
      <c r="L5" s="835"/>
      <c r="M5" s="835"/>
      <c r="N5" s="835"/>
    </row>
    <row r="6" spans="1:14" ht="17.25" customHeight="1" hidden="1">
      <c r="A6" s="147"/>
      <c r="B6" s="147"/>
      <c r="C6" s="147"/>
      <c r="D6" s="147"/>
      <c r="E6" s="147"/>
      <c r="F6" s="147"/>
      <c r="I6" s="147"/>
      <c r="J6" s="147"/>
      <c r="K6" s="147"/>
      <c r="L6" s="147"/>
      <c r="M6" s="147"/>
      <c r="N6" s="147"/>
    </row>
    <row r="7" spans="1:15" ht="15.75" customHeight="1">
      <c r="A7" s="835"/>
      <c r="B7" s="835"/>
      <c r="C7" s="835"/>
      <c r="D7" s="835"/>
      <c r="E7" s="835"/>
      <c r="F7" s="835"/>
      <c r="G7" s="144" t="s">
        <v>240</v>
      </c>
      <c r="I7" s="835"/>
      <c r="J7" s="835"/>
      <c r="K7" s="835"/>
      <c r="L7" s="835"/>
      <c r="M7" s="835"/>
      <c r="N7" s="835"/>
      <c r="O7" s="144" t="s">
        <v>240</v>
      </c>
    </row>
    <row r="8" spans="1:15" ht="85.5" customHeight="1">
      <c r="A8" s="148" t="s">
        <v>193</v>
      </c>
      <c r="B8" s="148" t="s">
        <v>241</v>
      </c>
      <c r="C8" s="148" t="s">
        <v>382</v>
      </c>
      <c r="D8" s="148" t="s">
        <v>242</v>
      </c>
      <c r="E8" s="148" t="s">
        <v>383</v>
      </c>
      <c r="F8" s="148" t="s">
        <v>384</v>
      </c>
      <c r="G8" s="148" t="s">
        <v>320</v>
      </c>
      <c r="I8" s="148" t="s">
        <v>193</v>
      </c>
      <c r="J8" s="148" t="s">
        <v>241</v>
      </c>
      <c r="K8" s="148" t="s">
        <v>382</v>
      </c>
      <c r="L8" s="148" t="s">
        <v>242</v>
      </c>
      <c r="M8" s="148" t="s">
        <v>383</v>
      </c>
      <c r="N8" s="148" t="s">
        <v>384</v>
      </c>
      <c r="O8" s="148" t="s">
        <v>317</v>
      </c>
    </row>
    <row r="9" spans="1:15" ht="12">
      <c r="A9" s="148">
        <v>1</v>
      </c>
      <c r="B9" s="148">
        <v>2</v>
      </c>
      <c r="C9" s="148">
        <v>3</v>
      </c>
      <c r="D9" s="148">
        <v>4</v>
      </c>
      <c r="E9" s="148">
        <v>5</v>
      </c>
      <c r="F9" s="148">
        <v>6</v>
      </c>
      <c r="G9" s="149">
        <v>7</v>
      </c>
      <c r="I9" s="148">
        <v>1</v>
      </c>
      <c r="J9" s="148">
        <v>2</v>
      </c>
      <c r="K9" s="148">
        <v>3</v>
      </c>
      <c r="L9" s="148">
        <v>4</v>
      </c>
      <c r="M9" s="148">
        <v>5</v>
      </c>
      <c r="N9" s="148">
        <v>6</v>
      </c>
      <c r="O9" s="149">
        <v>7</v>
      </c>
    </row>
    <row r="10" spans="1:19" ht="17.25" customHeight="1">
      <c r="A10" s="150" t="s">
        <v>385</v>
      </c>
      <c r="B10" s="151">
        <v>795383031</v>
      </c>
      <c r="C10" s="152"/>
      <c r="D10" s="151" t="s">
        <v>321</v>
      </c>
      <c r="E10" s="153" t="e">
        <f aca="true" t="shared" si="0" ref="E10:E19">IF(ISERROR(D10/B10)," ",(D10/B10))*100</f>
        <v>#VALUE!</v>
      </c>
      <c r="F10" s="154"/>
      <c r="G10" s="155"/>
      <c r="I10" s="150" t="s">
        <v>385</v>
      </c>
      <c r="J10" s="151">
        <v>795383</v>
      </c>
      <c r="K10" s="156"/>
      <c r="L10" s="151">
        <v>367529</v>
      </c>
      <c r="M10" s="157"/>
      <c r="N10" s="157"/>
      <c r="O10" s="151">
        <v>70225</v>
      </c>
      <c r="Q10" s="158">
        <v>367529</v>
      </c>
      <c r="R10" s="151">
        <v>297304</v>
      </c>
      <c r="S10" s="144">
        <f aca="true" t="shared" si="1" ref="S10:S73">Q10-R10</f>
        <v>70225</v>
      </c>
    </row>
    <row r="11" spans="1:19" ht="12.75" customHeight="1">
      <c r="A11" s="159" t="s">
        <v>386</v>
      </c>
      <c r="B11" s="717">
        <f>B22+B28+B35+B43+B50+B57+B66+B77+B85+B94+B102+B110+B119+B127+B135+B143+B150+B158+B164+B171+B178+B184+B189+B194+B201+B206+B214+B222+B229+B235</f>
        <v>822567488</v>
      </c>
      <c r="C11" s="717">
        <f>C22+C28+C35+C43+C50+C57+C66+C77+C85+C94+C102+C110+C119+C127+C135+C143+C150+C158+C164+C171+C178+C184+C189+C194+C201+C206+C214+C222+C229+C235</f>
        <v>413488589</v>
      </c>
      <c r="D11" s="717">
        <f>D22+D28+D35+D43+D50+D57+D66+D77+D85+D94+D102+D110+D119+D127+D135+D143+D150+D158+D164+D171+D178+D184+D189+D194+D201+D206+D214+D222+D229+D235</f>
        <v>399417039.77000004</v>
      </c>
      <c r="E11" s="153">
        <f t="shared" si="0"/>
        <v>48.55735797936133</v>
      </c>
      <c r="F11" s="153">
        <f aca="true" t="shared" si="2" ref="F11:F18">IF(ISERROR(D11/C11)," ",(D11/C11))*100</f>
        <v>96.59687120652319</v>
      </c>
      <c r="G11" s="717">
        <f>G22+G28+G35+G43+G50+G57+G66+G77+G85+G94+G102+G110+G119+G127+G135+G143+G150+G158+G164+G171+G178+G184+G189+G194+G201+G206+G214+G222+G229+G235</f>
        <v>73184069.09</v>
      </c>
      <c r="I11" s="159" t="s">
        <v>386</v>
      </c>
      <c r="J11" s="151">
        <f>J22+J28+J35+J43+J50+J57+J66+J77+J85+J94+J102+J110+J119+J127+J135+J143+J150+J158+J164+J171+J178+J184+J189+J194+J201+J206+J214+J222+J229+J235</f>
        <v>822566</v>
      </c>
      <c r="K11" s="151">
        <f>K22+K28+K35+K43+K50+K57+K66+K77+K85+K94+K102+K110+K119+K127+K135+K143+K150+K158+K164+K171+K178+K184+K189+K194+K201+K206+K214+K222+K229+K235</f>
        <v>413489</v>
      </c>
      <c r="L11" s="151">
        <f>L22+L28+L35+L43+L50+L57+L66+L77+L85+L94+L102+L110+L119+L127+L135+L143+L150+L158+L164+L171+L178+L184+L189+L194+L201+L206+L214+L222+L229+L235</f>
        <v>399417</v>
      </c>
      <c r="M11" s="161">
        <f aca="true" t="shared" si="3" ref="M11:M18">L11/J11*100</f>
        <v>48.557440983459074</v>
      </c>
      <c r="N11" s="161">
        <f aca="true" t="shared" si="4" ref="N11:N18">L11/K11*100</f>
        <v>96.59676557296567</v>
      </c>
      <c r="O11" s="151">
        <f>O22+O28+O35+O43+O50+O57+O66+O77+O85+O94+O102+O110+O119+O127+O135+O143+O150+O158+O164+O171+O178+O184+O189+O194+O201+O206+O214+O222+O229+O235</f>
        <v>73184</v>
      </c>
      <c r="Q11" s="158">
        <v>399417</v>
      </c>
      <c r="R11" s="151">
        <v>326234</v>
      </c>
      <c r="S11" s="144">
        <f t="shared" si="1"/>
        <v>73183</v>
      </c>
    </row>
    <row r="12" spans="1:19" ht="12.75" customHeight="1">
      <c r="A12" s="159" t="s">
        <v>387</v>
      </c>
      <c r="B12" s="160">
        <f>B23+B29+B36+B44+B51+B58+B67+B78+B86+B95+B103+B111+B120+B128+B136+B144+B151+B159+B165+B172+B179+B185+B190+B195+B202+B207+B215+B230+B236</f>
        <v>702268383</v>
      </c>
      <c r="C12" s="160">
        <f>C23+C29+C36+C44+C51+C58+C67+C78+C86+C95+C103+C111+C120+C128+C136+C144+C151+C159+C165+C172+C179+C185+C190+C195+C202+C207+C215+C230+C236</f>
        <v>362303118</v>
      </c>
      <c r="D12" s="160">
        <f>D23+D29+D36+D44+D51+D58+D67+D78+D86+D95+D103+D111+D120+D128+D136+D144+D151+D159+D165+D172+D179+D185+D190+D195+D202+D207+D215+D230+D236</f>
        <v>362303118</v>
      </c>
      <c r="E12" s="154">
        <f t="shared" si="0"/>
        <v>51.59040713926032</v>
      </c>
      <c r="F12" s="154">
        <f t="shared" si="2"/>
        <v>100</v>
      </c>
      <c r="G12" s="160">
        <f>G23+G29+G36+G44+G51+G58+G67+G78+G86+G95+G103+G111+G120+G128+G136+G144+G151+G159+G165+G172+G179+G185+G190+G195+G202+G207+G215+G230+G236</f>
        <v>67769341</v>
      </c>
      <c r="I12" s="159" t="s">
        <v>387</v>
      </c>
      <c r="J12" s="162">
        <f>J23+J29+J36+J44+J51+J58+J67+J78+J86+J95+J103+J111+J120+J128+J136+J144+J151+J159+J165+J172+J179+J185+J190+J195+J202+J207+J215+J230+J236</f>
        <v>702268</v>
      </c>
      <c r="K12" s="162">
        <f>K23+K29+K36+K44+K51+K58+K67+K78+K86+K95+K103+K111+K120+K128+K136+K144+K151+K159+K165+K172+K179+K185+K190+K195+K202+K207+K215+K230+K236</f>
        <v>362303</v>
      </c>
      <c r="L12" s="162">
        <f>L23+L29+L36+L44+L51+L58+L67+L78+L86+L95+L103+L111+L120+L128+L136+L144+L151+L159+L165+L172+L179+L185+L190+L195+L202+L207+L215+L230+L236</f>
        <v>362303</v>
      </c>
      <c r="M12" s="163">
        <f t="shared" si="3"/>
        <v>51.59041847271981</v>
      </c>
      <c r="N12" s="163">
        <f t="shared" si="4"/>
        <v>100</v>
      </c>
      <c r="O12" s="162">
        <f>O23+O29+O36+O44+O51+O58+O67+O78+O86+O95+O103+O111+O120+O128+O136+O144+O151+O159+O165+O172+O179+O185+O190+O195+O202+O207+O215+O230+O236</f>
        <v>67769</v>
      </c>
      <c r="Q12" s="158">
        <v>362303</v>
      </c>
      <c r="R12" s="162">
        <v>294535</v>
      </c>
      <c r="S12" s="144">
        <f t="shared" si="1"/>
        <v>67768</v>
      </c>
    </row>
    <row r="13" spans="1:19" ht="12.75" customHeight="1">
      <c r="A13" s="159" t="s">
        <v>388</v>
      </c>
      <c r="B13" s="160">
        <f>B59+B68+B87+B112</f>
        <v>3480024</v>
      </c>
      <c r="C13" s="160">
        <f>C59+C68+C87+C112</f>
        <v>1182493</v>
      </c>
      <c r="D13" s="160">
        <f>D59+D68+D87+D112</f>
        <v>593253.19</v>
      </c>
      <c r="E13" s="154">
        <f t="shared" si="0"/>
        <v>17.04738789157776</v>
      </c>
      <c r="F13" s="154">
        <f t="shared" si="2"/>
        <v>50.16969994748383</v>
      </c>
      <c r="G13" s="160">
        <f>G59+G68+G87+G112</f>
        <v>61103.78000000002</v>
      </c>
      <c r="I13" s="159" t="s">
        <v>388</v>
      </c>
      <c r="J13" s="162">
        <f>J59+J68+J87+J112</f>
        <v>3480</v>
      </c>
      <c r="K13" s="162">
        <f>K59+K68+K87+K112</f>
        <v>1183</v>
      </c>
      <c r="L13" s="162">
        <f>L59+L68+L87+L112</f>
        <v>593</v>
      </c>
      <c r="M13" s="163">
        <f t="shared" si="3"/>
        <v>17.04022988505747</v>
      </c>
      <c r="N13" s="163">
        <f t="shared" si="4"/>
        <v>50.12679628064244</v>
      </c>
      <c r="O13" s="162">
        <f>O59+O68+O87+O112</f>
        <v>61</v>
      </c>
      <c r="Q13" s="158">
        <v>593</v>
      </c>
      <c r="R13" s="162">
        <v>532</v>
      </c>
      <c r="S13" s="144">
        <f t="shared" si="1"/>
        <v>61</v>
      </c>
    </row>
    <row r="14" spans="1:19" ht="12.75" customHeight="1">
      <c r="A14" s="159" t="s">
        <v>389</v>
      </c>
      <c r="B14" s="160">
        <f>B30+B37+B45+B52+B60+B69+B79+B88+B96+B104+B113+B121+B129+B137+B145+B152+B166+B173+B196+B223</f>
        <v>60659270</v>
      </c>
      <c r="C14" s="160">
        <f>C30+C37+C45+C52+C60+C69+C79+C88+C96+C104+C113+C121+C129+C137+C145+C152+C166+C173+C196+C223</f>
        <v>30277762</v>
      </c>
      <c r="D14" s="160">
        <f>D30+D37+D45+D52+D60+D69+D79+D88+D96+D104+D113+D121+D129+D137+D145+D152+D166+D173+D196+D223</f>
        <v>28881889.919999998</v>
      </c>
      <c r="E14" s="154">
        <f t="shared" si="0"/>
        <v>47.613316019134416</v>
      </c>
      <c r="F14" s="154">
        <f t="shared" si="2"/>
        <v>95.38977788384754</v>
      </c>
      <c r="G14" s="160">
        <f>G30+G37+G45+G52+G60+G69+G79+G88+G96+G104+G113+G121+G129+G137+G145+G152+G166+G173+G196+G223</f>
        <v>4371837.640000001</v>
      </c>
      <c r="I14" s="159" t="s">
        <v>389</v>
      </c>
      <c r="J14" s="162">
        <f>J30+J37+J45+J52+J60+J69+J79+J88+J96+J104+J113+J121+J129+J137+J145+J152+J166+J173+J196+J216+J223</f>
        <v>60659</v>
      </c>
      <c r="K14" s="162">
        <f>K30+K37+K45+K52+K60+K69+K79+K88+K96+K104+K113+K121+K129+K137+K145+K152+K166+K173+K196+K223</f>
        <v>30278</v>
      </c>
      <c r="L14" s="162">
        <f>L30+L37+L45+L52+L60+L69+L79+L88+L96+L104+L113+L121+L129+L137+L145+L152+L166+L173+L196+L216+L223</f>
        <v>28882</v>
      </c>
      <c r="M14" s="163">
        <f t="shared" si="3"/>
        <v>47.61370942481742</v>
      </c>
      <c r="N14" s="163">
        <f t="shared" si="4"/>
        <v>95.38939163749257</v>
      </c>
      <c r="O14" s="162">
        <f>O30+O37+O45+O52+O60+O69+O79+O88+O96+O104+O113+O121+O129+O137+O145+O152+O166+O173+O196+O216+O223</f>
        <v>4372</v>
      </c>
      <c r="Q14" s="158">
        <v>28882</v>
      </c>
      <c r="R14" s="162">
        <v>24510</v>
      </c>
      <c r="S14" s="144">
        <f t="shared" si="1"/>
        <v>4372</v>
      </c>
    </row>
    <row r="15" spans="1:19" ht="12.75" customHeight="1">
      <c r="A15" s="159" t="s">
        <v>390</v>
      </c>
      <c r="B15" s="160">
        <f>B38+B61+B70+B80+B89+B97+B105+B114+B122+B130+B138+B153+B209+B217</f>
        <v>56159811</v>
      </c>
      <c r="C15" s="160">
        <f>C38+C61+C70+C80+C89+C97+C105+C114+C122+C130+C138+C153+C209+C217</f>
        <v>19725216</v>
      </c>
      <c r="D15" s="164">
        <f>D38+D61+D70+D80+D89+D97+D105+D114+D122+D130+D138+D153+D209+D217</f>
        <v>7638778.66</v>
      </c>
      <c r="E15" s="154">
        <f t="shared" si="0"/>
        <v>13.601859628765489</v>
      </c>
      <c r="F15" s="154">
        <f t="shared" si="2"/>
        <v>38.7259569679744</v>
      </c>
      <c r="G15" s="160">
        <f>G38+G61+G70+G80+G89+G97+G105+G114+G122+G130+G138+G153+G209+G217</f>
        <v>981980.0100000002</v>
      </c>
      <c r="I15" s="159" t="s">
        <v>390</v>
      </c>
      <c r="J15" s="162">
        <f>J38+J61+J70+J80+J89+J97+J105+J114+J122+J130+J138+J153+J209+J217</f>
        <v>56159</v>
      </c>
      <c r="K15" s="162">
        <f>K38+K61+K70+K80+K89+K97+K105+K114+K122+K130+K138+K153+K209+K217</f>
        <v>19725</v>
      </c>
      <c r="L15" s="162">
        <f>L38+L61+L70+L80+L89+L97+L105+L114+L122+L130+L138+L153+L209+L217</f>
        <v>7639</v>
      </c>
      <c r="M15" s="163">
        <f t="shared" si="3"/>
        <v>13.602450186078812</v>
      </c>
      <c r="N15" s="163">
        <f t="shared" si="4"/>
        <v>38.72750316856781</v>
      </c>
      <c r="O15" s="162">
        <f>O38+O61+O70+O80+O89+O97+O105+O114+O122+O130+O138+O153+O209+O217</f>
        <v>982</v>
      </c>
      <c r="Q15" s="158">
        <v>7639</v>
      </c>
      <c r="R15" s="162">
        <v>6657</v>
      </c>
      <c r="S15" s="144">
        <f t="shared" si="1"/>
        <v>982</v>
      </c>
    </row>
    <row r="16" spans="1:88" s="147" customFormat="1" ht="12.75" customHeight="1">
      <c r="A16" s="165" t="s">
        <v>391</v>
      </c>
      <c r="B16" s="166">
        <f>B24+B31+B39+B46+B53+B62+B71+B81+B90+B98+B106+B115+B123+B131+B139+B146+B154+B161+B167+B174+B180+B186+B191+B197+B203+B210+B218+B224+B231+B237</f>
        <v>822563488</v>
      </c>
      <c r="C16" s="166">
        <f>C24+C31+C39+C46+C53+C62+C71+C81+C90+C98+C106+C115+C123+C131+C139+C146+C154+C161+C167+C174+C180+C186+C191+C197+C203+C210+C218+C224+C231+C237</f>
        <v>413709115</v>
      </c>
      <c r="D16" s="166">
        <f>D24+D31+D39+D46+D53+D62+D71+D81+D90+D98+D106+D115+D123+D131+D139+D146+D154+D161+D167+D174+D180+D186+D191+D197+D203+D210+D218+D224+D231+D237</f>
        <v>376777179.39000005</v>
      </c>
      <c r="E16" s="153">
        <f t="shared" si="0"/>
        <v>45.805239946414936</v>
      </c>
      <c r="F16" s="153">
        <f t="shared" si="2"/>
        <v>91.07297028976508</v>
      </c>
      <c r="G16" s="166">
        <f>G24+G31+G39+G46+G53+G62+G71+G81+G90+G98+G106+G115+G123+G131+G139+G146+G154+G161+G167+G174+G180+G186+G191+G197+G203+G210+G218+G224+G231+G237</f>
        <v>73186581.74</v>
      </c>
      <c r="H16" s="144"/>
      <c r="I16" s="165" t="s">
        <v>391</v>
      </c>
      <c r="J16" s="151">
        <f>J17+J18</f>
        <v>822563</v>
      </c>
      <c r="K16" s="151">
        <f>K17+K18</f>
        <v>413709</v>
      </c>
      <c r="L16" s="151">
        <f>L17+L18</f>
        <v>383388</v>
      </c>
      <c r="M16" s="161">
        <f t="shared" si="3"/>
        <v>46.60895274890799</v>
      </c>
      <c r="N16" s="161">
        <f t="shared" si="4"/>
        <v>92.67093536761347</v>
      </c>
      <c r="O16" s="151">
        <f>O17+O18</f>
        <v>73187</v>
      </c>
      <c r="P16" s="144"/>
      <c r="Q16" s="158">
        <v>383388</v>
      </c>
      <c r="R16" s="151">
        <v>310201</v>
      </c>
      <c r="S16" s="144">
        <f t="shared" si="1"/>
        <v>73187</v>
      </c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</row>
    <row r="17" spans="1:88" s="718" customFormat="1" ht="12.75" customHeight="1">
      <c r="A17" s="167" t="s">
        <v>392</v>
      </c>
      <c r="B17" s="168">
        <f>B25+B32+B40+B47+B54+B63+B72+B82+B91+B99+B107+B116+B124+B132+B140+B147+B155+B162+B175+B181+B187+B192+B198+B204+B211+B219+B225+B232+B238+B168</f>
        <v>743343379</v>
      </c>
      <c r="C17" s="168">
        <f>C25+C32+C40+C47+C54+C63+C72+C82+C91+C99+C107+C116+C124+C132+C140+C147+C155+C162+C175+C181+C187+C192+C198+C204+C211+C219+C225+C232+C238+C168</f>
        <v>377757625</v>
      </c>
      <c r="D17" s="168">
        <f>D25+D32+D40+D47+D54+D63+D72+D82+D91+D99+D107+D116+D124+D132+D140+D147+D155+D162+D175+D181+D187+D192+D198+D204+D211+D219+D225+D232+D238+D168</f>
        <v>359224423.9800001</v>
      </c>
      <c r="E17" s="154">
        <f t="shared" si="0"/>
        <v>48.3255026046314</v>
      </c>
      <c r="F17" s="154">
        <f t="shared" si="2"/>
        <v>95.09389095190338</v>
      </c>
      <c r="G17" s="168">
        <f>G25+G32+G40+G47+G54+G63+G72+G82+G91+G99+G107+G116+G124+G132+G140+G147+G155+G162+G175+G181+G187+G192+G198+G204+G211+G219+G225+G232+G238+G168</f>
        <v>68133903.43</v>
      </c>
      <c r="H17" s="144"/>
      <c r="I17" s="167" t="s">
        <v>392</v>
      </c>
      <c r="J17" s="168">
        <f>J25+J32+J40+J47+J54+J63+J72+J82+J91+J99+J107+J116+J124+J132+J140+J147+J155+J162+J175+J181+J187+J192+J198+J204+J211+J219+J225+J232+J238+J168</f>
        <v>743343</v>
      </c>
      <c r="K17" s="168">
        <f>K25+K32+K40+K47+K54+K63+K72+K82+K91+K99+K107+K116+K124+K132+K140+K147+K155+K162+K175+K181+K187+K192+K198+K204+K211+K219+K225+K232+K238+K168</f>
        <v>377758</v>
      </c>
      <c r="L17" s="168">
        <f>L25+L32+L40+L47+L54+L63+L72+L82+L91+L99+L107+L116+L124+L132+L140+L147+L155+L162+L175+L181+L187+L192+L198+L204+L211+L219+L225+L232+L238+L168</f>
        <v>359225</v>
      </c>
      <c r="M17" s="163">
        <f t="shared" si="3"/>
        <v>48.325604734288206</v>
      </c>
      <c r="N17" s="163">
        <f t="shared" si="4"/>
        <v>95.09394903615542</v>
      </c>
      <c r="O17" s="162">
        <f>O25+O32+O40+O47+O54+O63+O72+O82+O91+O99+O107+O116+O124+O132+O140+O147+O155+O162+O175+O181+O187+O192+O198+O204+O211+O219+O225+O232+O238+O168</f>
        <v>68134</v>
      </c>
      <c r="P17" s="144"/>
      <c r="Q17" s="158">
        <v>359225</v>
      </c>
      <c r="R17" s="168">
        <v>291091</v>
      </c>
      <c r="S17" s="144">
        <f t="shared" si="1"/>
        <v>68134</v>
      </c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</row>
    <row r="18" spans="1:88" s="718" customFormat="1" ht="12.75" customHeight="1">
      <c r="A18" s="167" t="s">
        <v>393</v>
      </c>
      <c r="B18" s="168">
        <f>B26+B33+B41+B48+B55+B64+B73+B83+B92+B100+B108+B117+B125+B133+B141+B148+B156+B169+B176+B182+B199+B212+B220+B226+B233</f>
        <v>79220109</v>
      </c>
      <c r="C18" s="168">
        <f>C26+C33+C41+C48+C55+C64+C73+C83+C92+C100+C108+C117+C125+C133+C141+C148+C156+C169+C176+C182+C199+C212+C220+C226+C233</f>
        <v>35951490</v>
      </c>
      <c r="D18" s="168">
        <f>D26+D33+D41+D48+D55+D64+D73+D83+D92+D100+D108+D117+D125+D133+D141+D148+D156+D169+D176+D182+D199+D212+D220+D226+D233</f>
        <v>24162853.17</v>
      </c>
      <c r="E18" s="154">
        <f t="shared" si="0"/>
        <v>30.50090876547519</v>
      </c>
      <c r="F18" s="154">
        <f t="shared" si="2"/>
        <v>67.2096015213834</v>
      </c>
      <c r="G18" s="168">
        <f>G26+G33+G41+G48+G55+G64+G73+G83+G92+G100+G108+G117+G125+G133+G141+G148+G156+G169+G176+G182+G199+G212+G220+G226+G233</f>
        <v>5052678.31</v>
      </c>
      <c r="H18" s="144"/>
      <c r="I18" s="167" t="s">
        <v>393</v>
      </c>
      <c r="J18" s="168">
        <f>J26+J33+J41+J48+J55+J64+J73+J83+J92+J100+J108+J117+J125+J133+J141+J148+J156+J169+J176+J182+J199+J212+J220+J226+J233</f>
        <v>79220</v>
      </c>
      <c r="K18" s="168">
        <f>K26+K33+K41+K48+K55+K64+K73+K83+K92+K100+K108+K117+K125+K133+K141+K148+K156+K169+K176+K182+K199+K212+K220+K226+K233</f>
        <v>35951</v>
      </c>
      <c r="L18" s="168">
        <f>L26+L33+L41+L48+L55+L64+L73+L83+L92+L100+L108+L117+L125+L133+L141+L148+L156+L169+L176+L182+L199+L212+L220+L226+L233</f>
        <v>24163</v>
      </c>
      <c r="M18" s="163">
        <f t="shared" si="3"/>
        <v>30.5011360767483</v>
      </c>
      <c r="N18" s="163">
        <f t="shared" si="4"/>
        <v>67.21092598258741</v>
      </c>
      <c r="O18" s="162">
        <f>O26+O33+O41+O48+O55+O64+O73+O83+O92+O100+O108+O117+O125+O133+O141+O148+O156+O169+O176+O182+O199+O212+O220+O226+O233</f>
        <v>5053</v>
      </c>
      <c r="P18" s="144"/>
      <c r="Q18" s="158">
        <v>24163</v>
      </c>
      <c r="R18" s="168">
        <v>19110</v>
      </c>
      <c r="S18" s="144">
        <f t="shared" si="1"/>
        <v>5053</v>
      </c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</row>
    <row r="19" spans="1:19" ht="12.75" customHeight="1">
      <c r="A19" s="121" t="s">
        <v>394</v>
      </c>
      <c r="B19" s="169">
        <f>B74</f>
        <v>48898920</v>
      </c>
      <c r="C19" s="169"/>
      <c r="D19" s="169">
        <v>12770965</v>
      </c>
      <c r="E19" s="154">
        <f t="shared" si="0"/>
        <v>26.117069661252234</v>
      </c>
      <c r="F19" s="169"/>
      <c r="G19" s="169">
        <f>G74</f>
        <v>-4443009</v>
      </c>
      <c r="I19" s="121" t="s">
        <v>394</v>
      </c>
      <c r="J19" s="162">
        <f>ROUND(B19/1000,0)</f>
        <v>48899</v>
      </c>
      <c r="K19" s="156"/>
      <c r="L19" s="162">
        <f>ROUND(D19/1000,0)</f>
        <v>12771</v>
      </c>
      <c r="M19" s="157"/>
      <c r="N19" s="157"/>
      <c r="O19" s="162">
        <f>ROUND(G19/1000,0)</f>
        <v>-4443</v>
      </c>
      <c r="Q19" s="158">
        <v>0</v>
      </c>
      <c r="R19" s="162">
        <v>17214</v>
      </c>
      <c r="S19" s="144">
        <f t="shared" si="1"/>
        <v>-17214</v>
      </c>
    </row>
    <row r="20" spans="1:19" ht="12.75" customHeight="1">
      <c r="A20" s="121" t="s">
        <v>395</v>
      </c>
      <c r="B20" s="169">
        <f>B10-B16-B19</f>
        <v>-76079377</v>
      </c>
      <c r="C20" s="169"/>
      <c r="D20" s="169" t="e">
        <f>D10-D16-D19</f>
        <v>#VALUE!</v>
      </c>
      <c r="E20" s="154" t="e">
        <f>E10-E16-E19</f>
        <v>#VALUE!</v>
      </c>
      <c r="F20" s="154"/>
      <c r="G20" s="169">
        <f>G10-G16-G19</f>
        <v>-68743572.74</v>
      </c>
      <c r="I20" s="121" t="s">
        <v>395</v>
      </c>
      <c r="J20" s="162">
        <f>J10-J16-J19</f>
        <v>-76079</v>
      </c>
      <c r="K20" s="156"/>
      <c r="L20" s="162">
        <f>L10-L16-L19</f>
        <v>-28630</v>
      </c>
      <c r="M20" s="157"/>
      <c r="N20" s="157"/>
      <c r="O20" s="162">
        <f>O10-O16-O19</f>
        <v>1481</v>
      </c>
      <c r="Q20" s="158"/>
      <c r="R20" s="162">
        <v>-30111</v>
      </c>
      <c r="S20" s="144">
        <f t="shared" si="1"/>
        <v>30111</v>
      </c>
    </row>
    <row r="21" spans="1:88" s="718" customFormat="1" ht="12.75" customHeight="1">
      <c r="A21" s="170" t="s">
        <v>396</v>
      </c>
      <c r="B21" s="171"/>
      <c r="C21" s="171"/>
      <c r="D21" s="171"/>
      <c r="E21" s="171"/>
      <c r="F21" s="171"/>
      <c r="G21" s="171"/>
      <c r="H21" s="144"/>
      <c r="I21" s="170" t="s">
        <v>397</v>
      </c>
      <c r="J21" s="171"/>
      <c r="K21" s="171"/>
      <c r="L21" s="171"/>
      <c r="M21" s="163"/>
      <c r="N21" s="163"/>
      <c r="O21" s="171"/>
      <c r="P21" s="144"/>
      <c r="Q21" s="158"/>
      <c r="R21" s="171"/>
      <c r="S21" s="144">
        <f t="shared" si="1"/>
        <v>0</v>
      </c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</row>
    <row r="22" spans="1:88" s="718" customFormat="1" ht="12.75" customHeight="1">
      <c r="A22" s="159" t="s">
        <v>386</v>
      </c>
      <c r="B22" s="171">
        <f>B23</f>
        <v>1179112</v>
      </c>
      <c r="C22" s="171">
        <f>SUM(C23:C23)</f>
        <v>577337</v>
      </c>
      <c r="D22" s="171">
        <f>D23</f>
        <v>577337</v>
      </c>
      <c r="E22" s="153">
        <f>IF(ISERROR(D22/B22)," ",(D22/B22))*100</f>
        <v>48.96371167454831</v>
      </c>
      <c r="F22" s="153">
        <f>IF(ISERROR(D22/C22)," ",(D22/C22))*100</f>
        <v>100</v>
      </c>
      <c r="G22" s="171">
        <f>G23</f>
        <v>130564</v>
      </c>
      <c r="H22" s="173"/>
      <c r="I22" s="159" t="s">
        <v>386</v>
      </c>
      <c r="J22" s="151">
        <f>J23</f>
        <v>1179</v>
      </c>
      <c r="K22" s="151">
        <f>K23</f>
        <v>577</v>
      </c>
      <c r="L22" s="151">
        <f>L23</f>
        <v>577</v>
      </c>
      <c r="M22" s="161">
        <f>L22/J22*100</f>
        <v>48.93977947413062</v>
      </c>
      <c r="N22" s="161">
        <f>L22/K22*100</f>
        <v>100</v>
      </c>
      <c r="O22" s="151">
        <f>O23</f>
        <v>131</v>
      </c>
      <c r="P22" s="144"/>
      <c r="Q22" s="158">
        <v>577</v>
      </c>
      <c r="R22" s="151">
        <v>447</v>
      </c>
      <c r="S22" s="144">
        <f t="shared" si="1"/>
        <v>130</v>
      </c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</row>
    <row r="23" spans="1:88" s="718" customFormat="1" ht="12">
      <c r="A23" s="159" t="s">
        <v>387</v>
      </c>
      <c r="B23" s="169">
        <v>1179112</v>
      </c>
      <c r="C23" s="169">
        <v>577337</v>
      </c>
      <c r="D23" s="169">
        <v>577337</v>
      </c>
      <c r="E23" s="154">
        <f>IF(ISERROR(D23/B23)," ",(D23/B23))*100</f>
        <v>48.96371167454831</v>
      </c>
      <c r="F23" s="154">
        <f>IF(ISERROR(D23/C23)," ",(D23/C23))*100</f>
        <v>100</v>
      </c>
      <c r="G23" s="169">
        <f>D23-'[6]Maijs'!D23</f>
        <v>130564</v>
      </c>
      <c r="H23" s="144"/>
      <c r="I23" s="159" t="s">
        <v>387</v>
      </c>
      <c r="J23" s="162">
        <f>ROUND(B23/1000,0)</f>
        <v>1179</v>
      </c>
      <c r="K23" s="162">
        <f>ROUND(C23/1000,0)</f>
        <v>577</v>
      </c>
      <c r="L23" s="162">
        <f>ROUND(D23/1000,0)</f>
        <v>577</v>
      </c>
      <c r="M23" s="163">
        <f>L23/J23*100</f>
        <v>48.93977947413062</v>
      </c>
      <c r="N23" s="163">
        <f>L23/K23*100</f>
        <v>100</v>
      </c>
      <c r="O23" s="162">
        <f>ROUND(G23/1000,0)</f>
        <v>131</v>
      </c>
      <c r="P23" s="144"/>
      <c r="Q23" s="158">
        <v>577</v>
      </c>
      <c r="R23" s="162">
        <v>447</v>
      </c>
      <c r="S23" s="144">
        <f t="shared" si="1"/>
        <v>130</v>
      </c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</row>
    <row r="24" spans="1:88" s="718" customFormat="1" ht="12.75" customHeight="1">
      <c r="A24" s="165" t="s">
        <v>398</v>
      </c>
      <c r="B24" s="171">
        <f>SUM(B25:B26)</f>
        <v>1179112</v>
      </c>
      <c r="C24" s="171">
        <f>SUM(C25:C26)</f>
        <v>577337</v>
      </c>
      <c r="D24" s="171">
        <f>SUM(D25:D26)</f>
        <v>576897</v>
      </c>
      <c r="E24" s="153">
        <f>IF(ISERROR(D24/B24)," ",(D24/B24))*100</f>
        <v>48.926395456920126</v>
      </c>
      <c r="F24" s="153">
        <f>IF(ISERROR(D24/C24)," ",(D24/C24))*100</f>
        <v>99.92378801289368</v>
      </c>
      <c r="G24" s="171">
        <f>SUM(G25:G26)</f>
        <v>130299.09000000001</v>
      </c>
      <c r="H24" s="144"/>
      <c r="I24" s="165" t="s">
        <v>398</v>
      </c>
      <c r="J24" s="151">
        <f>J25+J26</f>
        <v>1179</v>
      </c>
      <c r="K24" s="151">
        <f>K25+K26</f>
        <v>577</v>
      </c>
      <c r="L24" s="151">
        <f>L25+L26</f>
        <v>577</v>
      </c>
      <c r="M24" s="161">
        <f>L24/J24*100</f>
        <v>48.93977947413062</v>
      </c>
      <c r="N24" s="161">
        <f>L24/K24*100</f>
        <v>100</v>
      </c>
      <c r="O24" s="151">
        <f>O25+O26</f>
        <v>130</v>
      </c>
      <c r="P24" s="144"/>
      <c r="Q24" s="158">
        <v>577</v>
      </c>
      <c r="R24" s="151">
        <v>447</v>
      </c>
      <c r="S24" s="144">
        <f t="shared" si="1"/>
        <v>130</v>
      </c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</row>
    <row r="25" spans="1:88" s="718" customFormat="1" ht="12.75" customHeight="1">
      <c r="A25" s="167" t="s">
        <v>392</v>
      </c>
      <c r="B25" s="169">
        <v>1123212</v>
      </c>
      <c r="C25" s="169">
        <v>553149</v>
      </c>
      <c r="D25" s="169">
        <v>552737.28</v>
      </c>
      <c r="E25" s="154">
        <f>IF(ISERROR(D25/B25)," ",(D25/B25))*100</f>
        <v>49.21041441864938</v>
      </c>
      <c r="F25" s="154">
        <f>IF(ISERROR(D25/C25)," ",(D25/C25))*100</f>
        <v>99.92556797535566</v>
      </c>
      <c r="G25" s="169">
        <f>D25-'[6]Maijs'!D25</f>
        <v>127868.32</v>
      </c>
      <c r="H25" s="144"/>
      <c r="I25" s="167" t="s">
        <v>392</v>
      </c>
      <c r="J25" s="162">
        <f aca="true" t="shared" si="5" ref="J25:L26">ROUND(B25/1000,0)</f>
        <v>1123</v>
      </c>
      <c r="K25" s="162">
        <f t="shared" si="5"/>
        <v>553</v>
      </c>
      <c r="L25" s="162">
        <f t="shared" si="5"/>
        <v>553</v>
      </c>
      <c r="M25" s="163">
        <f>L25/J25*100</f>
        <v>49.24309884238646</v>
      </c>
      <c r="N25" s="163">
        <f>L25/K25*100</f>
        <v>100</v>
      </c>
      <c r="O25" s="162">
        <f>ROUND(G25/1000,0)</f>
        <v>128</v>
      </c>
      <c r="P25" s="144"/>
      <c r="Q25" s="158">
        <v>553</v>
      </c>
      <c r="R25" s="162">
        <v>425</v>
      </c>
      <c r="S25" s="144">
        <f t="shared" si="1"/>
        <v>128</v>
      </c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</row>
    <row r="26" spans="1:88" s="718" customFormat="1" ht="12.75" customHeight="1">
      <c r="A26" s="167" t="s">
        <v>393</v>
      </c>
      <c r="B26" s="169">
        <v>55900</v>
      </c>
      <c r="C26" s="169">
        <v>24188</v>
      </c>
      <c r="D26" s="169">
        <v>24159.72</v>
      </c>
      <c r="E26" s="154">
        <f>IF(ISERROR(D26/B26)," ",(D26/B26))*100</f>
        <v>43.21953488372093</v>
      </c>
      <c r="F26" s="154">
        <f>IF(ISERROR(D26/C26)," ",(D26/C26))*100</f>
        <v>99.88308252025799</v>
      </c>
      <c r="G26" s="169">
        <f>D26-'[6]Maijs'!D26</f>
        <v>2430.7700000000004</v>
      </c>
      <c r="H26" s="144"/>
      <c r="I26" s="167" t="s">
        <v>393</v>
      </c>
      <c r="J26" s="162">
        <f t="shared" si="5"/>
        <v>56</v>
      </c>
      <c r="K26" s="162">
        <f t="shared" si="5"/>
        <v>24</v>
      </c>
      <c r="L26" s="162">
        <f t="shared" si="5"/>
        <v>24</v>
      </c>
      <c r="M26" s="163">
        <f>L26/J26*100</f>
        <v>42.857142857142854</v>
      </c>
      <c r="N26" s="163">
        <f>L26/K26*100</f>
        <v>100</v>
      </c>
      <c r="O26" s="162">
        <f>ROUND(G26/1000,0)</f>
        <v>2</v>
      </c>
      <c r="P26" s="144"/>
      <c r="Q26" s="158">
        <v>24</v>
      </c>
      <c r="R26" s="162">
        <v>22</v>
      </c>
      <c r="S26" s="144">
        <f t="shared" si="1"/>
        <v>2</v>
      </c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</row>
    <row r="27" spans="1:88" s="718" customFormat="1" ht="12.75" customHeight="1">
      <c r="A27" s="165" t="s">
        <v>399</v>
      </c>
      <c r="B27" s="171"/>
      <c r="C27" s="171"/>
      <c r="D27" s="171"/>
      <c r="E27" s="171"/>
      <c r="F27" s="171"/>
      <c r="G27" s="169"/>
      <c r="H27" s="144"/>
      <c r="I27" s="165" t="s">
        <v>400</v>
      </c>
      <c r="J27" s="171"/>
      <c r="K27" s="171"/>
      <c r="L27" s="171"/>
      <c r="M27" s="163"/>
      <c r="N27" s="163"/>
      <c r="O27" s="171"/>
      <c r="P27" s="144"/>
      <c r="Q27" s="158"/>
      <c r="R27" s="171"/>
      <c r="S27" s="144">
        <f t="shared" si="1"/>
        <v>0</v>
      </c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</row>
    <row r="28" spans="1:88" s="718" customFormat="1" ht="12.75" customHeight="1">
      <c r="A28" s="159" t="s">
        <v>386</v>
      </c>
      <c r="B28" s="169">
        <f>SUM(B29:B30)</f>
        <v>7212591</v>
      </c>
      <c r="C28" s="171">
        <f>SUM(C29:C30)</f>
        <v>3587355</v>
      </c>
      <c r="D28" s="171">
        <f>SUM(D29:D30)</f>
        <v>3608609.53</v>
      </c>
      <c r="E28" s="153">
        <f aca="true" t="shared" si="6" ref="E28:E33">IF(ISERROR(D28/B28)," ",(D28/B28))*100</f>
        <v>50.03208320005945</v>
      </c>
      <c r="F28" s="153">
        <f aca="true" t="shared" si="7" ref="F28:F33">IF(ISERROR(D28/C28)," ",(D28/C28))*100</f>
        <v>100.59248471366786</v>
      </c>
      <c r="G28" s="171">
        <f>SUM(G29:G30)</f>
        <v>700923.01</v>
      </c>
      <c r="H28" s="144"/>
      <c r="I28" s="159" t="s">
        <v>386</v>
      </c>
      <c r="J28" s="151">
        <f>J29+J30</f>
        <v>7213</v>
      </c>
      <c r="K28" s="151">
        <f>K29+K30</f>
        <v>3587</v>
      </c>
      <c r="L28" s="151">
        <f>L29+L30</f>
        <v>3608</v>
      </c>
      <c r="M28" s="161">
        <f aca="true" t="shared" si="8" ref="M28:M33">L28/J28*100</f>
        <v>50.02079578538749</v>
      </c>
      <c r="N28" s="161">
        <f aca="true" t="shared" si="9" ref="N28:N33">L28/K28*100</f>
        <v>100.58544744912183</v>
      </c>
      <c r="O28" s="151">
        <f>O29+O30</f>
        <v>700</v>
      </c>
      <c r="P28" s="144"/>
      <c r="Q28" s="158">
        <v>3608</v>
      </c>
      <c r="R28" s="151">
        <v>2908</v>
      </c>
      <c r="S28" s="144">
        <f t="shared" si="1"/>
        <v>700</v>
      </c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</row>
    <row r="29" spans="1:88" s="718" customFormat="1" ht="12.75" customHeight="1">
      <c r="A29" s="159" t="s">
        <v>387</v>
      </c>
      <c r="B29" s="169">
        <v>6972591</v>
      </c>
      <c r="C29" s="169">
        <v>3437357</v>
      </c>
      <c r="D29" s="169">
        <v>3437357</v>
      </c>
      <c r="E29" s="154">
        <f t="shared" si="6"/>
        <v>49.298130350683124</v>
      </c>
      <c r="F29" s="154">
        <f t="shared" si="7"/>
        <v>100</v>
      </c>
      <c r="G29" s="169">
        <f>D29-'[6]Maijs'!D29</f>
        <v>670744</v>
      </c>
      <c r="H29" s="144"/>
      <c r="I29" s="159" t="s">
        <v>387</v>
      </c>
      <c r="J29" s="162">
        <f aca="true" t="shared" si="10" ref="J29:L30">ROUND(B29/1000,0)</f>
        <v>6973</v>
      </c>
      <c r="K29" s="162">
        <f t="shared" si="10"/>
        <v>3437</v>
      </c>
      <c r="L29" s="162">
        <f t="shared" si="10"/>
        <v>3437</v>
      </c>
      <c r="M29" s="163">
        <f t="shared" si="8"/>
        <v>49.29011903054639</v>
      </c>
      <c r="N29" s="163">
        <f t="shared" si="9"/>
        <v>100</v>
      </c>
      <c r="O29" s="162">
        <f>ROUND(G29/1000,0)-1</f>
        <v>670</v>
      </c>
      <c r="P29" s="144"/>
      <c r="Q29" s="158">
        <v>3437</v>
      </c>
      <c r="R29" s="162">
        <v>2767</v>
      </c>
      <c r="S29" s="144">
        <f t="shared" si="1"/>
        <v>670</v>
      </c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</row>
    <row r="30" spans="1:88" s="718" customFormat="1" ht="12.75" customHeight="1">
      <c r="A30" s="159" t="s">
        <v>389</v>
      </c>
      <c r="B30" s="169">
        <v>240000</v>
      </c>
      <c r="C30" s="169">
        <v>149998</v>
      </c>
      <c r="D30" s="169">
        <v>171252.53</v>
      </c>
      <c r="E30" s="154">
        <f t="shared" si="6"/>
        <v>71.35522083333333</v>
      </c>
      <c r="F30" s="154">
        <f t="shared" si="7"/>
        <v>114.1698755983413</v>
      </c>
      <c r="G30" s="169">
        <f>D30-'[6]Maijs'!D30</f>
        <v>30179.01000000001</v>
      </c>
      <c r="H30" s="144"/>
      <c r="I30" s="159" t="s">
        <v>389</v>
      </c>
      <c r="J30" s="162">
        <f t="shared" si="10"/>
        <v>240</v>
      </c>
      <c r="K30" s="162">
        <f t="shared" si="10"/>
        <v>150</v>
      </c>
      <c r="L30" s="162">
        <f t="shared" si="10"/>
        <v>171</v>
      </c>
      <c r="M30" s="163">
        <f t="shared" si="8"/>
        <v>71.25</v>
      </c>
      <c r="N30" s="163">
        <f t="shared" si="9"/>
        <v>113.99999999999999</v>
      </c>
      <c r="O30" s="162">
        <f>ROUND(G30/1000,0)</f>
        <v>30</v>
      </c>
      <c r="P30" s="144"/>
      <c r="Q30" s="158">
        <v>171</v>
      </c>
      <c r="R30" s="162">
        <v>141</v>
      </c>
      <c r="S30" s="144">
        <f t="shared" si="1"/>
        <v>30</v>
      </c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</row>
    <row r="31" spans="1:88" s="718" customFormat="1" ht="12.75" customHeight="1">
      <c r="A31" s="165" t="s">
        <v>391</v>
      </c>
      <c r="B31" s="171">
        <f>SUM(B32:B33)</f>
        <v>7212591</v>
      </c>
      <c r="C31" s="171">
        <f>SUM(C32:C33)</f>
        <v>3587355</v>
      </c>
      <c r="D31" s="171">
        <f>SUM(D32:D33)</f>
        <v>3364037.82</v>
      </c>
      <c r="E31" s="153">
        <f t="shared" si="6"/>
        <v>46.641183729952246</v>
      </c>
      <c r="F31" s="153">
        <f t="shared" si="7"/>
        <v>93.77487926341274</v>
      </c>
      <c r="G31" s="171">
        <f>SUM(G32:G33)</f>
        <v>816255.8699999996</v>
      </c>
      <c r="H31" s="144"/>
      <c r="I31" s="165" t="s">
        <v>391</v>
      </c>
      <c r="J31" s="151">
        <f>J32+J33</f>
        <v>7213</v>
      </c>
      <c r="K31" s="151">
        <f>K32+K33</f>
        <v>3587</v>
      </c>
      <c r="L31" s="151">
        <f>L32+L33</f>
        <v>3364</v>
      </c>
      <c r="M31" s="161">
        <f t="shared" si="8"/>
        <v>46.63801469568834</v>
      </c>
      <c r="N31" s="161">
        <f t="shared" si="9"/>
        <v>93.78310565932534</v>
      </c>
      <c r="O31" s="151">
        <f>O32+O33</f>
        <v>817</v>
      </c>
      <c r="P31" s="144"/>
      <c r="Q31" s="158">
        <v>3364</v>
      </c>
      <c r="R31" s="151">
        <v>2547</v>
      </c>
      <c r="S31" s="144">
        <f t="shared" si="1"/>
        <v>817</v>
      </c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</row>
    <row r="32" spans="1:88" s="718" customFormat="1" ht="12.75" customHeight="1">
      <c r="A32" s="167" t="s">
        <v>392</v>
      </c>
      <c r="B32" s="169">
        <v>5998635</v>
      </c>
      <c r="C32" s="169">
        <v>2893017</v>
      </c>
      <c r="D32" s="169">
        <v>2729556.78</v>
      </c>
      <c r="E32" s="154">
        <f t="shared" si="6"/>
        <v>45.50296492452032</v>
      </c>
      <c r="F32" s="154">
        <f t="shared" si="7"/>
        <v>94.34983548316515</v>
      </c>
      <c r="G32" s="169">
        <f>D32-'[6]Maijs'!D32</f>
        <v>558076.1199999996</v>
      </c>
      <c r="H32" s="144"/>
      <c r="I32" s="167" t="s">
        <v>392</v>
      </c>
      <c r="J32" s="162">
        <f aca="true" t="shared" si="11" ref="J32:L33">ROUND(B32/1000,0)</f>
        <v>5999</v>
      </c>
      <c r="K32" s="162">
        <f t="shared" si="11"/>
        <v>2893</v>
      </c>
      <c r="L32" s="162">
        <f t="shared" si="11"/>
        <v>2730</v>
      </c>
      <c r="M32" s="163">
        <f t="shared" si="8"/>
        <v>45.5075845974329</v>
      </c>
      <c r="N32" s="163">
        <f t="shared" si="9"/>
        <v>94.36571033529208</v>
      </c>
      <c r="O32" s="162">
        <f>ROUND(G32/1000,0)+1</f>
        <v>559</v>
      </c>
      <c r="P32" s="144"/>
      <c r="Q32" s="158">
        <v>2730</v>
      </c>
      <c r="R32" s="162">
        <v>2171</v>
      </c>
      <c r="S32" s="144">
        <f t="shared" si="1"/>
        <v>559</v>
      </c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</row>
    <row r="33" spans="1:88" s="718" customFormat="1" ht="12.75" customHeight="1">
      <c r="A33" s="167" t="s">
        <v>393</v>
      </c>
      <c r="B33" s="169">
        <v>1213956</v>
      </c>
      <c r="C33" s="169">
        <v>694338</v>
      </c>
      <c r="D33" s="169">
        <v>634481.04</v>
      </c>
      <c r="E33" s="154">
        <f t="shared" si="6"/>
        <v>52.265571404564916</v>
      </c>
      <c r="F33" s="154">
        <f t="shared" si="7"/>
        <v>91.37927637548285</v>
      </c>
      <c r="G33" s="169">
        <f>D33-'[6]Maijs'!D33</f>
        <v>258179.75000000006</v>
      </c>
      <c r="H33" s="144"/>
      <c r="I33" s="167" t="s">
        <v>393</v>
      </c>
      <c r="J33" s="162">
        <f t="shared" si="11"/>
        <v>1214</v>
      </c>
      <c r="K33" s="162">
        <f t="shared" si="11"/>
        <v>694</v>
      </c>
      <c r="L33" s="162">
        <f t="shared" si="11"/>
        <v>634</v>
      </c>
      <c r="M33" s="163">
        <f t="shared" si="8"/>
        <v>52.22405271828665</v>
      </c>
      <c r="N33" s="163">
        <f t="shared" si="9"/>
        <v>91.35446685878964</v>
      </c>
      <c r="O33" s="162">
        <f>ROUND(G33/1000,0)</f>
        <v>258</v>
      </c>
      <c r="P33" s="144"/>
      <c r="Q33" s="158">
        <v>634</v>
      </c>
      <c r="R33" s="162">
        <v>376</v>
      </c>
      <c r="S33" s="144">
        <f t="shared" si="1"/>
        <v>258</v>
      </c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</row>
    <row r="34" spans="1:88" s="718" customFormat="1" ht="12.75" customHeight="1">
      <c r="A34" s="165" t="s">
        <v>401</v>
      </c>
      <c r="B34" s="169"/>
      <c r="C34" s="169"/>
      <c r="D34" s="169"/>
      <c r="E34" s="169"/>
      <c r="F34" s="169"/>
      <c r="G34" s="169"/>
      <c r="H34" s="144"/>
      <c r="I34" s="165" t="s">
        <v>402</v>
      </c>
      <c r="J34" s="169"/>
      <c r="K34" s="169"/>
      <c r="L34" s="169"/>
      <c r="M34" s="163"/>
      <c r="N34" s="163"/>
      <c r="O34" s="169"/>
      <c r="P34" s="144"/>
      <c r="Q34" s="158"/>
      <c r="R34" s="169"/>
      <c r="S34" s="144">
        <f t="shared" si="1"/>
        <v>0</v>
      </c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</row>
    <row r="35" spans="1:88" s="718" customFormat="1" ht="12.75" customHeight="1">
      <c r="A35" s="159" t="s">
        <v>386</v>
      </c>
      <c r="B35" s="169">
        <f>SUM(B36:B38)</f>
        <v>3622702</v>
      </c>
      <c r="C35" s="171">
        <f>SUM(C36:C38)</f>
        <v>1884468</v>
      </c>
      <c r="D35" s="171">
        <f>SUM(D36:D38)</f>
        <v>1626589.8</v>
      </c>
      <c r="E35" s="153">
        <f aca="true" t="shared" si="12" ref="E35:E41">IF(ISERROR(D35/B35)," ",(D35/B35))*100</f>
        <v>44.89990620260789</v>
      </c>
      <c r="F35" s="153">
        <f aca="true" t="shared" si="13" ref="F35:F41">IF(ISERROR(D35/C35)," ",(D35/C35))*100</f>
        <v>86.31559676258765</v>
      </c>
      <c r="G35" s="171">
        <f>SUM(G36:G38)</f>
        <v>339132.02</v>
      </c>
      <c r="H35" s="144"/>
      <c r="I35" s="159" t="s">
        <v>386</v>
      </c>
      <c r="J35" s="151">
        <f>J36+J37+J38</f>
        <v>3623</v>
      </c>
      <c r="K35" s="151">
        <f>K36+K37+K38</f>
        <v>1885</v>
      </c>
      <c r="L35" s="151">
        <f>L36+L37+L38</f>
        <v>1627</v>
      </c>
      <c r="M35" s="161">
        <f aca="true" t="shared" si="14" ref="M35:M41">L35/J35*100</f>
        <v>44.90753519182997</v>
      </c>
      <c r="N35" s="161">
        <f aca="true" t="shared" si="15" ref="N35:N41">L35/K35*100</f>
        <v>86.3129973474801</v>
      </c>
      <c r="O35" s="151">
        <f>O36+O37+O38</f>
        <v>339</v>
      </c>
      <c r="P35" s="144"/>
      <c r="Q35" s="158">
        <v>1627</v>
      </c>
      <c r="R35" s="151">
        <v>1288</v>
      </c>
      <c r="S35" s="144">
        <f t="shared" si="1"/>
        <v>339</v>
      </c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</row>
    <row r="36" spans="1:88" s="718" customFormat="1" ht="12.75" customHeight="1">
      <c r="A36" s="159" t="s">
        <v>387</v>
      </c>
      <c r="B36" s="169">
        <v>3048776</v>
      </c>
      <c r="C36" s="169">
        <v>1461887</v>
      </c>
      <c r="D36" s="169">
        <v>1461887</v>
      </c>
      <c r="E36" s="154">
        <f t="shared" si="12"/>
        <v>47.94996418234728</v>
      </c>
      <c r="F36" s="154">
        <f t="shared" si="13"/>
        <v>100</v>
      </c>
      <c r="G36" s="169">
        <f>D36-'[6]Maijs'!D36</f>
        <v>273170</v>
      </c>
      <c r="H36" s="144"/>
      <c r="I36" s="159" t="s">
        <v>387</v>
      </c>
      <c r="J36" s="162">
        <f aca="true" t="shared" si="16" ref="J36:L38">ROUND(B36/1000,0)</f>
        <v>3049</v>
      </c>
      <c r="K36" s="162">
        <f t="shared" si="16"/>
        <v>1462</v>
      </c>
      <c r="L36" s="162">
        <f t="shared" si="16"/>
        <v>1462</v>
      </c>
      <c r="M36" s="163">
        <f t="shared" si="14"/>
        <v>47.950147589373564</v>
      </c>
      <c r="N36" s="163">
        <f t="shared" si="15"/>
        <v>100</v>
      </c>
      <c r="O36" s="162">
        <f>ROUND(G36/1000,0)</f>
        <v>273</v>
      </c>
      <c r="P36" s="144"/>
      <c r="Q36" s="158">
        <v>1462</v>
      </c>
      <c r="R36" s="162">
        <v>1189</v>
      </c>
      <c r="S36" s="144">
        <f t="shared" si="1"/>
        <v>273</v>
      </c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</row>
    <row r="37" spans="1:88" s="718" customFormat="1" ht="12.75" customHeight="1">
      <c r="A37" s="159" t="s">
        <v>389</v>
      </c>
      <c r="B37" s="169">
        <v>312000</v>
      </c>
      <c r="C37" s="169">
        <v>160655</v>
      </c>
      <c r="D37" s="169">
        <v>142992.29</v>
      </c>
      <c r="E37" s="154">
        <f t="shared" si="12"/>
        <v>45.830862179487184</v>
      </c>
      <c r="F37" s="154">
        <f t="shared" si="13"/>
        <v>89.00581370016496</v>
      </c>
      <c r="G37" s="169">
        <f>D37-'[6]Maijs'!D37</f>
        <v>44251.51000000001</v>
      </c>
      <c r="H37" s="144"/>
      <c r="I37" s="159" t="s">
        <v>389</v>
      </c>
      <c r="J37" s="162">
        <f t="shared" si="16"/>
        <v>312</v>
      </c>
      <c r="K37" s="162">
        <f>ROUND(C37/1000,0)</f>
        <v>161</v>
      </c>
      <c r="L37" s="162">
        <f t="shared" si="16"/>
        <v>143</v>
      </c>
      <c r="M37" s="163">
        <f t="shared" si="14"/>
        <v>45.83333333333333</v>
      </c>
      <c r="N37" s="163">
        <f t="shared" si="15"/>
        <v>88.81987577639751</v>
      </c>
      <c r="O37" s="162">
        <f>ROUND(G37/1000,0)</f>
        <v>44</v>
      </c>
      <c r="P37" s="144"/>
      <c r="Q37" s="158">
        <v>143</v>
      </c>
      <c r="R37" s="162">
        <v>99</v>
      </c>
      <c r="S37" s="144">
        <f t="shared" si="1"/>
        <v>44</v>
      </c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</row>
    <row r="38" spans="1:88" s="718" customFormat="1" ht="12.75" customHeight="1">
      <c r="A38" s="159" t="s">
        <v>390</v>
      </c>
      <c r="B38" s="169">
        <v>261926</v>
      </c>
      <c r="C38" s="169">
        <v>261926</v>
      </c>
      <c r="D38" s="169">
        <v>21710.51</v>
      </c>
      <c r="E38" s="154">
        <f t="shared" si="12"/>
        <v>8.28879530859861</v>
      </c>
      <c r="F38" s="154">
        <f t="shared" si="13"/>
        <v>8.28879530859861</v>
      </c>
      <c r="G38" s="169">
        <f>D38-'[6]Maijs'!D38</f>
        <v>21710.51</v>
      </c>
      <c r="H38" s="144"/>
      <c r="I38" s="159" t="s">
        <v>390</v>
      </c>
      <c r="J38" s="162">
        <f>ROUND(B38/1000,0)</f>
        <v>262</v>
      </c>
      <c r="K38" s="162">
        <f>ROUND(C38/1000,0)</f>
        <v>262</v>
      </c>
      <c r="L38" s="162">
        <f t="shared" si="16"/>
        <v>22</v>
      </c>
      <c r="M38" s="163">
        <f t="shared" si="14"/>
        <v>8.396946564885496</v>
      </c>
      <c r="N38" s="163">
        <f t="shared" si="15"/>
        <v>8.396946564885496</v>
      </c>
      <c r="O38" s="162">
        <f>ROUND(G38/1000,0)</f>
        <v>22</v>
      </c>
      <c r="P38" s="144"/>
      <c r="Q38" s="158">
        <v>22</v>
      </c>
      <c r="R38" s="162"/>
      <c r="S38" s="144">
        <f t="shared" si="1"/>
        <v>22</v>
      </c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</row>
    <row r="39" spans="1:88" s="718" customFormat="1" ht="12.75" customHeight="1">
      <c r="A39" s="165" t="s">
        <v>391</v>
      </c>
      <c r="B39" s="171">
        <f>SUM(B40:B41)</f>
        <v>3622702</v>
      </c>
      <c r="C39" s="171">
        <f>SUM(C40:C41)</f>
        <v>1884468</v>
      </c>
      <c r="D39" s="171">
        <f>SUM(D40:D41)</f>
        <v>1615743.25</v>
      </c>
      <c r="E39" s="154">
        <f t="shared" si="12"/>
        <v>44.600501228088866</v>
      </c>
      <c r="F39" s="154">
        <f t="shared" si="13"/>
        <v>85.74002052568682</v>
      </c>
      <c r="G39" s="171">
        <f>SUM(G40:G41)</f>
        <v>355631.84999999986</v>
      </c>
      <c r="H39" s="144"/>
      <c r="I39" s="165" t="s">
        <v>391</v>
      </c>
      <c r="J39" s="151">
        <f>J40+J41</f>
        <v>3622</v>
      </c>
      <c r="K39" s="151">
        <f>K40+K41</f>
        <v>1884</v>
      </c>
      <c r="L39" s="151">
        <f>L40+L41</f>
        <v>1616</v>
      </c>
      <c r="M39" s="161">
        <f t="shared" si="14"/>
        <v>44.61623412479293</v>
      </c>
      <c r="N39" s="161">
        <f t="shared" si="15"/>
        <v>85.77494692144374</v>
      </c>
      <c r="O39" s="151">
        <f>O40+O41</f>
        <v>356</v>
      </c>
      <c r="P39" s="144"/>
      <c r="Q39" s="158">
        <v>1616</v>
      </c>
      <c r="R39" s="151">
        <v>1259</v>
      </c>
      <c r="S39" s="144">
        <f t="shared" si="1"/>
        <v>357</v>
      </c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</row>
    <row r="40" spans="1:88" s="718" customFormat="1" ht="12.75" customHeight="1">
      <c r="A40" s="167" t="s">
        <v>392</v>
      </c>
      <c r="B40" s="169">
        <v>3494402</v>
      </c>
      <c r="C40" s="169">
        <v>1820976</v>
      </c>
      <c r="D40" s="169">
        <v>1553558.41</v>
      </c>
      <c r="E40" s="154">
        <f t="shared" si="12"/>
        <v>44.45849132412355</v>
      </c>
      <c r="F40" s="154">
        <f t="shared" si="13"/>
        <v>85.31460107107397</v>
      </c>
      <c r="G40" s="169">
        <f>D40-'[6]Maijs'!D40</f>
        <v>342016.58999999985</v>
      </c>
      <c r="H40" s="144"/>
      <c r="I40" s="167" t="s">
        <v>392</v>
      </c>
      <c r="J40" s="162">
        <f aca="true" t="shared" si="17" ref="J40:L41">ROUND(B40/1000,0)</f>
        <v>3494</v>
      </c>
      <c r="K40" s="162">
        <f t="shared" si="17"/>
        <v>1821</v>
      </c>
      <c r="L40" s="162">
        <f t="shared" si="17"/>
        <v>1554</v>
      </c>
      <c r="M40" s="163">
        <f t="shared" si="14"/>
        <v>44.47624499141386</v>
      </c>
      <c r="N40" s="163">
        <f t="shared" si="15"/>
        <v>85.33772652388797</v>
      </c>
      <c r="O40" s="162">
        <f>ROUND(G40/1000,0)</f>
        <v>342</v>
      </c>
      <c r="P40" s="144"/>
      <c r="Q40" s="158">
        <v>1554</v>
      </c>
      <c r="R40" s="162">
        <v>1211</v>
      </c>
      <c r="S40" s="144">
        <f t="shared" si="1"/>
        <v>343</v>
      </c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</row>
    <row r="41" spans="1:88" s="718" customFormat="1" ht="12.75" customHeight="1">
      <c r="A41" s="167" t="s">
        <v>393</v>
      </c>
      <c r="B41" s="169">
        <v>128300</v>
      </c>
      <c r="C41" s="169">
        <v>63492</v>
      </c>
      <c r="D41" s="169">
        <v>62184.84</v>
      </c>
      <c r="E41" s="154">
        <f t="shared" si="12"/>
        <v>48.468308651597816</v>
      </c>
      <c r="F41" s="154">
        <f t="shared" si="13"/>
        <v>97.94122094122095</v>
      </c>
      <c r="G41" s="169">
        <f>D41-'[6]Maijs'!D41</f>
        <v>13615.259999999995</v>
      </c>
      <c r="H41" s="144"/>
      <c r="I41" s="167" t="s">
        <v>393</v>
      </c>
      <c r="J41" s="162">
        <f t="shared" si="17"/>
        <v>128</v>
      </c>
      <c r="K41" s="162">
        <f t="shared" si="17"/>
        <v>63</v>
      </c>
      <c r="L41" s="162">
        <f t="shared" si="17"/>
        <v>62</v>
      </c>
      <c r="M41" s="163">
        <f t="shared" si="14"/>
        <v>48.4375</v>
      </c>
      <c r="N41" s="163">
        <f t="shared" si="15"/>
        <v>98.4126984126984</v>
      </c>
      <c r="O41" s="162">
        <f>ROUND(G41/1000,0)</f>
        <v>14</v>
      </c>
      <c r="P41" s="144"/>
      <c r="Q41" s="158">
        <v>62</v>
      </c>
      <c r="R41" s="162">
        <v>48</v>
      </c>
      <c r="S41" s="144">
        <f t="shared" si="1"/>
        <v>14</v>
      </c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</row>
    <row r="42" spans="1:88" s="718" customFormat="1" ht="12.75" customHeight="1">
      <c r="A42" s="165" t="s">
        <v>403</v>
      </c>
      <c r="B42" s="169"/>
      <c r="C42" s="169"/>
      <c r="D42" s="169"/>
      <c r="E42" s="169"/>
      <c r="F42" s="169"/>
      <c r="G42" s="169"/>
      <c r="H42" s="144"/>
      <c r="I42" s="165" t="s">
        <v>404</v>
      </c>
      <c r="J42" s="169"/>
      <c r="K42" s="169"/>
      <c r="L42" s="169"/>
      <c r="M42" s="163"/>
      <c r="N42" s="163"/>
      <c r="O42" s="169"/>
      <c r="P42" s="144"/>
      <c r="Q42" s="158"/>
      <c r="R42" s="169"/>
      <c r="S42" s="144">
        <f t="shared" si="1"/>
        <v>0</v>
      </c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</row>
    <row r="43" spans="1:88" s="718" customFormat="1" ht="12.75" customHeight="1">
      <c r="A43" s="159" t="s">
        <v>386</v>
      </c>
      <c r="B43" s="169">
        <f>SUM(B44:B45)</f>
        <v>48424727</v>
      </c>
      <c r="C43" s="171">
        <f>SUM(C44:C45)</f>
        <v>24596849</v>
      </c>
      <c r="D43" s="171">
        <f>SUM(D44:D45)</f>
        <v>24490229.4</v>
      </c>
      <c r="E43" s="153">
        <f aca="true" t="shared" si="18" ref="E43:E48">IF(ISERROR(D43/B43)," ",(D43/B43))*100</f>
        <v>50.5738099463111</v>
      </c>
      <c r="F43" s="153">
        <f aca="true" t="shared" si="19" ref="F43:F48">IF(ISERROR(D43/C43)," ",(D43/C43))*100</f>
        <v>99.56653146913249</v>
      </c>
      <c r="G43" s="171">
        <f>SUM(G44:G45)</f>
        <v>4176805.05</v>
      </c>
      <c r="H43" s="144"/>
      <c r="I43" s="159" t="s">
        <v>386</v>
      </c>
      <c r="J43" s="151">
        <f>J44+J45</f>
        <v>48425</v>
      </c>
      <c r="K43" s="151">
        <f>K44+K45</f>
        <v>24597</v>
      </c>
      <c r="L43" s="151">
        <f>L44+L45</f>
        <v>24490</v>
      </c>
      <c r="M43" s="161">
        <f aca="true" t="shared" si="20" ref="M43:M48">L43/J43*100</f>
        <v>50.57305110996386</v>
      </c>
      <c r="N43" s="161">
        <f aca="true" t="shared" si="21" ref="N43:N48">L43/K43*100</f>
        <v>99.56498760011382</v>
      </c>
      <c r="O43" s="151">
        <f>O44+O45</f>
        <v>4177</v>
      </c>
      <c r="P43" s="144"/>
      <c r="Q43" s="158">
        <v>24490</v>
      </c>
      <c r="R43" s="151">
        <v>20313</v>
      </c>
      <c r="S43" s="144">
        <f t="shared" si="1"/>
        <v>4177</v>
      </c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</row>
    <row r="44" spans="1:88" s="718" customFormat="1" ht="12.75" customHeight="1">
      <c r="A44" s="159" t="s">
        <v>387</v>
      </c>
      <c r="B44" s="169">
        <v>46214691</v>
      </c>
      <c r="C44" s="169">
        <v>23657301</v>
      </c>
      <c r="D44" s="169">
        <v>23657301</v>
      </c>
      <c r="E44" s="154">
        <f t="shared" si="18"/>
        <v>51.19000146511853</v>
      </c>
      <c r="F44" s="154">
        <f t="shared" si="19"/>
        <v>100</v>
      </c>
      <c r="G44" s="169">
        <f>D44-'[6]Maijs'!D44</f>
        <v>4048407</v>
      </c>
      <c r="H44" s="144"/>
      <c r="I44" s="159" t="s">
        <v>387</v>
      </c>
      <c r="J44" s="162">
        <f aca="true" t="shared" si="22" ref="J44:L45">ROUND(B44/1000,0)</f>
        <v>46215</v>
      </c>
      <c r="K44" s="162">
        <f t="shared" si="22"/>
        <v>23657</v>
      </c>
      <c r="L44" s="162">
        <f t="shared" si="22"/>
        <v>23657</v>
      </c>
      <c r="M44" s="163">
        <f t="shared" si="20"/>
        <v>51.189007897868656</v>
      </c>
      <c r="N44" s="163">
        <f t="shared" si="21"/>
        <v>100</v>
      </c>
      <c r="O44" s="162">
        <f>ROUND(G44/1000,0)</f>
        <v>4048</v>
      </c>
      <c r="P44" s="144"/>
      <c r="Q44" s="158">
        <v>23657</v>
      </c>
      <c r="R44" s="162">
        <v>19609</v>
      </c>
      <c r="S44" s="144">
        <f t="shared" si="1"/>
        <v>4048</v>
      </c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</row>
    <row r="45" spans="1:88" s="718" customFormat="1" ht="12.75" customHeight="1">
      <c r="A45" s="159" t="s">
        <v>389</v>
      </c>
      <c r="B45" s="169">
        <v>2210036</v>
      </c>
      <c r="C45" s="169">
        <v>939548</v>
      </c>
      <c r="D45" s="169">
        <v>832928.4</v>
      </c>
      <c r="E45" s="154">
        <f t="shared" si="18"/>
        <v>37.68845394373667</v>
      </c>
      <c r="F45" s="154">
        <f t="shared" si="19"/>
        <v>88.65203267954378</v>
      </c>
      <c r="G45" s="169">
        <f>D45-'[6]Maijs'!D45</f>
        <v>128398.05000000005</v>
      </c>
      <c r="H45" s="144"/>
      <c r="I45" s="159" t="s">
        <v>389</v>
      </c>
      <c r="J45" s="162">
        <f t="shared" si="22"/>
        <v>2210</v>
      </c>
      <c r="K45" s="162">
        <f t="shared" si="22"/>
        <v>940</v>
      </c>
      <c r="L45" s="162">
        <f t="shared" si="22"/>
        <v>833</v>
      </c>
      <c r="M45" s="163">
        <f t="shared" si="20"/>
        <v>37.69230769230769</v>
      </c>
      <c r="N45" s="163">
        <f t="shared" si="21"/>
        <v>88.61702127659574</v>
      </c>
      <c r="O45" s="162">
        <f>ROUND(G45/1000,0)+1</f>
        <v>129</v>
      </c>
      <c r="P45" s="144"/>
      <c r="Q45" s="158">
        <v>833</v>
      </c>
      <c r="R45" s="162">
        <v>704</v>
      </c>
      <c r="S45" s="144">
        <f t="shared" si="1"/>
        <v>129</v>
      </c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</row>
    <row r="46" spans="1:88" s="718" customFormat="1" ht="12.75" customHeight="1">
      <c r="A46" s="165" t="s">
        <v>391</v>
      </c>
      <c r="B46" s="171">
        <f>SUM(B47:B48)</f>
        <v>48424727</v>
      </c>
      <c r="C46" s="171">
        <f>SUM(C47:C48)</f>
        <v>24596849</v>
      </c>
      <c r="D46" s="171">
        <f>SUM(D47:D48)</f>
        <v>22758448.18</v>
      </c>
      <c r="E46" s="154">
        <f t="shared" si="18"/>
        <v>46.997576630633354</v>
      </c>
      <c r="F46" s="154">
        <f t="shared" si="19"/>
        <v>92.52586857771904</v>
      </c>
      <c r="G46" s="171">
        <f>SUM(G47:G48)</f>
        <v>3828724.8</v>
      </c>
      <c r="H46" s="144"/>
      <c r="I46" s="165" t="s">
        <v>391</v>
      </c>
      <c r="J46" s="151">
        <f>J47+J48</f>
        <v>48425</v>
      </c>
      <c r="K46" s="151">
        <f>K47+K48</f>
        <v>24597</v>
      </c>
      <c r="L46" s="151">
        <f>L47+L48</f>
        <v>22758</v>
      </c>
      <c r="M46" s="161">
        <f t="shared" si="20"/>
        <v>46.9963861641714</v>
      </c>
      <c r="N46" s="161">
        <f t="shared" si="21"/>
        <v>92.52347847298451</v>
      </c>
      <c r="O46" s="151">
        <f>O47+O48</f>
        <v>3828</v>
      </c>
      <c r="P46" s="144"/>
      <c r="Q46" s="158">
        <v>22758</v>
      </c>
      <c r="R46" s="151">
        <v>18930</v>
      </c>
      <c r="S46" s="144">
        <f t="shared" si="1"/>
        <v>3828</v>
      </c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</row>
    <row r="47" spans="1:88" s="718" customFormat="1" ht="12.75" customHeight="1">
      <c r="A47" s="128" t="s">
        <v>392</v>
      </c>
      <c r="B47" s="169">
        <v>43901860</v>
      </c>
      <c r="C47" s="169">
        <v>22373147</v>
      </c>
      <c r="D47" s="169">
        <v>20799064.13</v>
      </c>
      <c r="E47" s="154">
        <f t="shared" si="18"/>
        <v>47.376270914261944</v>
      </c>
      <c r="F47" s="154">
        <f t="shared" si="19"/>
        <v>92.96441010287913</v>
      </c>
      <c r="G47" s="169">
        <f>D47-'[6]Maijs'!D47</f>
        <v>3501429.09</v>
      </c>
      <c r="H47" s="144"/>
      <c r="I47" s="128" t="s">
        <v>392</v>
      </c>
      <c r="J47" s="162">
        <f aca="true" t="shared" si="23" ref="J47:L48">ROUND(B47/1000,0)</f>
        <v>43902</v>
      </c>
      <c r="K47" s="162">
        <f t="shared" si="23"/>
        <v>22373</v>
      </c>
      <c r="L47" s="162">
        <f t="shared" si="23"/>
        <v>20799</v>
      </c>
      <c r="M47" s="163">
        <f t="shared" si="20"/>
        <v>47.3759737597376</v>
      </c>
      <c r="N47" s="163">
        <f t="shared" si="21"/>
        <v>92.9647342779243</v>
      </c>
      <c r="O47" s="162">
        <f>ROUND(G47/1000,0)</f>
        <v>3501</v>
      </c>
      <c r="P47" s="144"/>
      <c r="Q47" s="158">
        <v>20799</v>
      </c>
      <c r="R47" s="162">
        <v>17298</v>
      </c>
      <c r="S47" s="144">
        <f t="shared" si="1"/>
        <v>3501</v>
      </c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</row>
    <row r="48" spans="1:88" s="718" customFormat="1" ht="12.75" customHeight="1">
      <c r="A48" s="128" t="s">
        <v>393</v>
      </c>
      <c r="B48" s="169">
        <v>4522867</v>
      </c>
      <c r="C48" s="169">
        <v>2223702</v>
      </c>
      <c r="D48" s="169">
        <v>1959384.05</v>
      </c>
      <c r="E48" s="154">
        <f t="shared" si="18"/>
        <v>43.321726020243354</v>
      </c>
      <c r="F48" s="154">
        <f t="shared" si="19"/>
        <v>88.11360739883311</v>
      </c>
      <c r="G48" s="169">
        <f>D48-'[6]Maijs'!D48</f>
        <v>327295.70999999996</v>
      </c>
      <c r="H48" s="144"/>
      <c r="I48" s="128" t="s">
        <v>393</v>
      </c>
      <c r="J48" s="162">
        <f t="shared" si="23"/>
        <v>4523</v>
      </c>
      <c r="K48" s="162">
        <f t="shared" si="23"/>
        <v>2224</v>
      </c>
      <c r="L48" s="162">
        <f t="shared" si="23"/>
        <v>1959</v>
      </c>
      <c r="M48" s="163">
        <f t="shared" si="20"/>
        <v>43.311961087773604</v>
      </c>
      <c r="N48" s="163">
        <f t="shared" si="21"/>
        <v>88.08453237410072</v>
      </c>
      <c r="O48" s="162">
        <f>ROUND(G48/1000,0)</f>
        <v>327</v>
      </c>
      <c r="P48" s="144"/>
      <c r="Q48" s="158">
        <v>1959</v>
      </c>
      <c r="R48" s="162">
        <v>1632</v>
      </c>
      <c r="S48" s="144">
        <f t="shared" si="1"/>
        <v>327</v>
      </c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</row>
    <row r="49" spans="1:88" s="718" customFormat="1" ht="12.75" customHeight="1">
      <c r="A49" s="165" t="s">
        <v>405</v>
      </c>
      <c r="B49" s="169"/>
      <c r="C49" s="169"/>
      <c r="D49" s="169"/>
      <c r="E49" s="154"/>
      <c r="F49" s="169"/>
      <c r="G49" s="169"/>
      <c r="H49" s="144"/>
      <c r="I49" s="165" t="s">
        <v>406</v>
      </c>
      <c r="J49" s="169"/>
      <c r="K49" s="169"/>
      <c r="L49" s="169"/>
      <c r="M49" s="163"/>
      <c r="N49" s="163"/>
      <c r="O49" s="169"/>
      <c r="P49" s="144"/>
      <c r="Q49" s="158"/>
      <c r="R49" s="169"/>
      <c r="S49" s="144">
        <f t="shared" si="1"/>
        <v>0</v>
      </c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</row>
    <row r="50" spans="1:88" s="718" customFormat="1" ht="12.75" customHeight="1">
      <c r="A50" s="159" t="s">
        <v>386</v>
      </c>
      <c r="B50" s="169">
        <f>SUM(B51:B52)</f>
        <v>11043968</v>
      </c>
      <c r="C50" s="171">
        <f>SUM(C51:C52)</f>
        <v>5772177</v>
      </c>
      <c r="D50" s="171">
        <f>SUM(D51:D52)</f>
        <v>5752214.63</v>
      </c>
      <c r="E50" s="153">
        <f aca="true" t="shared" si="24" ref="E50:E55">IF(ISERROR(D50/B50)," ",(D50/B50))*100</f>
        <v>52.084673099378776</v>
      </c>
      <c r="F50" s="153">
        <f aca="true" t="shared" si="25" ref="F50:F55">IF(ISERROR(D50/C50)," ",(D50/C50))*100</f>
        <v>99.65416219911482</v>
      </c>
      <c r="G50" s="171">
        <f>SUM(G51:G52)</f>
        <v>972110.94</v>
      </c>
      <c r="H50" s="144"/>
      <c r="I50" s="159" t="s">
        <v>386</v>
      </c>
      <c r="J50" s="151">
        <f>J51+J52</f>
        <v>11044</v>
      </c>
      <c r="K50" s="151">
        <f>K51+K52</f>
        <v>5772</v>
      </c>
      <c r="L50" s="151">
        <f>L51+L52</f>
        <v>5752</v>
      </c>
      <c r="M50" s="161">
        <f aca="true" t="shared" si="26" ref="M50:M55">L50/J50*100</f>
        <v>52.082578775805864</v>
      </c>
      <c r="N50" s="161">
        <f aca="true" t="shared" si="27" ref="N50:N55">L50/K50*100</f>
        <v>99.65349965349965</v>
      </c>
      <c r="O50" s="151">
        <f>O51+O52</f>
        <v>972</v>
      </c>
      <c r="P50" s="144"/>
      <c r="Q50" s="158">
        <v>5752</v>
      </c>
      <c r="R50" s="151">
        <v>4780</v>
      </c>
      <c r="S50" s="144">
        <f t="shared" si="1"/>
        <v>972</v>
      </c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</row>
    <row r="51" spans="1:88" s="718" customFormat="1" ht="12.75" customHeight="1">
      <c r="A51" s="159" t="s">
        <v>387</v>
      </c>
      <c r="B51" s="169">
        <v>10847968</v>
      </c>
      <c r="C51" s="169">
        <v>5679927</v>
      </c>
      <c r="D51" s="169">
        <v>5679927</v>
      </c>
      <c r="E51" s="154">
        <f t="shared" si="24"/>
        <v>52.35936352319624</v>
      </c>
      <c r="F51" s="154">
        <f t="shared" si="25"/>
        <v>100</v>
      </c>
      <c r="G51" s="169">
        <f>D51-'[6]Maijs'!D51</f>
        <v>971978</v>
      </c>
      <c r="H51" s="144"/>
      <c r="I51" s="159" t="s">
        <v>387</v>
      </c>
      <c r="J51" s="162">
        <f aca="true" t="shared" si="28" ref="J51:L52">ROUND(B51/1000,0)</f>
        <v>10848</v>
      </c>
      <c r="K51" s="162">
        <f t="shared" si="28"/>
        <v>5680</v>
      </c>
      <c r="L51" s="162">
        <f t="shared" si="28"/>
        <v>5680</v>
      </c>
      <c r="M51" s="163">
        <f t="shared" si="26"/>
        <v>52.359882005899706</v>
      </c>
      <c r="N51" s="163">
        <f t="shared" si="27"/>
        <v>100</v>
      </c>
      <c r="O51" s="162">
        <f>ROUND(G51/1000,0)</f>
        <v>972</v>
      </c>
      <c r="P51" s="144"/>
      <c r="Q51" s="158">
        <v>5680</v>
      </c>
      <c r="R51" s="162">
        <v>4708</v>
      </c>
      <c r="S51" s="144">
        <f t="shared" si="1"/>
        <v>972</v>
      </c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</row>
    <row r="52" spans="1:19" ht="12.75" customHeight="1">
      <c r="A52" s="159" t="s">
        <v>389</v>
      </c>
      <c r="B52" s="169">
        <v>196000</v>
      </c>
      <c r="C52" s="169">
        <v>92250</v>
      </c>
      <c r="D52" s="169">
        <v>72287.63</v>
      </c>
      <c r="E52" s="154">
        <f t="shared" si="24"/>
        <v>36.88144387755102</v>
      </c>
      <c r="F52" s="154">
        <f t="shared" si="25"/>
        <v>78.36057452574526</v>
      </c>
      <c r="G52" s="169">
        <f>D52-'[6]Maijs'!D52</f>
        <v>132.94000000000233</v>
      </c>
      <c r="I52" s="159" t="s">
        <v>389</v>
      </c>
      <c r="J52" s="162">
        <f t="shared" si="28"/>
        <v>196</v>
      </c>
      <c r="K52" s="162">
        <f t="shared" si="28"/>
        <v>92</v>
      </c>
      <c r="L52" s="162">
        <f t="shared" si="28"/>
        <v>72</v>
      </c>
      <c r="M52" s="163">
        <f t="shared" si="26"/>
        <v>36.734693877551024</v>
      </c>
      <c r="N52" s="163">
        <f t="shared" si="27"/>
        <v>78.26086956521739</v>
      </c>
      <c r="O52" s="162">
        <f>ROUND(G52/1000,0)</f>
        <v>0</v>
      </c>
      <c r="Q52" s="158">
        <v>72</v>
      </c>
      <c r="R52" s="162">
        <v>72</v>
      </c>
      <c r="S52" s="144">
        <f t="shared" si="1"/>
        <v>0</v>
      </c>
    </row>
    <row r="53" spans="1:88" s="718" customFormat="1" ht="12.75" customHeight="1">
      <c r="A53" s="165" t="s">
        <v>391</v>
      </c>
      <c r="B53" s="171">
        <f>SUM(B54:B55)</f>
        <v>11043968</v>
      </c>
      <c r="C53" s="171">
        <f>SUM(C54:C55)</f>
        <v>5772177</v>
      </c>
      <c r="D53" s="171">
        <f>SUM(D54:D55)</f>
        <v>5499795.33</v>
      </c>
      <c r="E53" s="154">
        <f t="shared" si="24"/>
        <v>49.799087882181475</v>
      </c>
      <c r="F53" s="154">
        <f t="shared" si="25"/>
        <v>95.28112755378083</v>
      </c>
      <c r="G53" s="171">
        <f>SUM(G54:G55)</f>
        <v>857284.1099999999</v>
      </c>
      <c r="H53" s="144"/>
      <c r="I53" s="165" t="s">
        <v>391</v>
      </c>
      <c r="J53" s="151">
        <f>J54+J55</f>
        <v>11044</v>
      </c>
      <c r="K53" s="151">
        <f>K54+K55</f>
        <v>5772</v>
      </c>
      <c r="L53" s="151">
        <f>L54+L55</f>
        <v>5500</v>
      </c>
      <c r="M53" s="161">
        <f t="shared" si="26"/>
        <v>49.800796812749006</v>
      </c>
      <c r="N53" s="161">
        <f t="shared" si="27"/>
        <v>95.28759528759528</v>
      </c>
      <c r="O53" s="151">
        <f>O54+O55</f>
        <v>857</v>
      </c>
      <c r="P53" s="144"/>
      <c r="Q53" s="158">
        <v>5500</v>
      </c>
      <c r="R53" s="151">
        <v>4643</v>
      </c>
      <c r="S53" s="144">
        <f t="shared" si="1"/>
        <v>857</v>
      </c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</row>
    <row r="54" spans="1:88" s="718" customFormat="1" ht="12.75" customHeight="1">
      <c r="A54" s="128" t="s">
        <v>392</v>
      </c>
      <c r="B54" s="169">
        <v>10475758</v>
      </c>
      <c r="C54" s="169">
        <v>5473065</v>
      </c>
      <c r="D54" s="169">
        <v>5333810.21</v>
      </c>
      <c r="E54" s="154">
        <f t="shared" si="24"/>
        <v>50.91574480815613</v>
      </c>
      <c r="F54" s="154">
        <f t="shared" si="25"/>
        <v>97.45563427439652</v>
      </c>
      <c r="G54" s="169">
        <f>D54-'[6]Maijs'!D54</f>
        <v>831130.0499999998</v>
      </c>
      <c r="H54" s="144"/>
      <c r="I54" s="128" t="s">
        <v>392</v>
      </c>
      <c r="J54" s="162">
        <f aca="true" t="shared" si="29" ref="J54:L55">ROUND(B54/1000,0)</f>
        <v>10476</v>
      </c>
      <c r="K54" s="162">
        <f t="shared" si="29"/>
        <v>5473</v>
      </c>
      <c r="L54" s="162">
        <f t="shared" si="29"/>
        <v>5334</v>
      </c>
      <c r="M54" s="163">
        <f t="shared" si="26"/>
        <v>50.91638029782359</v>
      </c>
      <c r="N54" s="163">
        <f t="shared" si="27"/>
        <v>97.46025945550886</v>
      </c>
      <c r="O54" s="162">
        <f>ROUND(G54/1000,0)</f>
        <v>831</v>
      </c>
      <c r="P54" s="144"/>
      <c r="Q54" s="158">
        <v>5334</v>
      </c>
      <c r="R54" s="162">
        <v>4503</v>
      </c>
      <c r="S54" s="144">
        <f t="shared" si="1"/>
        <v>831</v>
      </c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</row>
    <row r="55" spans="1:88" s="718" customFormat="1" ht="12.75" customHeight="1">
      <c r="A55" s="128" t="s">
        <v>393</v>
      </c>
      <c r="B55" s="169">
        <v>568210</v>
      </c>
      <c r="C55" s="169">
        <v>299112</v>
      </c>
      <c r="D55" s="169">
        <v>165985.12</v>
      </c>
      <c r="E55" s="154">
        <f t="shared" si="24"/>
        <v>29.211932208162473</v>
      </c>
      <c r="F55" s="154">
        <f t="shared" si="25"/>
        <v>55.492631522640345</v>
      </c>
      <c r="G55" s="169">
        <f>D55-'[6]Maijs'!D55</f>
        <v>26154.059999999998</v>
      </c>
      <c r="H55" s="144"/>
      <c r="I55" s="128" t="s">
        <v>393</v>
      </c>
      <c r="J55" s="162">
        <f t="shared" si="29"/>
        <v>568</v>
      </c>
      <c r="K55" s="162">
        <f t="shared" si="29"/>
        <v>299</v>
      </c>
      <c r="L55" s="162">
        <f t="shared" si="29"/>
        <v>166</v>
      </c>
      <c r="M55" s="163">
        <f t="shared" si="26"/>
        <v>29.225352112676056</v>
      </c>
      <c r="N55" s="163">
        <f t="shared" si="27"/>
        <v>55.51839464882943</v>
      </c>
      <c r="O55" s="162">
        <f>ROUND(G55/1000,0)</f>
        <v>26</v>
      </c>
      <c r="P55" s="144"/>
      <c r="Q55" s="158">
        <v>166</v>
      </c>
      <c r="R55" s="162">
        <v>140</v>
      </c>
      <c r="S55" s="144">
        <f t="shared" si="1"/>
        <v>26</v>
      </c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</row>
    <row r="56" spans="1:88" s="718" customFormat="1" ht="12.75" customHeight="1">
      <c r="A56" s="165" t="s">
        <v>407</v>
      </c>
      <c r="B56" s="169"/>
      <c r="C56" s="169"/>
      <c r="D56" s="169"/>
      <c r="E56" s="169"/>
      <c r="F56" s="169"/>
      <c r="G56" s="169"/>
      <c r="H56" s="144"/>
      <c r="I56" s="165" t="s">
        <v>408</v>
      </c>
      <c r="J56" s="169"/>
      <c r="K56" s="169"/>
      <c r="L56" s="169"/>
      <c r="M56" s="163"/>
      <c r="N56" s="163"/>
      <c r="O56" s="169"/>
      <c r="P56" s="144"/>
      <c r="Q56" s="158"/>
      <c r="R56" s="169"/>
      <c r="S56" s="144">
        <f t="shared" si="1"/>
        <v>0</v>
      </c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</row>
    <row r="57" spans="1:88" s="718" customFormat="1" ht="12.75" customHeight="1">
      <c r="A57" s="159" t="s">
        <v>386</v>
      </c>
      <c r="B57" s="169">
        <f>SUM(B58:B61)</f>
        <v>11189389</v>
      </c>
      <c r="C57" s="171">
        <f>SUM(C58:C61)</f>
        <v>5391678</v>
      </c>
      <c r="D57" s="171">
        <f>SUM(D58:D61)</f>
        <v>3075547.2</v>
      </c>
      <c r="E57" s="153">
        <f aca="true" t="shared" si="30" ref="E57:E64">IF(ISERROR(D57/B57)," ",(D57/B57))*100</f>
        <v>27.486283656775186</v>
      </c>
      <c r="F57" s="153">
        <f aca="true" t="shared" si="31" ref="F57:F63">IF(ISERROR(D57/C57)," ",(D57/C57))*100</f>
        <v>57.04248658766343</v>
      </c>
      <c r="G57" s="171">
        <f>SUM(G58:G61)</f>
        <v>677758.9299999999</v>
      </c>
      <c r="H57" s="144"/>
      <c r="I57" s="159" t="s">
        <v>386</v>
      </c>
      <c r="J57" s="151">
        <f>J58+J59+J60+J61</f>
        <v>11189</v>
      </c>
      <c r="K57" s="151">
        <f>K58+K59+K60+K61</f>
        <v>5392</v>
      </c>
      <c r="L57" s="151">
        <f>L58+L59+L60+L61</f>
        <v>3076</v>
      </c>
      <c r="M57" s="161">
        <f aca="true" t="shared" si="32" ref="M57:M64">L57/J57*100</f>
        <v>27.491286084547323</v>
      </c>
      <c r="N57" s="161">
        <f aca="true" t="shared" si="33" ref="N57:N64">L57/K57*100</f>
        <v>57.04747774480712</v>
      </c>
      <c r="O57" s="151">
        <f>O58+O59+O60+O61</f>
        <v>679</v>
      </c>
      <c r="P57" s="144"/>
      <c r="Q57" s="158">
        <v>3076</v>
      </c>
      <c r="R57" s="151">
        <v>2397</v>
      </c>
      <c r="S57" s="144">
        <f t="shared" si="1"/>
        <v>679</v>
      </c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</row>
    <row r="58" spans="1:88" s="718" customFormat="1" ht="12.75" customHeight="1">
      <c r="A58" s="159" t="s">
        <v>387</v>
      </c>
      <c r="B58" s="169">
        <v>4712447</v>
      </c>
      <c r="C58" s="169">
        <v>2307617</v>
      </c>
      <c r="D58" s="169">
        <v>2307617</v>
      </c>
      <c r="E58" s="154">
        <f t="shared" si="30"/>
        <v>48.96855073383319</v>
      </c>
      <c r="F58" s="154">
        <f t="shared" si="31"/>
        <v>100</v>
      </c>
      <c r="G58" s="169">
        <f>D58-'[6]Maijs'!D58</f>
        <v>417193</v>
      </c>
      <c r="H58" s="144"/>
      <c r="I58" s="159" t="s">
        <v>387</v>
      </c>
      <c r="J58" s="162">
        <f aca="true" t="shared" si="34" ref="J58:L61">ROUND(B58/1000,0)</f>
        <v>4712</v>
      </c>
      <c r="K58" s="162">
        <f t="shared" si="34"/>
        <v>2308</v>
      </c>
      <c r="L58" s="162">
        <f t="shared" si="34"/>
        <v>2308</v>
      </c>
      <c r="M58" s="163">
        <f t="shared" si="32"/>
        <v>48.98132427843803</v>
      </c>
      <c r="N58" s="163">
        <f t="shared" si="33"/>
        <v>100</v>
      </c>
      <c r="O58" s="162">
        <f>ROUND(G58/1000,0)+1</f>
        <v>418</v>
      </c>
      <c r="P58" s="144"/>
      <c r="Q58" s="158">
        <v>2308</v>
      </c>
      <c r="R58" s="162">
        <v>1890</v>
      </c>
      <c r="S58" s="144">
        <f t="shared" si="1"/>
        <v>418</v>
      </c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</row>
    <row r="59" spans="1:88" s="718" customFormat="1" ht="12.75" customHeight="1">
      <c r="A59" s="159" t="s">
        <v>388</v>
      </c>
      <c r="B59" s="169">
        <v>12122</v>
      </c>
      <c r="C59" s="169">
        <v>12122</v>
      </c>
      <c r="D59" s="169">
        <v>11722.22</v>
      </c>
      <c r="E59" s="154">
        <f t="shared" si="30"/>
        <v>96.70202936809108</v>
      </c>
      <c r="F59" s="154">
        <f t="shared" si="31"/>
        <v>96.70202936809108</v>
      </c>
      <c r="G59" s="169">
        <f>D59-'[6]Maijs'!D59</f>
        <v>0</v>
      </c>
      <c r="H59" s="144"/>
      <c r="I59" s="159" t="s">
        <v>388</v>
      </c>
      <c r="J59" s="162">
        <f t="shared" si="34"/>
        <v>12</v>
      </c>
      <c r="K59" s="162">
        <f t="shared" si="34"/>
        <v>12</v>
      </c>
      <c r="L59" s="162">
        <f t="shared" si="34"/>
        <v>12</v>
      </c>
      <c r="M59" s="163">
        <f t="shared" si="32"/>
        <v>100</v>
      </c>
      <c r="N59" s="163">
        <f t="shared" si="33"/>
        <v>100</v>
      </c>
      <c r="O59" s="162">
        <f>ROUND(G59/1000,0)</f>
        <v>0</v>
      </c>
      <c r="P59" s="144"/>
      <c r="Q59" s="158">
        <v>12</v>
      </c>
      <c r="R59" s="162">
        <v>12</v>
      </c>
      <c r="S59" s="144">
        <f t="shared" si="1"/>
        <v>0</v>
      </c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</row>
    <row r="60" spans="1:88" s="718" customFormat="1" ht="12.75" customHeight="1">
      <c r="A60" s="159" t="s">
        <v>389</v>
      </c>
      <c r="B60" s="169">
        <v>437781</v>
      </c>
      <c r="C60" s="169">
        <v>269551</v>
      </c>
      <c r="D60" s="169">
        <v>287409.98</v>
      </c>
      <c r="E60" s="154">
        <f t="shared" si="30"/>
        <v>65.65154266631032</v>
      </c>
      <c r="F60" s="154">
        <f t="shared" si="31"/>
        <v>106.62545492318706</v>
      </c>
      <c r="G60" s="169">
        <f>D60-'[6]Maijs'!D60</f>
        <v>44907.71999999997</v>
      </c>
      <c r="H60" s="144"/>
      <c r="I60" s="159" t="s">
        <v>389</v>
      </c>
      <c r="J60" s="162">
        <f t="shared" si="34"/>
        <v>438</v>
      </c>
      <c r="K60" s="162">
        <f t="shared" si="34"/>
        <v>270</v>
      </c>
      <c r="L60" s="162">
        <f t="shared" si="34"/>
        <v>287</v>
      </c>
      <c r="M60" s="163">
        <f t="shared" si="32"/>
        <v>65.52511415525115</v>
      </c>
      <c r="N60" s="163">
        <f t="shared" si="33"/>
        <v>106.29629629629629</v>
      </c>
      <c r="O60" s="162">
        <f>ROUND(G60/1000,0)</f>
        <v>45</v>
      </c>
      <c r="P60" s="144"/>
      <c r="Q60" s="158">
        <v>287</v>
      </c>
      <c r="R60" s="162">
        <v>242</v>
      </c>
      <c r="S60" s="144">
        <f t="shared" si="1"/>
        <v>45</v>
      </c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</row>
    <row r="61" spans="1:88" s="718" customFormat="1" ht="12.75" customHeight="1">
      <c r="A61" s="159" t="s">
        <v>390</v>
      </c>
      <c r="B61" s="169">
        <v>6027039</v>
      </c>
      <c r="C61" s="169">
        <v>2802388</v>
      </c>
      <c r="D61" s="169">
        <v>468798</v>
      </c>
      <c r="E61" s="154">
        <f t="shared" si="30"/>
        <v>7.7782473284145</v>
      </c>
      <c r="F61" s="154">
        <f t="shared" si="31"/>
        <v>16.728518677642068</v>
      </c>
      <c r="G61" s="169">
        <f>D61-'[6]Maijs'!D61</f>
        <v>215658.21</v>
      </c>
      <c r="H61" s="144"/>
      <c r="I61" s="159" t="s">
        <v>390</v>
      </c>
      <c r="J61" s="162">
        <f t="shared" si="34"/>
        <v>6027</v>
      </c>
      <c r="K61" s="162">
        <f t="shared" si="34"/>
        <v>2802</v>
      </c>
      <c r="L61" s="162">
        <f t="shared" si="34"/>
        <v>469</v>
      </c>
      <c r="M61" s="163">
        <f t="shared" si="32"/>
        <v>7.781649245063879</v>
      </c>
      <c r="N61" s="163">
        <f t="shared" si="33"/>
        <v>16.73804425410421</v>
      </c>
      <c r="O61" s="162">
        <f>ROUND(G61/1000,0)</f>
        <v>216</v>
      </c>
      <c r="P61" s="144"/>
      <c r="Q61" s="158">
        <v>469</v>
      </c>
      <c r="R61" s="162">
        <v>253</v>
      </c>
      <c r="S61" s="144">
        <f t="shared" si="1"/>
        <v>216</v>
      </c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</row>
    <row r="62" spans="1:88" s="718" customFormat="1" ht="12.75" customHeight="1">
      <c r="A62" s="165" t="s">
        <v>391</v>
      </c>
      <c r="B62" s="171">
        <f>SUM(B63:B64)</f>
        <v>11189389</v>
      </c>
      <c r="C62" s="171">
        <f>SUM(C63:C64)</f>
        <v>5391678</v>
      </c>
      <c r="D62" s="171">
        <f>SUM(D63:D64)</f>
        <v>2970199.42</v>
      </c>
      <c r="E62" s="154">
        <f t="shared" si="30"/>
        <v>26.54478649370399</v>
      </c>
      <c r="F62" s="154">
        <f t="shared" si="31"/>
        <v>55.08859060203521</v>
      </c>
      <c r="G62" s="171">
        <f>SUM(G63:G64)</f>
        <v>668480.5399999998</v>
      </c>
      <c r="H62" s="144"/>
      <c r="I62" s="165" t="s">
        <v>391</v>
      </c>
      <c r="J62" s="151">
        <f>J63+J64</f>
        <v>11189</v>
      </c>
      <c r="K62" s="151">
        <f>K63+K64</f>
        <v>5392</v>
      </c>
      <c r="L62" s="151">
        <f>L63+L64</f>
        <v>2970</v>
      </c>
      <c r="M62" s="161">
        <f t="shared" si="32"/>
        <v>26.543927071230673</v>
      </c>
      <c r="N62" s="161">
        <f t="shared" si="33"/>
        <v>55.081602373887236</v>
      </c>
      <c r="O62" s="151">
        <f>O63+O64</f>
        <v>669</v>
      </c>
      <c r="P62" s="144"/>
      <c r="Q62" s="158">
        <v>2970</v>
      </c>
      <c r="R62" s="151">
        <v>2301</v>
      </c>
      <c r="S62" s="144">
        <f t="shared" si="1"/>
        <v>669</v>
      </c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</row>
    <row r="63" spans="1:88" s="718" customFormat="1" ht="12.75" customHeight="1">
      <c r="A63" s="167" t="s">
        <v>392</v>
      </c>
      <c r="B63" s="169">
        <v>10781923</v>
      </c>
      <c r="C63" s="169">
        <v>5164998</v>
      </c>
      <c r="D63" s="169">
        <v>2869150.71</v>
      </c>
      <c r="E63" s="154">
        <f t="shared" si="30"/>
        <v>26.610751254669506</v>
      </c>
      <c r="F63" s="154">
        <f t="shared" si="31"/>
        <v>55.549890048360126</v>
      </c>
      <c r="G63" s="169">
        <f>D63-'[6]Maijs'!D63</f>
        <v>653986.3199999998</v>
      </c>
      <c r="H63" s="144"/>
      <c r="I63" s="167" t="s">
        <v>392</v>
      </c>
      <c r="J63" s="162">
        <f aca="true" t="shared" si="35" ref="J63:L64">ROUND(B63/1000,0)</f>
        <v>10782</v>
      </c>
      <c r="K63" s="162">
        <f t="shared" si="35"/>
        <v>5165</v>
      </c>
      <c r="L63" s="162">
        <f t="shared" si="35"/>
        <v>2869</v>
      </c>
      <c r="M63" s="163">
        <f t="shared" si="32"/>
        <v>26.609163420515674</v>
      </c>
      <c r="N63" s="163">
        <f t="shared" si="33"/>
        <v>55.54695062923523</v>
      </c>
      <c r="O63" s="162">
        <f>ROUND(G63/1000,0)</f>
        <v>654</v>
      </c>
      <c r="P63" s="144"/>
      <c r="Q63" s="158">
        <v>2869</v>
      </c>
      <c r="R63" s="162">
        <v>2215</v>
      </c>
      <c r="S63" s="144">
        <f t="shared" si="1"/>
        <v>654</v>
      </c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</row>
    <row r="64" spans="1:88" s="718" customFormat="1" ht="12.75" customHeight="1">
      <c r="A64" s="167" t="s">
        <v>393</v>
      </c>
      <c r="B64" s="169">
        <v>407466</v>
      </c>
      <c r="C64" s="169">
        <v>226680</v>
      </c>
      <c r="D64" s="169">
        <v>101048.71</v>
      </c>
      <c r="E64" s="154">
        <f t="shared" si="30"/>
        <v>24.799298591784346</v>
      </c>
      <c r="F64" s="154"/>
      <c r="G64" s="169">
        <f>D64-'[6]Maijs'!D64</f>
        <v>14494.220000000001</v>
      </c>
      <c r="H64" s="144"/>
      <c r="I64" s="167" t="s">
        <v>393</v>
      </c>
      <c r="J64" s="162">
        <f t="shared" si="35"/>
        <v>407</v>
      </c>
      <c r="K64" s="162">
        <f t="shared" si="35"/>
        <v>227</v>
      </c>
      <c r="L64" s="162">
        <f t="shared" si="35"/>
        <v>101</v>
      </c>
      <c r="M64" s="163">
        <f t="shared" si="32"/>
        <v>24.815724815724817</v>
      </c>
      <c r="N64" s="163">
        <f t="shared" si="33"/>
        <v>44.49339207048458</v>
      </c>
      <c r="O64" s="162">
        <f>ROUND(G64/1000,0)+1</f>
        <v>15</v>
      </c>
      <c r="P64" s="144"/>
      <c r="Q64" s="158">
        <v>101</v>
      </c>
      <c r="R64" s="162">
        <v>86</v>
      </c>
      <c r="S64" s="144">
        <f t="shared" si="1"/>
        <v>15</v>
      </c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</row>
    <row r="65" spans="1:88" s="718" customFormat="1" ht="12.75" customHeight="1">
      <c r="A65" s="165" t="s">
        <v>409</v>
      </c>
      <c r="B65" s="169"/>
      <c r="C65" s="169"/>
      <c r="D65" s="169"/>
      <c r="E65" s="169"/>
      <c r="F65" s="169"/>
      <c r="G65" s="169"/>
      <c r="H65" s="144"/>
      <c r="I65" s="165" t="s">
        <v>410</v>
      </c>
      <c r="J65" s="169"/>
      <c r="K65" s="169"/>
      <c r="L65" s="169"/>
      <c r="M65" s="163"/>
      <c r="N65" s="163"/>
      <c r="O65" s="169"/>
      <c r="P65" s="144"/>
      <c r="Q65" s="158"/>
      <c r="R65" s="169"/>
      <c r="S65" s="144">
        <f t="shared" si="1"/>
        <v>0</v>
      </c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</row>
    <row r="66" spans="1:88" s="718" customFormat="1" ht="12.75" customHeight="1">
      <c r="A66" s="159" t="s">
        <v>386</v>
      </c>
      <c r="B66" s="169">
        <f>SUM(B67:B70)</f>
        <v>95465330</v>
      </c>
      <c r="C66" s="171">
        <f>SUM(C67:C70)</f>
        <v>48499512</v>
      </c>
      <c r="D66" s="171">
        <f>SUM(D67:D70)</f>
        <v>47664952.26</v>
      </c>
      <c r="E66" s="153">
        <f aca="true" t="shared" si="36" ref="E66:E73">IF(ISERROR(D66/B66)," ",(D66/B66))*100</f>
        <v>49.9290708574516</v>
      </c>
      <c r="F66" s="153">
        <f aca="true" t="shared" si="37" ref="F66:F73">IF(ISERROR(D66/C66)," ",(D66/C66))*100</f>
        <v>98.27924095401207</v>
      </c>
      <c r="G66" s="171">
        <f>SUM(G67:G70)</f>
        <v>5093739.54</v>
      </c>
      <c r="H66" s="144"/>
      <c r="I66" s="159" t="s">
        <v>386</v>
      </c>
      <c r="J66" s="151">
        <f>J67+J68+J69+J70</f>
        <v>95465</v>
      </c>
      <c r="K66" s="151">
        <f>K67+K68+K69+K70</f>
        <v>48500</v>
      </c>
      <c r="L66" s="151">
        <f>L67+L68+L69+L70</f>
        <v>47666</v>
      </c>
      <c r="M66" s="161">
        <f aca="true" t="shared" si="38" ref="M66:M75">L66/J66*100</f>
        <v>49.93034096265647</v>
      </c>
      <c r="N66" s="161">
        <f aca="true" t="shared" si="39" ref="N66:N73">L66/K66*100</f>
        <v>98.28041237113402</v>
      </c>
      <c r="O66" s="151">
        <f>O67+O68+O69+O70</f>
        <v>5095</v>
      </c>
      <c r="P66" s="144"/>
      <c r="Q66" s="158">
        <v>47666</v>
      </c>
      <c r="R66" s="151">
        <v>42571</v>
      </c>
      <c r="S66" s="144">
        <f t="shared" si="1"/>
        <v>5095</v>
      </c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</row>
    <row r="67" spans="1:88" s="718" customFormat="1" ht="12.75" customHeight="1">
      <c r="A67" s="159" t="s">
        <v>387</v>
      </c>
      <c r="B67" s="169">
        <v>87453160</v>
      </c>
      <c r="C67" s="169">
        <v>44434613</v>
      </c>
      <c r="D67" s="169">
        <v>44434613</v>
      </c>
      <c r="E67" s="154">
        <f>IF(ISERROR(D67/B67)," ",(D67/B67))*100</f>
        <v>50.80961396935228</v>
      </c>
      <c r="F67" s="154">
        <f>IF(ISERROR(D67/C67)," ",(D67/C67))*100</f>
        <v>100</v>
      </c>
      <c r="G67" s="169">
        <f>D67-'[6]Maijs'!D67</f>
        <v>4780569</v>
      </c>
      <c r="H67" s="144"/>
      <c r="I67" s="159" t="s">
        <v>387</v>
      </c>
      <c r="J67" s="162">
        <f aca="true" t="shared" si="40" ref="J67:L68">ROUND(B67/1000,0)</f>
        <v>87453</v>
      </c>
      <c r="K67" s="162">
        <f>ROUND(C67/1000,0)</f>
        <v>44435</v>
      </c>
      <c r="L67" s="162">
        <f>ROUND(D67/1000,0)</f>
        <v>44435</v>
      </c>
      <c r="M67" s="163">
        <f t="shared" si="38"/>
        <v>50.81014945170549</v>
      </c>
      <c r="N67" s="163">
        <f t="shared" si="39"/>
        <v>100</v>
      </c>
      <c r="O67" s="162">
        <f>ROUND(G67/1000,0)</f>
        <v>4781</v>
      </c>
      <c r="P67" s="144"/>
      <c r="Q67" s="158">
        <v>44435</v>
      </c>
      <c r="R67" s="162">
        <v>39654</v>
      </c>
      <c r="S67" s="144">
        <f t="shared" si="1"/>
        <v>4781</v>
      </c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</row>
    <row r="68" spans="1:88" s="718" customFormat="1" ht="12.75" customHeight="1">
      <c r="A68" s="159" t="s">
        <v>388</v>
      </c>
      <c r="B68" s="169">
        <v>1033000</v>
      </c>
      <c r="C68" s="169">
        <v>438371</v>
      </c>
      <c r="D68" s="169">
        <v>275646.07</v>
      </c>
      <c r="E68" s="154">
        <f t="shared" si="36"/>
        <v>26.684033881897385</v>
      </c>
      <c r="F68" s="154">
        <f t="shared" si="37"/>
        <v>62.879631636216814</v>
      </c>
      <c r="G68" s="169">
        <f>D68-'[6]Maijs'!D68</f>
        <v>0</v>
      </c>
      <c r="H68" s="144"/>
      <c r="I68" s="159" t="s">
        <v>388</v>
      </c>
      <c r="J68" s="162">
        <f t="shared" si="40"/>
        <v>1033</v>
      </c>
      <c r="K68" s="162">
        <f>ROUND(C68/1000,0)+1</f>
        <v>439</v>
      </c>
      <c r="L68" s="162">
        <f t="shared" si="40"/>
        <v>276</v>
      </c>
      <c r="M68" s="163">
        <f t="shared" si="38"/>
        <v>26.718296224588578</v>
      </c>
      <c r="N68" s="163">
        <f t="shared" si="39"/>
        <v>62.87015945330297</v>
      </c>
      <c r="O68" s="162">
        <f>ROUND(G68/1000,0)+1</f>
        <v>1</v>
      </c>
      <c r="P68" s="144"/>
      <c r="Q68" s="158">
        <v>276</v>
      </c>
      <c r="R68" s="162">
        <v>275</v>
      </c>
      <c r="S68" s="144">
        <f t="shared" si="1"/>
        <v>1</v>
      </c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</row>
    <row r="69" spans="1:88" s="718" customFormat="1" ht="12.75" customHeight="1">
      <c r="A69" s="159" t="s">
        <v>389</v>
      </c>
      <c r="B69" s="169">
        <v>4138590</v>
      </c>
      <c r="C69" s="169">
        <v>2155830</v>
      </c>
      <c r="D69" s="169">
        <v>2096599.19</v>
      </c>
      <c r="E69" s="154">
        <f t="shared" si="36"/>
        <v>50.65974619375198</v>
      </c>
      <c r="F69" s="154">
        <f t="shared" si="37"/>
        <v>97.25252872443559</v>
      </c>
      <c r="G69" s="169">
        <f>D69-'[6]Maijs'!D69</f>
        <v>304715.72</v>
      </c>
      <c r="H69" s="144"/>
      <c r="I69" s="159" t="s">
        <v>389</v>
      </c>
      <c r="J69" s="162">
        <v>4138</v>
      </c>
      <c r="K69" s="162">
        <f>ROUND(C69/1000,0)</f>
        <v>2156</v>
      </c>
      <c r="L69" s="162">
        <f>ROUND(D69/1000,0)</f>
        <v>2097</v>
      </c>
      <c r="M69" s="163">
        <f t="shared" si="38"/>
        <v>50.67665538907685</v>
      </c>
      <c r="N69" s="163">
        <f t="shared" si="39"/>
        <v>97.26345083487941</v>
      </c>
      <c r="O69" s="162">
        <f>ROUND(G69/1000,0)</f>
        <v>305</v>
      </c>
      <c r="P69" s="144"/>
      <c r="Q69" s="158">
        <v>2097</v>
      </c>
      <c r="R69" s="162">
        <v>1792</v>
      </c>
      <c r="S69" s="144">
        <f t="shared" si="1"/>
        <v>305</v>
      </c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</row>
    <row r="70" spans="1:88" s="718" customFormat="1" ht="12.75" customHeight="1">
      <c r="A70" s="159" t="s">
        <v>390</v>
      </c>
      <c r="B70" s="169">
        <v>2840580</v>
      </c>
      <c r="C70" s="169">
        <v>1470698</v>
      </c>
      <c r="D70" s="169">
        <v>858094</v>
      </c>
      <c r="E70" s="154">
        <f t="shared" si="36"/>
        <v>30.208408141999172</v>
      </c>
      <c r="F70" s="154">
        <f t="shared" si="37"/>
        <v>58.346037051794454</v>
      </c>
      <c r="G70" s="169">
        <f>D70-'[6]Maijs'!D70</f>
        <v>8454.819999999949</v>
      </c>
      <c r="H70" s="144"/>
      <c r="I70" s="159" t="s">
        <v>390</v>
      </c>
      <c r="J70" s="162">
        <f>ROUND(B70/1000,0)</f>
        <v>2841</v>
      </c>
      <c r="K70" s="162">
        <f>ROUND(C70/1000,0)-1</f>
        <v>1470</v>
      </c>
      <c r="L70" s="162">
        <f>ROUND(D70/1000,0)</f>
        <v>858</v>
      </c>
      <c r="M70" s="163">
        <f t="shared" si="38"/>
        <v>30.20063357972545</v>
      </c>
      <c r="N70" s="163">
        <f t="shared" si="39"/>
        <v>58.36734693877551</v>
      </c>
      <c r="O70" s="162">
        <f>ROUND(G70/1000,0)</f>
        <v>8</v>
      </c>
      <c r="P70" s="144"/>
      <c r="Q70" s="158">
        <v>858</v>
      </c>
      <c r="R70" s="162">
        <v>850</v>
      </c>
      <c r="S70" s="144">
        <f t="shared" si="1"/>
        <v>8</v>
      </c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</row>
    <row r="71" spans="1:88" s="718" customFormat="1" ht="12.75" customHeight="1">
      <c r="A71" s="165" t="s">
        <v>391</v>
      </c>
      <c r="B71" s="171">
        <f>SUM(B72:B73)</f>
        <v>95562330</v>
      </c>
      <c r="C71" s="171">
        <f>SUM(C72:C73)</f>
        <v>48594202</v>
      </c>
      <c r="D71" s="171">
        <f>SUM(D72:D73)</f>
        <v>45965840.71</v>
      </c>
      <c r="E71" s="154">
        <f t="shared" si="36"/>
        <v>48.10037669654978</v>
      </c>
      <c r="F71" s="154">
        <f t="shared" si="37"/>
        <v>94.59120392593339</v>
      </c>
      <c r="G71" s="171">
        <f>SUM(G72:G73)</f>
        <v>5277853.270000001</v>
      </c>
      <c r="H71" s="144"/>
      <c r="I71" s="165" t="s">
        <v>391</v>
      </c>
      <c r="J71" s="151">
        <f>J72+J73</f>
        <v>95563</v>
      </c>
      <c r="K71" s="151">
        <f>K72+K73</f>
        <v>48594</v>
      </c>
      <c r="L71" s="151">
        <f>L72+L73</f>
        <v>45966</v>
      </c>
      <c r="M71" s="161">
        <f t="shared" si="38"/>
        <v>48.10020614673043</v>
      </c>
      <c r="N71" s="161">
        <f t="shared" si="39"/>
        <v>94.59192492900358</v>
      </c>
      <c r="O71" s="151">
        <f>O72+O73</f>
        <v>5278</v>
      </c>
      <c r="P71" s="172"/>
      <c r="Q71" s="158">
        <v>45966</v>
      </c>
      <c r="R71" s="151">
        <v>40688</v>
      </c>
      <c r="S71" s="144">
        <f t="shared" si="1"/>
        <v>5278</v>
      </c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</row>
    <row r="72" spans="1:88" s="718" customFormat="1" ht="12.75" customHeight="1">
      <c r="A72" s="167" t="s">
        <v>392</v>
      </c>
      <c r="B72" s="169">
        <v>88541740</v>
      </c>
      <c r="C72" s="169">
        <v>44973971</v>
      </c>
      <c r="D72" s="169">
        <v>42994061.54</v>
      </c>
      <c r="E72" s="154">
        <f t="shared" si="36"/>
        <v>48.5579586983495</v>
      </c>
      <c r="F72" s="154">
        <f t="shared" si="37"/>
        <v>95.59765478569815</v>
      </c>
      <c r="G72" s="169">
        <f>D72-'[6]Maijs'!D72</f>
        <v>5098373.990000002</v>
      </c>
      <c r="H72" s="144"/>
      <c r="I72" s="167" t="s">
        <v>392</v>
      </c>
      <c r="J72" s="162">
        <f aca="true" t="shared" si="41" ref="J72:L74">ROUND(B72/1000,0)</f>
        <v>88542</v>
      </c>
      <c r="K72" s="162">
        <f t="shared" si="41"/>
        <v>44974</v>
      </c>
      <c r="L72" s="162">
        <f t="shared" si="41"/>
        <v>42994</v>
      </c>
      <c r="M72" s="163">
        <f t="shared" si="38"/>
        <v>48.55774660613042</v>
      </c>
      <c r="N72" s="163">
        <f t="shared" si="39"/>
        <v>95.59745630808911</v>
      </c>
      <c r="O72" s="162">
        <f>ROUND(G72/1000,0)</f>
        <v>5098</v>
      </c>
      <c r="P72" s="144"/>
      <c r="Q72" s="158">
        <v>42994</v>
      </c>
      <c r="R72" s="162">
        <v>37896</v>
      </c>
      <c r="S72" s="144">
        <f t="shared" si="1"/>
        <v>5098</v>
      </c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</row>
    <row r="73" spans="1:88" s="718" customFormat="1" ht="12.75" customHeight="1">
      <c r="A73" s="167" t="s">
        <v>393</v>
      </c>
      <c r="B73" s="169">
        <v>7020590</v>
      </c>
      <c r="C73" s="169">
        <v>3620231</v>
      </c>
      <c r="D73" s="169">
        <v>2971779.17</v>
      </c>
      <c r="E73" s="154">
        <f t="shared" si="36"/>
        <v>42.32947900390138</v>
      </c>
      <c r="F73" s="154">
        <f t="shared" si="37"/>
        <v>82.08810901845766</v>
      </c>
      <c r="G73" s="169">
        <f>D73-'[6]Maijs'!D73</f>
        <v>179479.2799999998</v>
      </c>
      <c r="H73" s="144"/>
      <c r="I73" s="167" t="s">
        <v>393</v>
      </c>
      <c r="J73" s="162">
        <f t="shared" si="41"/>
        <v>7021</v>
      </c>
      <c r="K73" s="162">
        <f t="shared" si="41"/>
        <v>3620</v>
      </c>
      <c r="L73" s="162">
        <f t="shared" si="41"/>
        <v>2972</v>
      </c>
      <c r="M73" s="163">
        <f t="shared" si="38"/>
        <v>42.330152399943024</v>
      </c>
      <c r="N73" s="163">
        <f t="shared" si="39"/>
        <v>82.09944751381215</v>
      </c>
      <c r="O73" s="162">
        <f>ROUND(G73/1000,0)+1</f>
        <v>180</v>
      </c>
      <c r="P73" s="144"/>
      <c r="Q73" s="158">
        <v>2972</v>
      </c>
      <c r="R73" s="162">
        <v>2792</v>
      </c>
      <c r="S73" s="144">
        <f t="shared" si="1"/>
        <v>180</v>
      </c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</row>
    <row r="74" spans="1:88" s="718" customFormat="1" ht="12.75" customHeight="1">
      <c r="A74" s="121" t="s">
        <v>394</v>
      </c>
      <c r="B74" s="169">
        <v>48898920</v>
      </c>
      <c r="C74" s="169"/>
      <c r="D74" s="169">
        <v>12770965</v>
      </c>
      <c r="E74" s="154"/>
      <c r="F74" s="154"/>
      <c r="G74" s="169">
        <f>D74-'[6]Maijs'!D74</f>
        <v>-4443009</v>
      </c>
      <c r="H74" s="144"/>
      <c r="I74" s="121" t="s">
        <v>394</v>
      </c>
      <c r="J74" s="162">
        <f t="shared" si="41"/>
        <v>48899</v>
      </c>
      <c r="K74" s="162">
        <f t="shared" si="41"/>
        <v>0</v>
      </c>
      <c r="L74" s="162">
        <f t="shared" si="41"/>
        <v>12771</v>
      </c>
      <c r="M74" s="163">
        <f t="shared" si="38"/>
        <v>26.117098509171967</v>
      </c>
      <c r="N74" s="163"/>
      <c r="O74" s="162">
        <f>ROUND(G74/1000,0)</f>
        <v>-4443</v>
      </c>
      <c r="P74" s="144"/>
      <c r="Q74" s="158">
        <v>0</v>
      </c>
      <c r="R74" s="162">
        <v>17214</v>
      </c>
      <c r="S74" s="144">
        <f aca="true" t="shared" si="42" ref="S74:S137">Q74-R74</f>
        <v>-17214</v>
      </c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</row>
    <row r="75" spans="1:88" s="718" customFormat="1" ht="12.75" customHeight="1">
      <c r="A75" s="121" t="s">
        <v>395</v>
      </c>
      <c r="B75" s="169">
        <f>B66-B71-B74</f>
        <v>-48995920</v>
      </c>
      <c r="C75" s="169">
        <f>C66-C71-C74</f>
        <v>-94690</v>
      </c>
      <c r="D75" s="169">
        <f>D66-D71-D74</f>
        <v>-11071853.450000003</v>
      </c>
      <c r="E75" s="169">
        <f>E66-E71-E74</f>
        <v>1.8286941609018186</v>
      </c>
      <c r="F75" s="169">
        <f>F66-F71-F74</f>
        <v>3.688037028078682</v>
      </c>
      <c r="G75" s="169">
        <f>D75-'[6]Maijs'!D75</f>
        <v>4258895.269999996</v>
      </c>
      <c r="H75" s="144"/>
      <c r="I75" s="121" t="s">
        <v>395</v>
      </c>
      <c r="J75" s="162">
        <f>ROUND(B75/1000,0)-1</f>
        <v>-48997</v>
      </c>
      <c r="K75" s="162">
        <f>ROUND(C75/1000,0)</f>
        <v>-95</v>
      </c>
      <c r="L75" s="162">
        <f>ROUND(D75/1000,0)</f>
        <v>-11072</v>
      </c>
      <c r="M75" s="163">
        <f t="shared" si="38"/>
        <v>22.59730187562504</v>
      </c>
      <c r="N75" s="163"/>
      <c r="O75" s="162">
        <f>O66-O71-O74</f>
        <v>4260</v>
      </c>
      <c r="P75" s="144"/>
      <c r="Q75" s="158">
        <v>1699</v>
      </c>
      <c r="R75" s="162">
        <v>-15331</v>
      </c>
      <c r="S75" s="144">
        <f t="shared" si="42"/>
        <v>17030</v>
      </c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</row>
    <row r="76" spans="1:88" s="718" customFormat="1" ht="12.75" customHeight="1">
      <c r="A76" s="165" t="s">
        <v>411</v>
      </c>
      <c r="B76" s="169"/>
      <c r="C76" s="169"/>
      <c r="D76" s="169"/>
      <c r="E76" s="169"/>
      <c r="F76" s="169"/>
      <c r="G76" s="169"/>
      <c r="H76" s="144"/>
      <c r="I76" s="165" t="s">
        <v>412</v>
      </c>
      <c r="J76" s="169"/>
      <c r="K76" s="169"/>
      <c r="L76" s="169"/>
      <c r="M76" s="163"/>
      <c r="N76" s="163"/>
      <c r="O76" s="169"/>
      <c r="P76" s="144"/>
      <c r="Q76" s="158"/>
      <c r="R76" s="169"/>
      <c r="S76" s="144">
        <f t="shared" si="42"/>
        <v>0</v>
      </c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</row>
    <row r="77" spans="1:88" s="718" customFormat="1" ht="12.75" customHeight="1">
      <c r="A77" s="159" t="s">
        <v>386</v>
      </c>
      <c r="B77" s="169">
        <f>SUM(B78:B80)</f>
        <v>88411691</v>
      </c>
      <c r="C77" s="171">
        <f>SUM(C78:C80)</f>
        <v>44130058</v>
      </c>
      <c r="D77" s="171">
        <f>SUM(D78:D80)</f>
        <v>41672796.47</v>
      </c>
      <c r="E77" s="153">
        <f aca="true" t="shared" si="43" ref="E77:E83">IF(ISERROR(D77/B77)," ",(D77/B77))*100</f>
        <v>47.13493882839545</v>
      </c>
      <c r="F77" s="153">
        <f aca="true" t="shared" si="44" ref="F77:F83">IF(ISERROR(D77/C77)," ",(D77/C77))*100</f>
        <v>94.431773622414</v>
      </c>
      <c r="G77" s="171">
        <f>SUM(G78:G80)</f>
        <v>7660984.84</v>
      </c>
      <c r="H77" s="144"/>
      <c r="I77" s="159" t="s">
        <v>386</v>
      </c>
      <c r="J77" s="151">
        <f>J78+J79+J80</f>
        <v>88412</v>
      </c>
      <c r="K77" s="151">
        <f>K78+K79+K80</f>
        <v>44130</v>
      </c>
      <c r="L77" s="151">
        <f>L78+L79+L80</f>
        <v>41673</v>
      </c>
      <c r="M77" s="161">
        <f aca="true" t="shared" si="45" ref="M77:M83">L77/J77*100</f>
        <v>47.13500429805909</v>
      </c>
      <c r="N77" s="161">
        <f aca="true" t="shared" si="46" ref="N77:N83">L77/K77*100</f>
        <v>94.43235893949694</v>
      </c>
      <c r="O77" s="151">
        <f>O78+O79+O80</f>
        <v>7661</v>
      </c>
      <c r="P77" s="144"/>
      <c r="Q77" s="158">
        <v>41673</v>
      </c>
      <c r="R77" s="151">
        <v>34012</v>
      </c>
      <c r="S77" s="144">
        <f t="shared" si="42"/>
        <v>7661</v>
      </c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</row>
    <row r="78" spans="1:88" s="718" customFormat="1" ht="12.75" customHeight="1">
      <c r="A78" s="159" t="s">
        <v>387</v>
      </c>
      <c r="B78" s="169">
        <v>77270929</v>
      </c>
      <c r="C78" s="169">
        <v>38020065</v>
      </c>
      <c r="D78" s="169">
        <v>38020065</v>
      </c>
      <c r="E78" s="154">
        <f t="shared" si="43"/>
        <v>49.20358211300915</v>
      </c>
      <c r="F78" s="154">
        <f t="shared" si="44"/>
        <v>100</v>
      </c>
      <c r="G78" s="169">
        <f>D78-'[6]Maijs'!D78</f>
        <v>7055782</v>
      </c>
      <c r="H78" s="144"/>
      <c r="I78" s="159" t="s">
        <v>387</v>
      </c>
      <c r="J78" s="162">
        <f aca="true" t="shared" si="47" ref="J78:L80">ROUND(B78/1000,0)</f>
        <v>77271</v>
      </c>
      <c r="K78" s="162">
        <f t="shared" si="47"/>
        <v>38020</v>
      </c>
      <c r="L78" s="162">
        <f t="shared" si="47"/>
        <v>38020</v>
      </c>
      <c r="M78" s="163">
        <f t="shared" si="45"/>
        <v>49.203452783062204</v>
      </c>
      <c r="N78" s="163">
        <f t="shared" si="46"/>
        <v>100</v>
      </c>
      <c r="O78" s="162">
        <f>ROUND(G78/1000,0)</f>
        <v>7056</v>
      </c>
      <c r="P78" s="144"/>
      <c r="Q78" s="158">
        <v>38020</v>
      </c>
      <c r="R78" s="162">
        <v>30964</v>
      </c>
      <c r="S78" s="144">
        <f t="shared" si="42"/>
        <v>7056</v>
      </c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</row>
    <row r="79" spans="1:88" s="718" customFormat="1" ht="12.75" customHeight="1">
      <c r="A79" s="159" t="s">
        <v>389</v>
      </c>
      <c r="B79" s="169">
        <v>7779610</v>
      </c>
      <c r="C79" s="169">
        <v>4050395</v>
      </c>
      <c r="D79" s="169">
        <v>3421024.66</v>
      </c>
      <c r="E79" s="154">
        <f t="shared" si="43"/>
        <v>43.97424369602076</v>
      </c>
      <c r="F79" s="154">
        <f t="shared" si="44"/>
        <v>84.46150708758034</v>
      </c>
      <c r="G79" s="169">
        <f>D79-'[6]Maijs'!D79</f>
        <v>605202.8400000003</v>
      </c>
      <c r="H79" s="144"/>
      <c r="I79" s="159" t="s">
        <v>389</v>
      </c>
      <c r="J79" s="162">
        <f t="shared" si="47"/>
        <v>7780</v>
      </c>
      <c r="K79" s="162">
        <f t="shared" si="47"/>
        <v>4050</v>
      </c>
      <c r="L79" s="162">
        <f t="shared" si="47"/>
        <v>3421</v>
      </c>
      <c r="M79" s="163">
        <f t="shared" si="45"/>
        <v>43.97172236503856</v>
      </c>
      <c r="N79" s="163">
        <f t="shared" si="46"/>
        <v>84.46913580246913</v>
      </c>
      <c r="O79" s="162">
        <f>ROUND(G79/1000,0)</f>
        <v>605</v>
      </c>
      <c r="P79" s="144"/>
      <c r="Q79" s="158">
        <v>3421</v>
      </c>
      <c r="R79" s="162">
        <v>2816</v>
      </c>
      <c r="S79" s="144">
        <f t="shared" si="42"/>
        <v>605</v>
      </c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</row>
    <row r="80" spans="1:88" s="718" customFormat="1" ht="12.75" customHeight="1">
      <c r="A80" s="159" t="s">
        <v>390</v>
      </c>
      <c r="B80" s="169">
        <v>3361152</v>
      </c>
      <c r="C80" s="169">
        <v>2059598</v>
      </c>
      <c r="D80" s="169">
        <v>231706.81</v>
      </c>
      <c r="E80" s="154">
        <f t="shared" si="43"/>
        <v>6.893672467058913</v>
      </c>
      <c r="F80" s="154">
        <f t="shared" si="44"/>
        <v>11.250098805689266</v>
      </c>
      <c r="G80" s="169">
        <f>D80-'[6]Maijs'!D80</f>
        <v>0</v>
      </c>
      <c r="H80" s="144"/>
      <c r="I80" s="159" t="s">
        <v>390</v>
      </c>
      <c r="J80" s="162">
        <f t="shared" si="47"/>
        <v>3361</v>
      </c>
      <c r="K80" s="162">
        <f t="shared" si="47"/>
        <v>2060</v>
      </c>
      <c r="L80" s="162">
        <f t="shared" si="47"/>
        <v>232</v>
      </c>
      <c r="M80" s="163">
        <f t="shared" si="45"/>
        <v>6.902707527521571</v>
      </c>
      <c r="N80" s="163">
        <f t="shared" si="46"/>
        <v>11.262135922330096</v>
      </c>
      <c r="O80" s="162"/>
      <c r="P80" s="144"/>
      <c r="Q80" s="158">
        <v>232</v>
      </c>
      <c r="R80" s="162">
        <v>232</v>
      </c>
      <c r="S80" s="144">
        <f t="shared" si="42"/>
        <v>0</v>
      </c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</row>
    <row r="81" spans="1:88" s="718" customFormat="1" ht="12.75" customHeight="1">
      <c r="A81" s="165" t="s">
        <v>391</v>
      </c>
      <c r="B81" s="171">
        <f>SUM(B82:B83)</f>
        <v>88411691</v>
      </c>
      <c r="C81" s="171">
        <f>SUM(C82:C83)</f>
        <v>44130058</v>
      </c>
      <c r="D81" s="171">
        <f>SUM(D82:D83)</f>
        <v>40455986.82</v>
      </c>
      <c r="E81" s="154">
        <f t="shared" si="43"/>
        <v>45.758639341034666</v>
      </c>
      <c r="F81" s="154">
        <f t="shared" si="44"/>
        <v>91.67444742538068</v>
      </c>
      <c r="G81" s="171">
        <f>SUM(G82:G83)</f>
        <v>7470143.679999998</v>
      </c>
      <c r="H81" s="144"/>
      <c r="I81" s="165" t="s">
        <v>391</v>
      </c>
      <c r="J81" s="151">
        <f>J82+J83</f>
        <v>88411</v>
      </c>
      <c r="K81" s="151">
        <f>K82+K83</f>
        <v>44130</v>
      </c>
      <c r="L81" s="151">
        <f>L82+L83</f>
        <v>40456</v>
      </c>
      <c r="M81" s="161">
        <f t="shared" si="45"/>
        <v>45.75901188766104</v>
      </c>
      <c r="N81" s="161">
        <f t="shared" si="46"/>
        <v>91.67459777928848</v>
      </c>
      <c r="O81" s="151">
        <f>O82+O83</f>
        <v>7471</v>
      </c>
      <c r="P81" s="144"/>
      <c r="Q81" s="158">
        <v>40456</v>
      </c>
      <c r="R81" s="151">
        <v>32985</v>
      </c>
      <c r="S81" s="144">
        <f t="shared" si="42"/>
        <v>7471</v>
      </c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</row>
    <row r="82" spans="1:88" s="718" customFormat="1" ht="12.75" customHeight="1">
      <c r="A82" s="167" t="s">
        <v>392</v>
      </c>
      <c r="B82" s="169">
        <v>74053323</v>
      </c>
      <c r="C82" s="169">
        <v>37264483</v>
      </c>
      <c r="D82" s="169">
        <v>36377015.47</v>
      </c>
      <c r="E82" s="154">
        <f t="shared" si="43"/>
        <v>49.122732102109715</v>
      </c>
      <c r="F82" s="154">
        <f t="shared" si="44"/>
        <v>97.61846278667008</v>
      </c>
      <c r="G82" s="169">
        <f>D82-'[6]Maijs'!D82</f>
        <v>6118438.939999998</v>
      </c>
      <c r="H82" s="144"/>
      <c r="I82" s="167" t="s">
        <v>392</v>
      </c>
      <c r="J82" s="162">
        <f aca="true" t="shared" si="48" ref="J82:L83">ROUND(B82/1000,0)</f>
        <v>74053</v>
      </c>
      <c r="K82" s="162">
        <f t="shared" si="48"/>
        <v>37264</v>
      </c>
      <c r="L82" s="162">
        <f t="shared" si="48"/>
        <v>36377</v>
      </c>
      <c r="M82" s="163">
        <f t="shared" si="45"/>
        <v>49.12292547229687</v>
      </c>
      <c r="N82" s="163">
        <f t="shared" si="46"/>
        <v>97.6196865607557</v>
      </c>
      <c r="O82" s="162">
        <f>ROUND(G82/1000,0)+1</f>
        <v>6119</v>
      </c>
      <c r="P82" s="144"/>
      <c r="Q82" s="158">
        <v>36377</v>
      </c>
      <c r="R82" s="162">
        <v>30258</v>
      </c>
      <c r="S82" s="144">
        <f t="shared" si="42"/>
        <v>6119</v>
      </c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</row>
    <row r="83" spans="1:88" s="718" customFormat="1" ht="12.75" customHeight="1">
      <c r="A83" s="167" t="s">
        <v>393</v>
      </c>
      <c r="B83" s="169">
        <v>14358368</v>
      </c>
      <c r="C83" s="169">
        <v>6865575</v>
      </c>
      <c r="D83" s="169">
        <v>4078971.35</v>
      </c>
      <c r="E83" s="154">
        <f t="shared" si="43"/>
        <v>28.40832154462123</v>
      </c>
      <c r="F83" s="154">
        <f t="shared" si="44"/>
        <v>59.4119407332962</v>
      </c>
      <c r="G83" s="169">
        <f>D83-'[6]Maijs'!D83</f>
        <v>1351704.7400000002</v>
      </c>
      <c r="H83" s="144"/>
      <c r="I83" s="167" t="s">
        <v>393</v>
      </c>
      <c r="J83" s="162">
        <f t="shared" si="48"/>
        <v>14358</v>
      </c>
      <c r="K83" s="162">
        <f t="shared" si="48"/>
        <v>6866</v>
      </c>
      <c r="L83" s="162">
        <f t="shared" si="48"/>
        <v>4079</v>
      </c>
      <c r="M83" s="163">
        <f t="shared" si="45"/>
        <v>28.409249199052795</v>
      </c>
      <c r="N83" s="163">
        <f t="shared" si="46"/>
        <v>59.40868045441305</v>
      </c>
      <c r="O83" s="162">
        <f>ROUND(G83/1000,0)</f>
        <v>1352</v>
      </c>
      <c r="P83" s="144"/>
      <c r="Q83" s="158">
        <v>4079</v>
      </c>
      <c r="R83" s="162">
        <v>2727</v>
      </c>
      <c r="S83" s="144">
        <f t="shared" si="42"/>
        <v>1352</v>
      </c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</row>
    <row r="84" spans="1:88" s="718" customFormat="1" ht="12.75" customHeight="1">
      <c r="A84" s="170" t="s">
        <v>413</v>
      </c>
      <c r="B84" s="169"/>
      <c r="C84" s="169"/>
      <c r="D84" s="169"/>
      <c r="E84" s="154"/>
      <c r="F84" s="169"/>
      <c r="G84" s="169"/>
      <c r="H84" s="144"/>
      <c r="I84" s="170" t="s">
        <v>414</v>
      </c>
      <c r="J84" s="169"/>
      <c r="K84" s="169"/>
      <c r="L84" s="169"/>
      <c r="M84" s="163"/>
      <c r="N84" s="163"/>
      <c r="O84" s="169"/>
      <c r="P84" s="144"/>
      <c r="Q84" s="158"/>
      <c r="R84" s="169"/>
      <c r="S84" s="144">
        <f t="shared" si="42"/>
        <v>0</v>
      </c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</row>
    <row r="85" spans="1:88" s="718" customFormat="1" ht="12.75" customHeight="1">
      <c r="A85" s="159" t="s">
        <v>386</v>
      </c>
      <c r="B85" s="169">
        <f>SUM(B86:B89)</f>
        <v>79799585</v>
      </c>
      <c r="C85" s="171">
        <f>SUM(C86:C89)</f>
        <v>40464598</v>
      </c>
      <c r="D85" s="171">
        <f>SUM(D86:D89)</f>
        <v>39200896.39</v>
      </c>
      <c r="E85" s="153">
        <f aca="true" t="shared" si="49" ref="E85:E92">IF(ISERROR(D85/B85)," ",(D85/B85))*100</f>
        <v>49.124185783672935</v>
      </c>
      <c r="F85" s="153">
        <f aca="true" t="shared" si="50" ref="F85:F92">IF(ISERROR(D85/C85)," ",(D85/C85))*100</f>
        <v>96.87701924037401</v>
      </c>
      <c r="G85" s="171">
        <f>SUM(G86:G89)</f>
        <v>5961660.18</v>
      </c>
      <c r="H85" s="144"/>
      <c r="I85" s="159" t="s">
        <v>386</v>
      </c>
      <c r="J85" s="151">
        <f>J86+J87+J88+J89</f>
        <v>79799</v>
      </c>
      <c r="K85" s="151">
        <f>K86+K87+K88+K89</f>
        <v>40465</v>
      </c>
      <c r="L85" s="151">
        <f>L86+L87+L88+L89</f>
        <v>39201</v>
      </c>
      <c r="M85" s="161">
        <f aca="true" t="shared" si="51" ref="M85:M92">L85/J85*100</f>
        <v>49.12467574781639</v>
      </c>
      <c r="N85" s="161">
        <f aca="true" t="shared" si="52" ref="N85:N92">L85/K85*100</f>
        <v>96.87631286296799</v>
      </c>
      <c r="O85" s="151">
        <f>O86+O87+O88+O89</f>
        <v>5962</v>
      </c>
      <c r="P85" s="144"/>
      <c r="Q85" s="158">
        <v>39201</v>
      </c>
      <c r="R85" s="151">
        <v>33239</v>
      </c>
      <c r="S85" s="144">
        <f t="shared" si="42"/>
        <v>5962</v>
      </c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</row>
    <row r="86" spans="1:88" s="718" customFormat="1" ht="12.75" customHeight="1">
      <c r="A86" s="159" t="s">
        <v>387</v>
      </c>
      <c r="B86" s="169">
        <v>56294148</v>
      </c>
      <c r="C86" s="169">
        <v>27889395</v>
      </c>
      <c r="D86" s="169">
        <v>27889395</v>
      </c>
      <c r="E86" s="154">
        <f t="shared" si="49"/>
        <v>49.542263256209154</v>
      </c>
      <c r="F86" s="154">
        <f t="shared" si="50"/>
        <v>100</v>
      </c>
      <c r="G86" s="169">
        <f>D86-'[6]Maijs'!D86</f>
        <v>4489827</v>
      </c>
      <c r="H86" s="144"/>
      <c r="I86" s="159" t="s">
        <v>387</v>
      </c>
      <c r="J86" s="162">
        <f aca="true" t="shared" si="53" ref="J86:L88">ROUND(B86/1000,0)</f>
        <v>56294</v>
      </c>
      <c r="K86" s="162">
        <f>ROUND(C86/1000,0)+1</f>
        <v>27890</v>
      </c>
      <c r="L86" s="162">
        <f>ROUND(D86/1000,0)+1</f>
        <v>27890</v>
      </c>
      <c r="M86" s="163">
        <f t="shared" si="51"/>
        <v>49.543468220414255</v>
      </c>
      <c r="N86" s="163">
        <f t="shared" si="52"/>
        <v>100</v>
      </c>
      <c r="O86" s="162">
        <f>ROUND(G86/1000,0)</f>
        <v>4490</v>
      </c>
      <c r="P86" s="144"/>
      <c r="Q86" s="158">
        <v>27890</v>
      </c>
      <c r="R86" s="162">
        <v>23400</v>
      </c>
      <c r="S86" s="144">
        <f t="shared" si="42"/>
        <v>4490</v>
      </c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</row>
    <row r="87" spans="1:88" s="718" customFormat="1" ht="12.75" customHeight="1">
      <c r="A87" s="159" t="s">
        <v>388</v>
      </c>
      <c r="B87" s="169">
        <v>2311000</v>
      </c>
      <c r="C87" s="169">
        <v>732000</v>
      </c>
      <c r="D87" s="169">
        <v>305490.08</v>
      </c>
      <c r="E87" s="154">
        <f t="shared" si="49"/>
        <v>13.21895629597577</v>
      </c>
      <c r="F87" s="154">
        <f t="shared" si="50"/>
        <v>41.7336174863388</v>
      </c>
      <c r="G87" s="169">
        <f>D87-'[6]Maijs'!D87</f>
        <v>60708.96000000002</v>
      </c>
      <c r="H87" s="144"/>
      <c r="I87" s="159" t="s">
        <v>388</v>
      </c>
      <c r="J87" s="162">
        <f t="shared" si="53"/>
        <v>2311</v>
      </c>
      <c r="K87" s="162">
        <f t="shared" si="53"/>
        <v>732</v>
      </c>
      <c r="L87" s="162">
        <f t="shared" si="53"/>
        <v>305</v>
      </c>
      <c r="M87" s="163">
        <f t="shared" si="51"/>
        <v>13.197749891821722</v>
      </c>
      <c r="N87" s="163">
        <f t="shared" si="52"/>
        <v>41.66666666666667</v>
      </c>
      <c r="O87" s="162">
        <f>ROUND(G87/1000,0)-1</f>
        <v>60</v>
      </c>
      <c r="P87" s="144"/>
      <c r="Q87" s="158">
        <v>305</v>
      </c>
      <c r="R87" s="162">
        <v>245</v>
      </c>
      <c r="S87" s="144">
        <f t="shared" si="42"/>
        <v>60</v>
      </c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</row>
    <row r="88" spans="1:88" s="718" customFormat="1" ht="12.75" customHeight="1">
      <c r="A88" s="159" t="s">
        <v>389</v>
      </c>
      <c r="B88" s="169">
        <v>18428228</v>
      </c>
      <c r="C88" s="169">
        <v>9303994</v>
      </c>
      <c r="D88" s="169">
        <v>9469880.31</v>
      </c>
      <c r="E88" s="154">
        <f t="shared" si="49"/>
        <v>51.38790506607581</v>
      </c>
      <c r="F88" s="154">
        <f t="shared" si="50"/>
        <v>101.78295805005895</v>
      </c>
      <c r="G88" s="169">
        <f>D88-'[6]Maijs'!D88</f>
        <v>1171897.2000000002</v>
      </c>
      <c r="H88" s="144"/>
      <c r="I88" s="159" t="s">
        <v>389</v>
      </c>
      <c r="J88" s="162">
        <f t="shared" si="53"/>
        <v>18428</v>
      </c>
      <c r="K88" s="162">
        <f t="shared" si="53"/>
        <v>9304</v>
      </c>
      <c r="L88" s="162">
        <f t="shared" si="53"/>
        <v>9470</v>
      </c>
      <c r="M88" s="163">
        <f t="shared" si="51"/>
        <v>51.38919036249187</v>
      </c>
      <c r="N88" s="163">
        <f t="shared" si="52"/>
        <v>101.7841788478074</v>
      </c>
      <c r="O88" s="162">
        <f>ROUND(G88/1000,0)</f>
        <v>1172</v>
      </c>
      <c r="P88" s="144"/>
      <c r="Q88" s="158">
        <v>9470</v>
      </c>
      <c r="R88" s="162">
        <v>8298</v>
      </c>
      <c r="S88" s="144">
        <f t="shared" si="42"/>
        <v>1172</v>
      </c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</row>
    <row r="89" spans="1:88" s="718" customFormat="1" ht="12.75" customHeight="1">
      <c r="A89" s="159" t="s">
        <v>390</v>
      </c>
      <c r="B89" s="169">
        <v>2766209</v>
      </c>
      <c r="C89" s="169">
        <v>2539209</v>
      </c>
      <c r="D89" s="169">
        <v>1536131</v>
      </c>
      <c r="E89" s="154">
        <f t="shared" si="49"/>
        <v>55.531993424936445</v>
      </c>
      <c r="F89" s="154">
        <f t="shared" si="50"/>
        <v>60.49643806397976</v>
      </c>
      <c r="G89" s="169">
        <f>D89-'[6]Maijs'!D89</f>
        <v>239227.02000000002</v>
      </c>
      <c r="H89" s="144"/>
      <c r="I89" s="159" t="s">
        <v>390</v>
      </c>
      <c r="J89" s="162">
        <f>ROUND(B89/1000,0)</f>
        <v>2766</v>
      </c>
      <c r="K89" s="162">
        <f>ROUND(C89/1000,0)</f>
        <v>2539</v>
      </c>
      <c r="L89" s="162">
        <f>ROUND(D89/1000,0)</f>
        <v>1536</v>
      </c>
      <c r="M89" s="163">
        <f t="shared" si="51"/>
        <v>55.53145336225597</v>
      </c>
      <c r="N89" s="163">
        <f t="shared" si="52"/>
        <v>60.49625836943678</v>
      </c>
      <c r="O89" s="162">
        <f>ROUND(G89/1000,0)+1</f>
        <v>240</v>
      </c>
      <c r="P89" s="144"/>
      <c r="Q89" s="158">
        <v>1536</v>
      </c>
      <c r="R89" s="162">
        <v>1296</v>
      </c>
      <c r="S89" s="144">
        <f t="shared" si="42"/>
        <v>240</v>
      </c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</row>
    <row r="90" spans="1:88" s="718" customFormat="1" ht="12.75" customHeight="1">
      <c r="A90" s="165" t="s">
        <v>391</v>
      </c>
      <c r="B90" s="171">
        <f>SUM(B91:B92)</f>
        <v>79799585</v>
      </c>
      <c r="C90" s="171">
        <f>SUM(C91:C92)</f>
        <v>40464598</v>
      </c>
      <c r="D90" s="171">
        <f>SUM(D91:D92)</f>
        <v>36002927.4</v>
      </c>
      <c r="E90" s="154">
        <f t="shared" si="49"/>
        <v>45.116685005316754</v>
      </c>
      <c r="F90" s="154">
        <f t="shared" si="50"/>
        <v>88.97389120237892</v>
      </c>
      <c r="G90" s="171">
        <f>SUM(G91:G92)</f>
        <v>7010403.180000001</v>
      </c>
      <c r="H90" s="144"/>
      <c r="I90" s="165" t="s">
        <v>391</v>
      </c>
      <c r="J90" s="151">
        <f>J91+J92</f>
        <v>79800</v>
      </c>
      <c r="K90" s="151">
        <f>K91+K92</f>
        <v>40465</v>
      </c>
      <c r="L90" s="151">
        <f>L91+L92</f>
        <v>36003</v>
      </c>
      <c r="M90" s="161">
        <f t="shared" si="51"/>
        <v>45.11654135338346</v>
      </c>
      <c r="N90" s="161">
        <f t="shared" si="52"/>
        <v>88.9731867045595</v>
      </c>
      <c r="O90" s="151">
        <f>O91+O92</f>
        <v>7010</v>
      </c>
      <c r="P90" s="144"/>
      <c r="Q90" s="158">
        <v>36003</v>
      </c>
      <c r="R90" s="151">
        <v>28993</v>
      </c>
      <c r="S90" s="144">
        <f t="shared" si="42"/>
        <v>7010</v>
      </c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</row>
    <row r="91" spans="1:88" s="718" customFormat="1" ht="12.75" customHeight="1">
      <c r="A91" s="167" t="s">
        <v>392</v>
      </c>
      <c r="B91" s="169">
        <v>73110630</v>
      </c>
      <c r="C91" s="169">
        <v>37811891</v>
      </c>
      <c r="D91" s="169">
        <v>34126961.1</v>
      </c>
      <c r="E91" s="154">
        <f t="shared" si="49"/>
        <v>46.6785214407262</v>
      </c>
      <c r="F91" s="154">
        <f t="shared" si="50"/>
        <v>90.25457388523627</v>
      </c>
      <c r="G91" s="169">
        <f>D91-'[6]Maijs'!D91</f>
        <v>6403140.32</v>
      </c>
      <c r="H91" s="144"/>
      <c r="I91" s="167" t="s">
        <v>392</v>
      </c>
      <c r="J91" s="162">
        <f aca="true" t="shared" si="54" ref="J91:L92">ROUND(B91/1000,0)</f>
        <v>73111</v>
      </c>
      <c r="K91" s="162">
        <f t="shared" si="54"/>
        <v>37812</v>
      </c>
      <c r="L91" s="162">
        <f t="shared" si="54"/>
        <v>34127</v>
      </c>
      <c r="M91" s="163">
        <f t="shared" si="51"/>
        <v>46.67833841692769</v>
      </c>
      <c r="N91" s="163">
        <f t="shared" si="52"/>
        <v>90.25441658732677</v>
      </c>
      <c r="O91" s="162">
        <f>ROUND(G91/1000,0)</f>
        <v>6403</v>
      </c>
      <c r="P91" s="144"/>
      <c r="Q91" s="158">
        <v>34127</v>
      </c>
      <c r="R91" s="162">
        <v>27724</v>
      </c>
      <c r="S91" s="144">
        <f t="shared" si="42"/>
        <v>6403</v>
      </c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</row>
    <row r="92" spans="1:88" s="718" customFormat="1" ht="12.75" customHeight="1">
      <c r="A92" s="167" t="s">
        <v>393</v>
      </c>
      <c r="B92" s="169">
        <v>6688955</v>
      </c>
      <c r="C92" s="169">
        <v>2652707</v>
      </c>
      <c r="D92" s="169">
        <v>1875966.3</v>
      </c>
      <c r="E92" s="154">
        <f t="shared" si="49"/>
        <v>28.045730611134328</v>
      </c>
      <c r="F92" s="154">
        <f t="shared" si="50"/>
        <v>70.7189410666161</v>
      </c>
      <c r="G92" s="169">
        <f>D92-'[6]Maijs'!D92</f>
        <v>607262.8600000001</v>
      </c>
      <c r="H92" s="144"/>
      <c r="I92" s="167" t="s">
        <v>393</v>
      </c>
      <c r="J92" s="162">
        <f t="shared" si="54"/>
        <v>6689</v>
      </c>
      <c r="K92" s="162">
        <f t="shared" si="54"/>
        <v>2653</v>
      </c>
      <c r="L92" s="162">
        <f t="shared" si="54"/>
        <v>1876</v>
      </c>
      <c r="M92" s="163">
        <f t="shared" si="51"/>
        <v>28.046045746748394</v>
      </c>
      <c r="N92" s="163">
        <f t="shared" si="52"/>
        <v>70.71240105540898</v>
      </c>
      <c r="O92" s="162">
        <f>ROUND(G92/1000,0)</f>
        <v>607</v>
      </c>
      <c r="P92" s="144"/>
      <c r="Q92" s="158">
        <v>1876</v>
      </c>
      <c r="R92" s="162">
        <v>1269</v>
      </c>
      <c r="S92" s="144">
        <f t="shared" si="42"/>
        <v>607</v>
      </c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</row>
    <row r="93" spans="1:88" s="718" customFormat="1" ht="12.75" customHeight="1">
      <c r="A93" s="165" t="s">
        <v>415</v>
      </c>
      <c r="B93" s="169"/>
      <c r="C93" s="169"/>
      <c r="D93" s="169"/>
      <c r="E93" s="169"/>
      <c r="F93" s="169"/>
      <c r="G93" s="169"/>
      <c r="H93" s="144"/>
      <c r="I93" s="165" t="s">
        <v>416</v>
      </c>
      <c r="J93" s="169"/>
      <c r="K93" s="169"/>
      <c r="L93" s="169"/>
      <c r="M93" s="163"/>
      <c r="N93" s="163"/>
      <c r="O93" s="169"/>
      <c r="P93" s="144"/>
      <c r="Q93" s="158"/>
      <c r="R93" s="169"/>
      <c r="S93" s="144">
        <f t="shared" si="42"/>
        <v>0</v>
      </c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</row>
    <row r="94" spans="1:88" s="718" customFormat="1" ht="12.75" customHeight="1">
      <c r="A94" s="159" t="s">
        <v>386</v>
      </c>
      <c r="B94" s="169">
        <f>SUM(B95:B97)</f>
        <v>76198416</v>
      </c>
      <c r="C94" s="171">
        <f>SUM(C95:C97)</f>
        <v>30226059</v>
      </c>
      <c r="D94" s="171">
        <f>SUM(D95:D97)</f>
        <v>29886067.69</v>
      </c>
      <c r="E94" s="153">
        <f aca="true" t="shared" si="55" ref="E94:E100">IF(ISERROR(D94/B94)," ",(D94/B94))*100</f>
        <v>39.22137658347124</v>
      </c>
      <c r="F94" s="153">
        <f aca="true" t="shared" si="56" ref="F94:F100">IF(ISERROR(D94/C94)," ",(D94/C94))*100</f>
        <v>98.87517155312905</v>
      </c>
      <c r="G94" s="171">
        <f>SUM(G95:G97)</f>
        <v>5080147.43</v>
      </c>
      <c r="H94" s="144"/>
      <c r="I94" s="159" t="s">
        <v>386</v>
      </c>
      <c r="J94" s="151">
        <f>J95+J96+J97</f>
        <v>76198</v>
      </c>
      <c r="K94" s="151">
        <f>K95+K96+K97</f>
        <v>30226</v>
      </c>
      <c r="L94" s="151">
        <f>L95+L96+L97</f>
        <v>29885</v>
      </c>
      <c r="M94" s="161">
        <f aca="true" t="shared" si="57" ref="M94:M100">L94/J94*100</f>
        <v>39.22018950628625</v>
      </c>
      <c r="N94" s="161">
        <f aca="true" t="shared" si="58" ref="N94:N100">L94/K94*100</f>
        <v>98.87183219744591</v>
      </c>
      <c r="O94" s="151">
        <f>ROUND(G94/1000,0)-1</f>
        <v>5079</v>
      </c>
      <c r="P94" s="144"/>
      <c r="Q94" s="158">
        <v>29885</v>
      </c>
      <c r="R94" s="151">
        <v>24806</v>
      </c>
      <c r="S94" s="144">
        <f t="shared" si="42"/>
        <v>5079</v>
      </c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4"/>
      <c r="CE94" s="144"/>
      <c r="CF94" s="144"/>
      <c r="CG94" s="144"/>
      <c r="CH94" s="144"/>
      <c r="CI94" s="144"/>
      <c r="CJ94" s="144"/>
    </row>
    <row r="95" spans="1:88" s="718" customFormat="1" ht="12.75" customHeight="1">
      <c r="A95" s="159" t="s">
        <v>387</v>
      </c>
      <c r="B95" s="169">
        <v>53338265</v>
      </c>
      <c r="C95" s="169">
        <v>25488320</v>
      </c>
      <c r="D95" s="169">
        <v>25488320</v>
      </c>
      <c r="E95" s="154">
        <f t="shared" si="55"/>
        <v>47.78618127155055</v>
      </c>
      <c r="F95" s="154">
        <f t="shared" si="56"/>
        <v>100</v>
      </c>
      <c r="G95" s="169">
        <f>D95-'[6]Maijs'!D95</f>
        <v>4382644</v>
      </c>
      <c r="H95" s="144"/>
      <c r="I95" s="159" t="s">
        <v>387</v>
      </c>
      <c r="J95" s="162">
        <f aca="true" t="shared" si="59" ref="J95:L96">ROUND(B95/1000,0)</f>
        <v>53338</v>
      </c>
      <c r="K95" s="162">
        <f t="shared" si="59"/>
        <v>25488</v>
      </c>
      <c r="L95" s="162">
        <f t="shared" si="59"/>
        <v>25488</v>
      </c>
      <c r="M95" s="163">
        <f t="shared" si="57"/>
        <v>47.78581874086017</v>
      </c>
      <c r="N95" s="163">
        <f t="shared" si="58"/>
        <v>100</v>
      </c>
      <c r="O95" s="162">
        <f>ROUND(G95/1000,0)-1</f>
        <v>4382</v>
      </c>
      <c r="P95" s="144"/>
      <c r="Q95" s="158">
        <v>25488</v>
      </c>
      <c r="R95" s="162">
        <v>21106</v>
      </c>
      <c r="S95" s="144">
        <f t="shared" si="42"/>
        <v>4382</v>
      </c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</row>
    <row r="96" spans="1:88" s="718" customFormat="1" ht="12.75" customHeight="1">
      <c r="A96" s="159" t="s">
        <v>389</v>
      </c>
      <c r="B96" s="169">
        <v>6626721</v>
      </c>
      <c r="C96" s="169">
        <v>3510269</v>
      </c>
      <c r="D96" s="169">
        <v>3862153.69</v>
      </c>
      <c r="E96" s="154">
        <f t="shared" si="55"/>
        <v>58.281519472451</v>
      </c>
      <c r="F96" s="154">
        <f t="shared" si="56"/>
        <v>110.02443658876287</v>
      </c>
      <c r="G96" s="169">
        <f>D96-'[6]Maijs'!D96</f>
        <v>626686.6800000002</v>
      </c>
      <c r="H96" s="144"/>
      <c r="I96" s="159" t="s">
        <v>389</v>
      </c>
      <c r="J96" s="162">
        <f t="shared" si="59"/>
        <v>6627</v>
      </c>
      <c r="K96" s="162">
        <f t="shared" si="59"/>
        <v>3510</v>
      </c>
      <c r="L96" s="162">
        <f t="shared" si="59"/>
        <v>3862</v>
      </c>
      <c r="M96" s="163">
        <f t="shared" si="57"/>
        <v>58.276746642523015</v>
      </c>
      <c r="N96" s="163">
        <f t="shared" si="58"/>
        <v>110.02849002849003</v>
      </c>
      <c r="O96" s="162">
        <f>ROUND(G96/1000,0)</f>
        <v>627</v>
      </c>
      <c r="P96" s="144"/>
      <c r="Q96" s="158">
        <v>3862</v>
      </c>
      <c r="R96" s="162">
        <v>3235</v>
      </c>
      <c r="S96" s="144">
        <f t="shared" si="42"/>
        <v>627</v>
      </c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E96" s="144"/>
      <c r="CF96" s="144"/>
      <c r="CG96" s="144"/>
      <c r="CH96" s="144"/>
      <c r="CI96" s="144"/>
      <c r="CJ96" s="144"/>
    </row>
    <row r="97" spans="1:88" s="718" customFormat="1" ht="12.75" customHeight="1">
      <c r="A97" s="159" t="s">
        <v>390</v>
      </c>
      <c r="B97" s="169">
        <v>16233430</v>
      </c>
      <c r="C97" s="169">
        <v>1227470</v>
      </c>
      <c r="D97" s="169">
        <v>535594</v>
      </c>
      <c r="E97" s="154">
        <f t="shared" si="55"/>
        <v>3.299327375668605</v>
      </c>
      <c r="F97" s="154">
        <f t="shared" si="56"/>
        <v>43.633978834513265</v>
      </c>
      <c r="G97" s="169">
        <f>D97-'[6]Maijs'!D97</f>
        <v>70816.75</v>
      </c>
      <c r="H97" s="144"/>
      <c r="I97" s="159" t="s">
        <v>390</v>
      </c>
      <c r="J97" s="162">
        <v>16233</v>
      </c>
      <c r="K97" s="162">
        <f>ROUND(C97/1000,0)+1</f>
        <v>1228</v>
      </c>
      <c r="L97" s="162">
        <f>ROUND(D97/1000,0)-1</f>
        <v>535</v>
      </c>
      <c r="M97" s="163">
        <f t="shared" si="57"/>
        <v>3.2957555596624157</v>
      </c>
      <c r="N97" s="163">
        <f t="shared" si="58"/>
        <v>43.56677524429968</v>
      </c>
      <c r="O97" s="162">
        <f>ROUND(G97/1000,0)-1</f>
        <v>70</v>
      </c>
      <c r="P97" s="144"/>
      <c r="Q97" s="158">
        <v>535</v>
      </c>
      <c r="R97" s="162">
        <v>465</v>
      </c>
      <c r="S97" s="144">
        <f t="shared" si="42"/>
        <v>70</v>
      </c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4"/>
      <c r="CF97" s="144"/>
      <c r="CG97" s="144"/>
      <c r="CH97" s="144"/>
      <c r="CI97" s="144"/>
      <c r="CJ97" s="144"/>
    </row>
    <row r="98" spans="1:88" s="718" customFormat="1" ht="12.75" customHeight="1">
      <c r="A98" s="165" t="s">
        <v>391</v>
      </c>
      <c r="B98" s="171">
        <f>SUM(B99:B100)</f>
        <v>76198416</v>
      </c>
      <c r="C98" s="171">
        <f>SUM(C99:C100)</f>
        <v>30351895</v>
      </c>
      <c r="D98" s="171">
        <f>SUM(D99:D100)</f>
        <v>27978548.57</v>
      </c>
      <c r="E98" s="154">
        <f t="shared" si="55"/>
        <v>36.7180186134053</v>
      </c>
      <c r="F98" s="154">
        <f t="shared" si="56"/>
        <v>92.18056589217906</v>
      </c>
      <c r="G98" s="171">
        <f>SUM(G99:G100)</f>
        <v>5219145.39</v>
      </c>
      <c r="H98" s="144"/>
      <c r="I98" s="165" t="s">
        <v>391</v>
      </c>
      <c r="J98" s="151">
        <f>J99+J100</f>
        <v>76198</v>
      </c>
      <c r="K98" s="151">
        <f>K99+K100</f>
        <v>30351</v>
      </c>
      <c r="L98" s="151">
        <f>L99+L100</f>
        <v>27978</v>
      </c>
      <c r="M98" s="161">
        <f t="shared" si="57"/>
        <v>36.717499146959234</v>
      </c>
      <c r="N98" s="161">
        <f t="shared" si="58"/>
        <v>92.18147672234852</v>
      </c>
      <c r="O98" s="151">
        <f>O99+O100</f>
        <v>5219</v>
      </c>
      <c r="P98" s="144"/>
      <c r="Q98" s="158">
        <v>27978</v>
      </c>
      <c r="R98" s="151">
        <v>22760</v>
      </c>
      <c r="S98" s="144">
        <f t="shared" si="42"/>
        <v>5218</v>
      </c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/>
      <c r="CC98" s="144"/>
      <c r="CD98" s="144"/>
      <c r="CE98" s="144"/>
      <c r="CF98" s="144"/>
      <c r="CG98" s="144"/>
      <c r="CH98" s="144"/>
      <c r="CI98" s="144"/>
      <c r="CJ98" s="144"/>
    </row>
    <row r="99" spans="1:19" ht="12.75" customHeight="1">
      <c r="A99" s="167" t="s">
        <v>392</v>
      </c>
      <c r="B99" s="169">
        <v>71241725</v>
      </c>
      <c r="C99" s="169">
        <v>27655397</v>
      </c>
      <c r="D99" s="169">
        <v>25822415.05</v>
      </c>
      <c r="E99" s="154">
        <f t="shared" si="55"/>
        <v>36.24619568097207</v>
      </c>
      <c r="F99" s="154">
        <f t="shared" si="56"/>
        <v>93.3720642303562</v>
      </c>
      <c r="G99" s="169">
        <f>D99-'[6]Maijs'!D99</f>
        <v>4829551.93</v>
      </c>
      <c r="I99" s="167" t="s">
        <v>392</v>
      </c>
      <c r="J99" s="162">
        <v>71241</v>
      </c>
      <c r="K99" s="162">
        <f>ROUND(C99/1000,0)</f>
        <v>27655</v>
      </c>
      <c r="L99" s="162">
        <f>ROUND(D99/1000,0)</f>
        <v>25822</v>
      </c>
      <c r="M99" s="163">
        <f t="shared" si="57"/>
        <v>36.24598194859702</v>
      </c>
      <c r="N99" s="163">
        <f t="shared" si="58"/>
        <v>93.3719038148617</v>
      </c>
      <c r="O99" s="162">
        <f>ROUND(G99/1000,0)</f>
        <v>4830</v>
      </c>
      <c r="Q99" s="158">
        <v>25822</v>
      </c>
      <c r="R99" s="162">
        <v>20993</v>
      </c>
      <c r="S99" s="144">
        <f t="shared" si="42"/>
        <v>4829</v>
      </c>
    </row>
    <row r="100" spans="1:19" ht="12.75" customHeight="1">
      <c r="A100" s="167" t="s">
        <v>393</v>
      </c>
      <c r="B100" s="169">
        <v>4956691</v>
      </c>
      <c r="C100" s="169">
        <v>2696498</v>
      </c>
      <c r="D100" s="169">
        <v>2156133.52</v>
      </c>
      <c r="E100" s="154">
        <f t="shared" si="55"/>
        <v>43.49945397040082</v>
      </c>
      <c r="F100" s="154">
        <f t="shared" si="56"/>
        <v>79.96050877842298</v>
      </c>
      <c r="G100" s="169">
        <f>D100-'[6]Maijs'!D100</f>
        <v>389593.45999999996</v>
      </c>
      <c r="I100" s="167" t="s">
        <v>393</v>
      </c>
      <c r="J100" s="162">
        <f>ROUND(B100/1000,0)</f>
        <v>4957</v>
      </c>
      <c r="K100" s="162">
        <f>ROUND(C100/1000,0)</f>
        <v>2696</v>
      </c>
      <c r="L100" s="162">
        <f>ROUND(D100/1000,0)</f>
        <v>2156</v>
      </c>
      <c r="M100" s="163">
        <f t="shared" si="57"/>
        <v>43.49404881985072</v>
      </c>
      <c r="N100" s="163">
        <f t="shared" si="58"/>
        <v>79.97032640949556</v>
      </c>
      <c r="O100" s="162">
        <f>ROUND(G100/1000,0)-1</f>
        <v>389</v>
      </c>
      <c r="Q100" s="158">
        <v>2156</v>
      </c>
      <c r="R100" s="162">
        <v>1767</v>
      </c>
      <c r="S100" s="144">
        <f t="shared" si="42"/>
        <v>389</v>
      </c>
    </row>
    <row r="101" spans="1:19" ht="12.75" customHeight="1">
      <c r="A101" s="165" t="s">
        <v>417</v>
      </c>
      <c r="B101" s="169"/>
      <c r="C101" s="169"/>
      <c r="D101" s="169"/>
      <c r="E101" s="169"/>
      <c r="F101" s="169"/>
      <c r="G101" s="169"/>
      <c r="I101" s="165" t="s">
        <v>418</v>
      </c>
      <c r="J101" s="169"/>
      <c r="K101" s="169"/>
      <c r="L101" s="169"/>
      <c r="M101" s="163"/>
      <c r="N101" s="163"/>
      <c r="O101" s="169"/>
      <c r="Q101" s="158"/>
      <c r="R101" s="169"/>
      <c r="S101" s="144">
        <f t="shared" si="42"/>
        <v>0</v>
      </c>
    </row>
    <row r="102" spans="1:19" ht="12.75" customHeight="1">
      <c r="A102" s="159" t="s">
        <v>386</v>
      </c>
      <c r="B102" s="169">
        <f>SUM(B103:B105)</f>
        <v>17518289</v>
      </c>
      <c r="C102" s="171">
        <f>C103+C104+C105</f>
        <v>6413959</v>
      </c>
      <c r="D102" s="171">
        <f>SUM(D103:D105)</f>
        <v>5348079.81</v>
      </c>
      <c r="E102" s="153">
        <f aca="true" t="shared" si="60" ref="E102:E108">IF(ISERROR(D102/B102)," ",(D102/B102))*100</f>
        <v>30.528551104505695</v>
      </c>
      <c r="F102" s="153">
        <f aca="true" t="shared" si="61" ref="F102:F108">IF(ISERROR(D102/C102)," ",(D102/C102))*100</f>
        <v>83.38188332666297</v>
      </c>
      <c r="G102" s="171">
        <f>SUM(G103:G105)</f>
        <v>848075.9500000001</v>
      </c>
      <c r="I102" s="159" t="s">
        <v>386</v>
      </c>
      <c r="J102" s="151">
        <f>J103+J104+J105</f>
        <v>17519</v>
      </c>
      <c r="K102" s="151">
        <f>K103+K104+K105</f>
        <v>6414</v>
      </c>
      <c r="L102" s="151">
        <f>L103+L104+L105</f>
        <v>5349</v>
      </c>
      <c r="M102" s="161">
        <f aca="true" t="shared" si="62" ref="M102:M108">L102/J102*100</f>
        <v>30.53256464410069</v>
      </c>
      <c r="N102" s="161">
        <f aca="true" t="shared" si="63" ref="N102:N108">L102/K102*100</f>
        <v>83.39569691300281</v>
      </c>
      <c r="O102" s="151">
        <f>O103+O104+O105</f>
        <v>848</v>
      </c>
      <c r="Q102" s="158">
        <v>5349</v>
      </c>
      <c r="R102" s="151">
        <v>4500</v>
      </c>
      <c r="S102" s="144">
        <f t="shared" si="42"/>
        <v>849</v>
      </c>
    </row>
    <row r="103" spans="1:19" ht="12.75" customHeight="1">
      <c r="A103" s="159" t="s">
        <v>387</v>
      </c>
      <c r="B103" s="169">
        <v>9585836</v>
      </c>
      <c r="C103" s="169">
        <v>4227318</v>
      </c>
      <c r="D103" s="169">
        <v>4227318</v>
      </c>
      <c r="E103" s="154">
        <f t="shared" si="60"/>
        <v>44.09962782588811</v>
      </c>
      <c r="F103" s="154">
        <f t="shared" si="61"/>
        <v>100</v>
      </c>
      <c r="G103" s="169">
        <f>D103-'[6]Maijs'!D103</f>
        <v>813849</v>
      </c>
      <c r="I103" s="159" t="s">
        <v>387</v>
      </c>
      <c r="J103" s="162">
        <f>ROUND(B103/1000,0)</f>
        <v>9586</v>
      </c>
      <c r="K103" s="162">
        <f>ROUND(C103/1000,0)+1</f>
        <v>4228</v>
      </c>
      <c r="L103" s="162">
        <f>ROUND(D103/1000,0)+1</f>
        <v>4228</v>
      </c>
      <c r="M103" s="163">
        <f t="shared" si="62"/>
        <v>44.105987899019404</v>
      </c>
      <c r="N103" s="163">
        <f t="shared" si="63"/>
        <v>100</v>
      </c>
      <c r="O103" s="162">
        <f>ROUND(G103/1000,0)</f>
        <v>814</v>
      </c>
      <c r="Q103" s="158">
        <v>4228</v>
      </c>
      <c r="R103" s="162">
        <v>3414</v>
      </c>
      <c r="S103" s="144">
        <f t="shared" si="42"/>
        <v>814</v>
      </c>
    </row>
    <row r="104" spans="1:19" ht="12.75" customHeight="1">
      <c r="A104" s="159" t="s">
        <v>389</v>
      </c>
      <c r="B104" s="169">
        <v>58722</v>
      </c>
      <c r="C104" s="169">
        <v>29358</v>
      </c>
      <c r="D104" s="169">
        <v>6011.81</v>
      </c>
      <c r="E104" s="154">
        <f t="shared" si="60"/>
        <v>10.237747351929432</v>
      </c>
      <c r="F104" s="154">
        <f t="shared" si="61"/>
        <v>20.477587029089175</v>
      </c>
      <c r="G104" s="169">
        <f>D104-'[6]Maijs'!D104</f>
        <v>1400.8300000000008</v>
      </c>
      <c r="I104" s="159" t="s">
        <v>389</v>
      </c>
      <c r="J104" s="162">
        <f>ROUND(B104/1000,0)</f>
        <v>59</v>
      </c>
      <c r="K104" s="162">
        <f>ROUND(C104/1000,0)</f>
        <v>29</v>
      </c>
      <c r="L104" s="162">
        <f>ROUND(D104/1000,0)</f>
        <v>6</v>
      </c>
      <c r="M104" s="163">
        <f t="shared" si="62"/>
        <v>10.16949152542373</v>
      </c>
      <c r="N104" s="163">
        <f t="shared" si="63"/>
        <v>20.689655172413794</v>
      </c>
      <c r="O104" s="162">
        <f>ROUND(G104/1000,0)</f>
        <v>1</v>
      </c>
      <c r="Q104" s="158">
        <v>6</v>
      </c>
      <c r="R104" s="162">
        <v>5</v>
      </c>
      <c r="S104" s="144">
        <f t="shared" si="42"/>
        <v>1</v>
      </c>
    </row>
    <row r="105" spans="1:19" ht="12.75" customHeight="1">
      <c r="A105" s="159" t="s">
        <v>390</v>
      </c>
      <c r="B105" s="169">
        <v>7873731</v>
      </c>
      <c r="C105" s="169">
        <v>2157283</v>
      </c>
      <c r="D105" s="169">
        <v>1114750</v>
      </c>
      <c r="E105" s="154">
        <f t="shared" si="60"/>
        <v>14.157836989859065</v>
      </c>
      <c r="F105" s="154">
        <f t="shared" si="61"/>
        <v>51.67379523224353</v>
      </c>
      <c r="G105" s="169">
        <f>D105-'[6]Maijs'!D105</f>
        <v>32826.12000000011</v>
      </c>
      <c r="I105" s="159" t="s">
        <v>390</v>
      </c>
      <c r="J105" s="162">
        <f>ROUND(B105/1000,0)</f>
        <v>7874</v>
      </c>
      <c r="K105" s="162">
        <f>ROUND(C105/1000,0)</f>
        <v>2157</v>
      </c>
      <c r="L105" s="162">
        <f>ROUND(D105/1000,0)</f>
        <v>1115</v>
      </c>
      <c r="M105" s="163">
        <f t="shared" si="62"/>
        <v>14.160528321056642</v>
      </c>
      <c r="N105" s="163">
        <f t="shared" si="63"/>
        <v>51.692165044042646</v>
      </c>
      <c r="O105" s="162">
        <f>ROUND(G105/1000,0)</f>
        <v>33</v>
      </c>
      <c r="Q105" s="158">
        <v>1115</v>
      </c>
      <c r="R105" s="162">
        <v>1081</v>
      </c>
      <c r="S105" s="144">
        <f t="shared" si="42"/>
        <v>34</v>
      </c>
    </row>
    <row r="106" spans="1:19" ht="12.75" customHeight="1">
      <c r="A106" s="165" t="s">
        <v>391</v>
      </c>
      <c r="B106" s="171">
        <f>SUM(B107:B108)</f>
        <v>17518289</v>
      </c>
      <c r="C106" s="171">
        <f>SUM(C107:C108)</f>
        <v>6413959</v>
      </c>
      <c r="D106" s="171">
        <f>SUM(D107:D108)</f>
        <v>4769030.05</v>
      </c>
      <c r="E106" s="154">
        <f t="shared" si="60"/>
        <v>27.223149760801412</v>
      </c>
      <c r="F106" s="154">
        <f t="shared" si="61"/>
        <v>74.35392165743497</v>
      </c>
      <c r="G106" s="171">
        <f>SUM(G107:G108)</f>
        <v>694571.65</v>
      </c>
      <c r="I106" s="165" t="s">
        <v>391</v>
      </c>
      <c r="J106" s="151">
        <f>J107+J108</f>
        <v>17518</v>
      </c>
      <c r="K106" s="151">
        <f>K107+K108</f>
        <v>6414</v>
      </c>
      <c r="L106" s="151">
        <f>L107+L108</f>
        <v>4769</v>
      </c>
      <c r="M106" s="161">
        <f t="shared" si="62"/>
        <v>27.2234273318872</v>
      </c>
      <c r="N106" s="161">
        <f t="shared" si="63"/>
        <v>74.35297786092922</v>
      </c>
      <c r="O106" s="151">
        <f>O107+O108</f>
        <v>695</v>
      </c>
      <c r="Q106" s="158">
        <v>4769</v>
      </c>
      <c r="R106" s="151">
        <v>4074</v>
      </c>
      <c r="S106" s="144">
        <f t="shared" si="42"/>
        <v>695</v>
      </c>
    </row>
    <row r="107" spans="1:19" ht="12.75" customHeight="1">
      <c r="A107" s="167" t="s">
        <v>392</v>
      </c>
      <c r="B107" s="169">
        <v>7125586</v>
      </c>
      <c r="C107" s="169">
        <v>3745279</v>
      </c>
      <c r="D107" s="169">
        <v>3525616.64</v>
      </c>
      <c r="E107" s="154">
        <f t="shared" si="60"/>
        <v>49.478269436366354</v>
      </c>
      <c r="F107" s="154">
        <f t="shared" si="61"/>
        <v>94.13495336395499</v>
      </c>
      <c r="G107" s="169">
        <f>D107-'[6]Maijs'!D107</f>
        <v>499144.56000000006</v>
      </c>
      <c r="I107" s="167" t="s">
        <v>392</v>
      </c>
      <c r="J107" s="162">
        <f>ROUND(B107/1000,0)</f>
        <v>7126</v>
      </c>
      <c r="K107" s="162">
        <f>ROUND(C107/1000,0)</f>
        <v>3745</v>
      </c>
      <c r="L107" s="162">
        <f>ROUND(D107/1000,0)</f>
        <v>3526</v>
      </c>
      <c r="M107" s="163">
        <f t="shared" si="62"/>
        <v>49.48077462812237</v>
      </c>
      <c r="N107" s="163">
        <f t="shared" si="63"/>
        <v>94.15220293724967</v>
      </c>
      <c r="O107" s="162">
        <f>ROUND(G107/1000,0)+1</f>
        <v>500</v>
      </c>
      <c r="Q107" s="158">
        <v>3526</v>
      </c>
      <c r="R107" s="162">
        <v>3026</v>
      </c>
      <c r="S107" s="144">
        <f t="shared" si="42"/>
        <v>500</v>
      </c>
    </row>
    <row r="108" spans="1:19" ht="12.75" customHeight="1">
      <c r="A108" s="167" t="s">
        <v>393</v>
      </c>
      <c r="B108" s="169">
        <v>10392703</v>
      </c>
      <c r="C108" s="169">
        <v>2668680</v>
      </c>
      <c r="D108" s="169">
        <v>1243413.41</v>
      </c>
      <c r="E108" s="154">
        <f t="shared" si="60"/>
        <v>11.9642927350084</v>
      </c>
      <c r="F108" s="154">
        <f t="shared" si="61"/>
        <v>46.59282529190461</v>
      </c>
      <c r="G108" s="169">
        <f>D108-'[6]Maijs'!D108</f>
        <v>195427.08999999997</v>
      </c>
      <c r="I108" s="167" t="s">
        <v>393</v>
      </c>
      <c r="J108" s="162">
        <v>10392</v>
      </c>
      <c r="K108" s="162">
        <f>ROUND(C108/1000,0)</f>
        <v>2669</v>
      </c>
      <c r="L108" s="162">
        <f>ROUND(D108/1000,0)</f>
        <v>1243</v>
      </c>
      <c r="M108" s="163">
        <f t="shared" si="62"/>
        <v>11.961123941493456</v>
      </c>
      <c r="N108" s="163">
        <f t="shared" si="63"/>
        <v>46.57174971899588</v>
      </c>
      <c r="O108" s="162">
        <f>ROUND(G108/1000,0)</f>
        <v>195</v>
      </c>
      <c r="Q108" s="158">
        <v>1243</v>
      </c>
      <c r="R108" s="162">
        <v>1048</v>
      </c>
      <c r="S108" s="144">
        <f t="shared" si="42"/>
        <v>195</v>
      </c>
    </row>
    <row r="109" spans="1:19" ht="12.75" customHeight="1">
      <c r="A109" s="165" t="s">
        <v>419</v>
      </c>
      <c r="B109" s="171"/>
      <c r="C109" s="171"/>
      <c r="D109" s="171"/>
      <c r="E109" s="171"/>
      <c r="F109" s="171"/>
      <c r="G109" s="171"/>
      <c r="I109" s="165" t="s">
        <v>420</v>
      </c>
      <c r="J109" s="171"/>
      <c r="K109" s="171"/>
      <c r="L109" s="171"/>
      <c r="M109" s="163"/>
      <c r="N109" s="163"/>
      <c r="O109" s="171"/>
      <c r="Q109" s="158"/>
      <c r="R109" s="171"/>
      <c r="S109" s="144">
        <f t="shared" si="42"/>
        <v>0</v>
      </c>
    </row>
    <row r="110" spans="1:19" ht="12.75" customHeight="1">
      <c r="A110" s="159" t="s">
        <v>386</v>
      </c>
      <c r="B110" s="169">
        <f>SUM(B111:B114)</f>
        <v>162542594</v>
      </c>
      <c r="C110" s="171">
        <f>SUM(C111:C114)</f>
        <v>82426395</v>
      </c>
      <c r="D110" s="171">
        <f>SUM(D111:D114)</f>
        <v>80610379.01999998</v>
      </c>
      <c r="E110" s="153">
        <f>IF(ISERROR(D110/B110)," ",(D110/B110))*100</f>
        <v>49.59338782300963</v>
      </c>
      <c r="F110" s="153">
        <f>IF(ISERROR(D110/C110)," ",(D110/C110))*100</f>
        <v>97.79680285665773</v>
      </c>
      <c r="G110" s="171">
        <f>SUM(G111:G114)</f>
        <v>13398601.260000002</v>
      </c>
      <c r="I110" s="159" t="s">
        <v>386</v>
      </c>
      <c r="J110" s="151">
        <f>J111+J112+J113+J114</f>
        <v>162542</v>
      </c>
      <c r="K110" s="151">
        <f>K111+K112+K113+K114</f>
        <v>82426</v>
      </c>
      <c r="L110" s="151">
        <f>L111+L112+L113+L114</f>
        <v>80610</v>
      </c>
      <c r="M110" s="161">
        <f>L110/J110*100</f>
        <v>49.593335876265826</v>
      </c>
      <c r="N110" s="161">
        <f>L110/K110*100</f>
        <v>97.79681168563317</v>
      </c>
      <c r="O110" s="151">
        <f>O111+O112+O113+O114</f>
        <v>13398</v>
      </c>
      <c r="Q110" s="158">
        <v>80610</v>
      </c>
      <c r="R110" s="151">
        <v>67212</v>
      </c>
      <c r="S110" s="144">
        <f t="shared" si="42"/>
        <v>13398</v>
      </c>
    </row>
    <row r="111" spans="1:19" ht="12.75" customHeight="1">
      <c r="A111" s="159" t="s">
        <v>387</v>
      </c>
      <c r="B111" s="169">
        <v>154077482</v>
      </c>
      <c r="C111" s="169">
        <v>78460228</v>
      </c>
      <c r="D111" s="169">
        <v>78460228</v>
      </c>
      <c r="E111" s="154">
        <f>IF(ISERROR(D111/B111)," ",(D111/B111))*100</f>
        <v>50.922579329275386</v>
      </c>
      <c r="F111" s="154">
        <f>IF(ISERROR(D111/C111)," ",(D111/C111))*100</f>
        <v>100</v>
      </c>
      <c r="G111" s="169">
        <f>D111-'[6]Maijs'!D111</f>
        <v>13027394</v>
      </c>
      <c r="I111" s="159" t="s">
        <v>387</v>
      </c>
      <c r="J111" s="162">
        <f>ROUND(B111/1000,0)</f>
        <v>154077</v>
      </c>
      <c r="K111" s="162">
        <f>ROUND(C111/1000,0)</f>
        <v>78460</v>
      </c>
      <c r="L111" s="162">
        <f>ROUND(D111/1000,0)</f>
        <v>78460</v>
      </c>
      <c r="M111" s="163">
        <f>L111/J111*100</f>
        <v>50.92259065272559</v>
      </c>
      <c r="N111" s="163">
        <f>L111/K111*100</f>
        <v>100</v>
      </c>
      <c r="O111" s="162">
        <f>ROUND(G111/1000,0)</f>
        <v>13027</v>
      </c>
      <c r="Q111" s="158">
        <v>78460</v>
      </c>
      <c r="R111" s="162">
        <v>65433</v>
      </c>
      <c r="S111" s="144">
        <f t="shared" si="42"/>
        <v>13027</v>
      </c>
    </row>
    <row r="112" spans="1:19" ht="12.75" customHeight="1">
      <c r="A112" s="159" t="s">
        <v>388</v>
      </c>
      <c r="B112" s="169">
        <v>123902</v>
      </c>
      <c r="C112" s="169"/>
      <c r="D112" s="169">
        <v>394.82</v>
      </c>
      <c r="E112" s="154"/>
      <c r="F112" s="154"/>
      <c r="G112" s="169">
        <f>D112-'[6]Maijs'!D112</f>
        <v>394.82</v>
      </c>
      <c r="I112" s="159" t="s">
        <v>388</v>
      </c>
      <c r="J112" s="162">
        <f>ROUND(B112/1000,0)</f>
        <v>124</v>
      </c>
      <c r="K112" s="162"/>
      <c r="L112" s="162"/>
      <c r="M112" s="163"/>
      <c r="N112" s="163"/>
      <c r="O112" s="162"/>
      <c r="Q112" s="158"/>
      <c r="R112" s="162"/>
      <c r="S112" s="144">
        <f t="shared" si="42"/>
        <v>0</v>
      </c>
    </row>
    <row r="113" spans="1:19" ht="12.75" customHeight="1">
      <c r="A113" s="159" t="s">
        <v>389</v>
      </c>
      <c r="B113" s="169">
        <v>5299958</v>
      </c>
      <c r="C113" s="169">
        <v>2697198</v>
      </c>
      <c r="D113" s="169">
        <v>2090037.96</v>
      </c>
      <c r="E113" s="154">
        <f>IF(ISERROR(D113/B113)," ",(D113/B113))*100</f>
        <v>39.434990994268254</v>
      </c>
      <c r="F113" s="154">
        <f>IF(ISERROR(D113/C113)," ",(D113/C113))*100</f>
        <v>77.48922993417612</v>
      </c>
      <c r="G113" s="169">
        <f>D113-'[6]Maijs'!D113</f>
        <v>319632.8899999999</v>
      </c>
      <c r="I113" s="159" t="s">
        <v>389</v>
      </c>
      <c r="J113" s="162">
        <f>ROUND(B113/1000,0)</f>
        <v>5300</v>
      </c>
      <c r="K113" s="162">
        <f>ROUND(C113/1000,0)</f>
        <v>2697</v>
      </c>
      <c r="L113" s="162">
        <f>ROUND(D113/1000,0)</f>
        <v>2090</v>
      </c>
      <c r="M113" s="163">
        <f>L113/J113*100</f>
        <v>39.43396226415095</v>
      </c>
      <c r="N113" s="163">
        <f>L113/K113*100</f>
        <v>77.4935113088617</v>
      </c>
      <c r="O113" s="162">
        <f>ROUND(G113/1000,0)</f>
        <v>320</v>
      </c>
      <c r="Q113" s="158">
        <v>2090</v>
      </c>
      <c r="R113" s="162">
        <v>1770</v>
      </c>
      <c r="S113" s="144">
        <f t="shared" si="42"/>
        <v>320</v>
      </c>
    </row>
    <row r="114" spans="1:19" ht="12.75" customHeight="1">
      <c r="A114" s="159" t="s">
        <v>390</v>
      </c>
      <c r="B114" s="169">
        <v>3041252</v>
      </c>
      <c r="C114" s="169">
        <v>1268969</v>
      </c>
      <c r="D114" s="169">
        <v>59718.24</v>
      </c>
      <c r="E114" s="154">
        <f>IF(ISERROR(D114/B114)," ",(D114/B114))*100</f>
        <v>1.963607093394431</v>
      </c>
      <c r="F114" s="154">
        <f>IF(ISERROR(D114/C114)," ",(D114/C114))*100</f>
        <v>4.706044040476954</v>
      </c>
      <c r="G114" s="169">
        <f>D114-'[6]Maijs'!D114</f>
        <v>51179.549999999996</v>
      </c>
      <c r="I114" s="159" t="s">
        <v>390</v>
      </c>
      <c r="J114" s="162">
        <f>ROUND(B114/1000,0)</f>
        <v>3041</v>
      </c>
      <c r="K114" s="162">
        <f>ROUND(C114/1000,0)</f>
        <v>1269</v>
      </c>
      <c r="L114" s="162">
        <f>ROUND(D114/1000,0)</f>
        <v>60</v>
      </c>
      <c r="M114" s="163">
        <f>L114/J114*100</f>
        <v>1.9730351857941468</v>
      </c>
      <c r="N114" s="163">
        <f>L114/K114*100</f>
        <v>4.7281323877068555</v>
      </c>
      <c r="O114" s="162">
        <f>ROUND(G114/1000,0)</f>
        <v>51</v>
      </c>
      <c r="Q114" s="158">
        <v>60</v>
      </c>
      <c r="R114" s="162">
        <v>9</v>
      </c>
      <c r="S114" s="144">
        <f t="shared" si="42"/>
        <v>51</v>
      </c>
    </row>
    <row r="115" spans="1:19" ht="12.75" customHeight="1">
      <c r="A115" s="165" t="s">
        <v>391</v>
      </c>
      <c r="B115" s="171">
        <f>SUM(B116:B117)</f>
        <v>162542594</v>
      </c>
      <c r="C115" s="171">
        <f>SUM(C116:C117)</f>
        <v>82426395</v>
      </c>
      <c r="D115" s="171">
        <f>SUM(D116:D117)</f>
        <v>80362895.09</v>
      </c>
      <c r="E115" s="153">
        <f>IF(ISERROR(D115/B115)," ",(D115/B115))*100</f>
        <v>49.44112992930334</v>
      </c>
      <c r="F115" s="153">
        <f>IF(ISERROR(D115/C115)," ",(D115/C115))*100</f>
        <v>97.49655445928455</v>
      </c>
      <c r="G115" s="171">
        <f>SUM(G116:G117)</f>
        <v>13656349.109999996</v>
      </c>
      <c r="I115" s="165" t="s">
        <v>391</v>
      </c>
      <c r="J115" s="151">
        <f>J116+J117</f>
        <v>162543</v>
      </c>
      <c r="K115" s="151">
        <f>K116+K117</f>
        <v>82426</v>
      </c>
      <c r="L115" s="151">
        <f>L116+L117</f>
        <v>80363</v>
      </c>
      <c r="M115" s="161">
        <f>L115/J115*100</f>
        <v>49.44107097814117</v>
      </c>
      <c r="N115" s="161">
        <f>L115/K115*100</f>
        <v>97.49714895785311</v>
      </c>
      <c r="O115" s="151">
        <f>O116+O117</f>
        <v>13657</v>
      </c>
      <c r="Q115" s="158">
        <v>80363</v>
      </c>
      <c r="R115" s="151">
        <v>66706</v>
      </c>
      <c r="S115" s="144">
        <f t="shared" si="42"/>
        <v>13657</v>
      </c>
    </row>
    <row r="116" spans="1:19" ht="12.75" customHeight="1">
      <c r="A116" s="167" t="s">
        <v>392</v>
      </c>
      <c r="B116" s="169">
        <v>158965890</v>
      </c>
      <c r="C116" s="169">
        <v>80572969</v>
      </c>
      <c r="D116" s="169">
        <v>78994607.25</v>
      </c>
      <c r="E116" s="154">
        <f>IF(ISERROR(D116/B116)," ",(D116/B116))*100</f>
        <v>49.692803437265695</v>
      </c>
      <c r="F116" s="154">
        <f>IF(ISERROR(D116/C116)," ",(D116/C116))*100</f>
        <v>98.04107783343568</v>
      </c>
      <c r="G116" s="169">
        <f>D116-'[6]Maijs'!D116</f>
        <v>13373031.909999996</v>
      </c>
      <c r="I116" s="167" t="s">
        <v>392</v>
      </c>
      <c r="J116" s="162">
        <f aca="true" t="shared" si="64" ref="J116:L117">ROUND(B116/1000,0)</f>
        <v>158966</v>
      </c>
      <c r="K116" s="162">
        <f t="shared" si="64"/>
        <v>80573</v>
      </c>
      <c r="L116" s="162">
        <f t="shared" si="64"/>
        <v>78995</v>
      </c>
      <c r="M116" s="163">
        <f>L116/J116*100</f>
        <v>49.69301611665388</v>
      </c>
      <c r="N116" s="163">
        <f>L116/K116*100</f>
        <v>98.04152755885967</v>
      </c>
      <c r="O116" s="162">
        <f>ROUND(G116/1000,0)+1</f>
        <v>13374</v>
      </c>
      <c r="Q116" s="158">
        <v>78995</v>
      </c>
      <c r="R116" s="162">
        <v>65621</v>
      </c>
      <c r="S116" s="144">
        <f t="shared" si="42"/>
        <v>13374</v>
      </c>
    </row>
    <row r="117" spans="1:19" ht="12.75" customHeight="1">
      <c r="A117" s="167" t="s">
        <v>393</v>
      </c>
      <c r="B117" s="169">
        <v>3576704</v>
      </c>
      <c r="C117" s="169">
        <v>1853426</v>
      </c>
      <c r="D117" s="169">
        <v>1368287.84</v>
      </c>
      <c r="E117" s="154">
        <f>IF(ISERROR(D117/B117)," ",(D117/B117))*100</f>
        <v>38.255551479798164</v>
      </c>
      <c r="F117" s="154">
        <f>IF(ISERROR(D117/C117)," ",(D117/C117))*100</f>
        <v>73.82478933607277</v>
      </c>
      <c r="G117" s="169">
        <f>D117-'[6]Maijs'!D117</f>
        <v>283317.2000000002</v>
      </c>
      <c r="I117" s="167" t="s">
        <v>393</v>
      </c>
      <c r="J117" s="162">
        <f t="shared" si="64"/>
        <v>3577</v>
      </c>
      <c r="K117" s="162">
        <f t="shared" si="64"/>
        <v>1853</v>
      </c>
      <c r="L117" s="162">
        <f t="shared" si="64"/>
        <v>1368</v>
      </c>
      <c r="M117" s="163">
        <f>L117/J117*100</f>
        <v>38.24433883142298</v>
      </c>
      <c r="N117" s="163">
        <f>L117/K117*100</f>
        <v>73.82622773880195</v>
      </c>
      <c r="O117" s="162">
        <f>ROUND(G117/1000,0)</f>
        <v>283</v>
      </c>
      <c r="Q117" s="158">
        <v>1368</v>
      </c>
      <c r="R117" s="162">
        <v>1085</v>
      </c>
      <c r="S117" s="144">
        <f t="shared" si="42"/>
        <v>283</v>
      </c>
    </row>
    <row r="118" spans="1:19" ht="12.75" customHeight="1">
      <c r="A118" s="165" t="s">
        <v>421</v>
      </c>
      <c r="B118" s="171"/>
      <c r="C118" s="171"/>
      <c r="D118" s="171"/>
      <c r="E118" s="171"/>
      <c r="F118" s="171"/>
      <c r="G118" s="171"/>
      <c r="I118" s="165" t="s">
        <v>422</v>
      </c>
      <c r="J118" s="171"/>
      <c r="K118" s="171"/>
      <c r="L118" s="171"/>
      <c r="M118" s="163"/>
      <c r="N118" s="163"/>
      <c r="O118" s="171"/>
      <c r="Q118" s="158"/>
      <c r="R118" s="171"/>
      <c r="S118" s="144">
        <f t="shared" si="42"/>
        <v>0</v>
      </c>
    </row>
    <row r="119" spans="1:19" ht="12.75" customHeight="1">
      <c r="A119" s="159" t="s">
        <v>386</v>
      </c>
      <c r="B119" s="169">
        <f>SUM(B120:B122)</f>
        <v>28473512</v>
      </c>
      <c r="C119" s="171">
        <f>SUM(C120:C122)</f>
        <v>13938897</v>
      </c>
      <c r="D119" s="171">
        <f>SUM(D120:D122)</f>
        <v>13325707.3</v>
      </c>
      <c r="E119" s="153">
        <f aca="true" t="shared" si="65" ref="E119:E125">IF(ISERROR(D119/B119)," ",(D119/B119))*100</f>
        <v>46.800364141943575</v>
      </c>
      <c r="F119" s="153">
        <f aca="true" t="shared" si="66" ref="F119:F125">IF(ISERROR(D119/C119)," ",(D119/C119))*100</f>
        <v>95.60087358418676</v>
      </c>
      <c r="G119" s="171">
        <f>SUM(G120:G122)</f>
        <v>2161363.87</v>
      </c>
      <c r="I119" s="159" t="s">
        <v>386</v>
      </c>
      <c r="J119" s="151">
        <f>J120+J121+J122</f>
        <v>28473</v>
      </c>
      <c r="K119" s="151">
        <f>K120+K121+K122</f>
        <v>13939</v>
      </c>
      <c r="L119" s="151">
        <f>L120+L121+L122</f>
        <v>13326</v>
      </c>
      <c r="M119" s="161">
        <f aca="true" t="shared" si="67" ref="M119:M125">L119/J119*100</f>
        <v>46.80223369507955</v>
      </c>
      <c r="N119" s="161">
        <f aca="true" t="shared" si="68" ref="N119:N125">L119/K119*100</f>
        <v>95.60226702058972</v>
      </c>
      <c r="O119" s="151">
        <f>O120+O121+O122</f>
        <v>2162</v>
      </c>
      <c r="Q119" s="158">
        <v>13326</v>
      </c>
      <c r="R119" s="151">
        <v>11164</v>
      </c>
      <c r="S119" s="144">
        <f t="shared" si="42"/>
        <v>2162</v>
      </c>
    </row>
    <row r="120" spans="1:19" ht="12.75" customHeight="1">
      <c r="A120" s="159" t="s">
        <v>387</v>
      </c>
      <c r="B120" s="169">
        <v>24720936</v>
      </c>
      <c r="C120" s="169">
        <v>12422714</v>
      </c>
      <c r="D120" s="169">
        <v>12422714</v>
      </c>
      <c r="E120" s="154">
        <f t="shared" si="65"/>
        <v>50.25179467314668</v>
      </c>
      <c r="F120" s="154">
        <f t="shared" si="66"/>
        <v>100</v>
      </c>
      <c r="G120" s="169">
        <f>D120-'[6]Maijs'!D120</f>
        <v>2045667</v>
      </c>
      <c r="I120" s="159" t="s">
        <v>387</v>
      </c>
      <c r="J120" s="162">
        <f aca="true" t="shared" si="69" ref="J120:L122">ROUND(B120/1000,0)</f>
        <v>24721</v>
      </c>
      <c r="K120" s="162">
        <f t="shared" si="69"/>
        <v>12423</v>
      </c>
      <c r="L120" s="162">
        <f t="shared" si="69"/>
        <v>12423</v>
      </c>
      <c r="M120" s="163">
        <f t="shared" si="67"/>
        <v>50.25282148780389</v>
      </c>
      <c r="N120" s="163">
        <f t="shared" si="68"/>
        <v>100</v>
      </c>
      <c r="O120" s="162">
        <f>ROUND(G120/1000,0)</f>
        <v>2046</v>
      </c>
      <c r="Q120" s="158">
        <v>12423</v>
      </c>
      <c r="R120" s="162">
        <v>10377</v>
      </c>
      <c r="S120" s="144">
        <f t="shared" si="42"/>
        <v>2046</v>
      </c>
    </row>
    <row r="121" spans="1:19" ht="12.75" customHeight="1">
      <c r="A121" s="159" t="s">
        <v>389</v>
      </c>
      <c r="B121" s="169">
        <v>1329472</v>
      </c>
      <c r="C121" s="169">
        <v>662088</v>
      </c>
      <c r="D121" s="169">
        <v>416914.3</v>
      </c>
      <c r="E121" s="154">
        <f t="shared" si="65"/>
        <v>31.359389291387856</v>
      </c>
      <c r="F121" s="154">
        <f t="shared" si="66"/>
        <v>62.96962035258152</v>
      </c>
      <c r="G121" s="169">
        <f>D121-'[6]Maijs'!D121</f>
        <v>72042.70999999996</v>
      </c>
      <c r="I121" s="159" t="s">
        <v>389</v>
      </c>
      <c r="J121" s="162">
        <f t="shared" si="69"/>
        <v>1329</v>
      </c>
      <c r="K121" s="162">
        <f t="shared" si="69"/>
        <v>662</v>
      </c>
      <c r="L121" s="162">
        <f t="shared" si="69"/>
        <v>417</v>
      </c>
      <c r="M121" s="163">
        <f t="shared" si="67"/>
        <v>31.376975169300223</v>
      </c>
      <c r="N121" s="163">
        <f t="shared" si="68"/>
        <v>62.99093655589124</v>
      </c>
      <c r="O121" s="162">
        <f>ROUND(G121/1000,0)</f>
        <v>72</v>
      </c>
      <c r="Q121" s="158">
        <v>417</v>
      </c>
      <c r="R121" s="162">
        <v>345</v>
      </c>
      <c r="S121" s="144">
        <f t="shared" si="42"/>
        <v>72</v>
      </c>
    </row>
    <row r="122" spans="1:19" ht="12.75" customHeight="1">
      <c r="A122" s="159" t="s">
        <v>390</v>
      </c>
      <c r="B122" s="169">
        <v>2423104</v>
      </c>
      <c r="C122" s="169">
        <v>854095</v>
      </c>
      <c r="D122" s="169">
        <v>486079</v>
      </c>
      <c r="E122" s="154">
        <f t="shared" si="65"/>
        <v>20.060179010063127</v>
      </c>
      <c r="F122" s="154">
        <f t="shared" si="66"/>
        <v>56.911584776869084</v>
      </c>
      <c r="G122" s="169">
        <f>D122-'[6]Maijs'!D122</f>
        <v>43654.159999999974</v>
      </c>
      <c r="I122" s="159" t="s">
        <v>390</v>
      </c>
      <c r="J122" s="162">
        <f t="shared" si="69"/>
        <v>2423</v>
      </c>
      <c r="K122" s="162">
        <f t="shared" si="69"/>
        <v>854</v>
      </c>
      <c r="L122" s="162">
        <f t="shared" si="69"/>
        <v>486</v>
      </c>
      <c r="M122" s="163">
        <f t="shared" si="67"/>
        <v>20.057779612051178</v>
      </c>
      <c r="N122" s="163">
        <f t="shared" si="68"/>
        <v>56.90866510538641</v>
      </c>
      <c r="O122" s="162">
        <f>ROUND(G122/1000,0)</f>
        <v>44</v>
      </c>
      <c r="Q122" s="158">
        <v>486</v>
      </c>
      <c r="R122" s="162">
        <v>442</v>
      </c>
      <c r="S122" s="144">
        <f t="shared" si="42"/>
        <v>44</v>
      </c>
    </row>
    <row r="123" spans="1:19" ht="12.75" customHeight="1">
      <c r="A123" s="165" t="s">
        <v>391</v>
      </c>
      <c r="B123" s="171">
        <f>SUM(B124:B125)</f>
        <v>28473512</v>
      </c>
      <c r="C123" s="171">
        <f>SUM(C124:C125)</f>
        <v>13938897</v>
      </c>
      <c r="D123" s="171">
        <f>SUM(D124:D125)</f>
        <v>13191847.14</v>
      </c>
      <c r="E123" s="154">
        <f t="shared" si="65"/>
        <v>46.33024243725186</v>
      </c>
      <c r="F123" s="154">
        <f t="shared" si="66"/>
        <v>94.64053820040425</v>
      </c>
      <c r="G123" s="171">
        <f>SUM(G124:G125)</f>
        <v>2212681.9000000013</v>
      </c>
      <c r="I123" s="165" t="s">
        <v>391</v>
      </c>
      <c r="J123" s="151">
        <f>J124+J125</f>
        <v>28473</v>
      </c>
      <c r="K123" s="151">
        <f>K124+K125</f>
        <v>13939</v>
      </c>
      <c r="L123" s="151">
        <f>L124+L125</f>
        <v>13192</v>
      </c>
      <c r="M123" s="161">
        <f t="shared" si="67"/>
        <v>46.33161240473431</v>
      </c>
      <c r="N123" s="161">
        <f t="shared" si="68"/>
        <v>94.64093550469904</v>
      </c>
      <c r="O123" s="151">
        <f>O124+O125</f>
        <v>2213</v>
      </c>
      <c r="Q123" s="158">
        <v>13192</v>
      </c>
      <c r="R123" s="151">
        <v>10979</v>
      </c>
      <c r="S123" s="144">
        <f t="shared" si="42"/>
        <v>2213</v>
      </c>
    </row>
    <row r="124" spans="1:19" ht="12.75" customHeight="1">
      <c r="A124" s="167" t="s">
        <v>392</v>
      </c>
      <c r="B124" s="169">
        <v>25018324</v>
      </c>
      <c r="C124" s="169">
        <v>11899737</v>
      </c>
      <c r="D124" s="169">
        <v>11314262.05</v>
      </c>
      <c r="E124" s="154">
        <f t="shared" si="65"/>
        <v>45.22390088960396</v>
      </c>
      <c r="F124" s="154">
        <f t="shared" si="66"/>
        <v>95.07993369937505</v>
      </c>
      <c r="G124" s="169">
        <f>D124-'[6]Maijs'!D124</f>
        <v>1872563.6800000016</v>
      </c>
      <c r="I124" s="167" t="s">
        <v>392</v>
      </c>
      <c r="J124" s="162">
        <f aca="true" t="shared" si="70" ref="J124:L125">ROUND(B124/1000,0)</f>
        <v>25018</v>
      </c>
      <c r="K124" s="162">
        <f t="shared" si="70"/>
        <v>11900</v>
      </c>
      <c r="L124" s="162">
        <f t="shared" si="70"/>
        <v>11314</v>
      </c>
      <c r="M124" s="163">
        <f t="shared" si="67"/>
        <v>45.22343912383084</v>
      </c>
      <c r="N124" s="163">
        <f t="shared" si="68"/>
        <v>95.07563025210084</v>
      </c>
      <c r="O124" s="162">
        <f>ROUND(G124/1000,0)-1</f>
        <v>1872</v>
      </c>
      <c r="Q124" s="158">
        <v>11314</v>
      </c>
      <c r="R124" s="162">
        <v>9442</v>
      </c>
      <c r="S124" s="144">
        <f t="shared" si="42"/>
        <v>1872</v>
      </c>
    </row>
    <row r="125" spans="1:19" ht="12.75" customHeight="1">
      <c r="A125" s="167" t="s">
        <v>393</v>
      </c>
      <c r="B125" s="169">
        <v>3455188</v>
      </c>
      <c r="C125" s="169">
        <v>2039160</v>
      </c>
      <c r="D125" s="169">
        <v>1877585.09</v>
      </c>
      <c r="E125" s="154">
        <f t="shared" si="65"/>
        <v>54.341039908682255</v>
      </c>
      <c r="F125" s="154">
        <f t="shared" si="66"/>
        <v>92.07639861511603</v>
      </c>
      <c r="G125" s="169">
        <f>D125-'[6]Maijs'!D125</f>
        <v>340118.22</v>
      </c>
      <c r="I125" s="167" t="s">
        <v>393</v>
      </c>
      <c r="J125" s="162">
        <f t="shared" si="70"/>
        <v>3455</v>
      </c>
      <c r="K125" s="162">
        <f t="shared" si="70"/>
        <v>2039</v>
      </c>
      <c r="L125" s="162">
        <f t="shared" si="70"/>
        <v>1878</v>
      </c>
      <c r="M125" s="163">
        <f t="shared" si="67"/>
        <v>54.35600578871201</v>
      </c>
      <c r="N125" s="163">
        <f t="shared" si="68"/>
        <v>92.10397253555665</v>
      </c>
      <c r="O125" s="162">
        <f>ROUND(G125/1000,0)+1</f>
        <v>341</v>
      </c>
      <c r="Q125" s="158">
        <v>1878</v>
      </c>
      <c r="R125" s="162">
        <v>1537</v>
      </c>
      <c r="S125" s="144">
        <f t="shared" si="42"/>
        <v>341</v>
      </c>
    </row>
    <row r="126" spans="1:19" ht="25.5" customHeight="1">
      <c r="A126" s="170" t="s">
        <v>423</v>
      </c>
      <c r="B126" s="169"/>
      <c r="C126" s="169"/>
      <c r="D126" s="169"/>
      <c r="E126" s="169"/>
      <c r="F126" s="169"/>
      <c r="G126" s="169"/>
      <c r="I126" s="170" t="s">
        <v>424</v>
      </c>
      <c r="J126" s="169"/>
      <c r="K126" s="169"/>
      <c r="L126" s="169"/>
      <c r="M126" s="163"/>
      <c r="N126" s="163"/>
      <c r="O126" s="169"/>
      <c r="Q126" s="158"/>
      <c r="R126" s="169"/>
      <c r="S126" s="144">
        <f t="shared" si="42"/>
        <v>0</v>
      </c>
    </row>
    <row r="127" spans="1:19" ht="12.75" customHeight="1">
      <c r="A127" s="159" t="s">
        <v>386</v>
      </c>
      <c r="B127" s="169">
        <f>SUM(B128:B130)</f>
        <v>15210100</v>
      </c>
      <c r="C127" s="171">
        <f>SUM(C128:C130)</f>
        <v>6994200</v>
      </c>
      <c r="D127" s="171">
        <f>SUM(D128:D130)</f>
        <v>5775818.13</v>
      </c>
      <c r="E127" s="153">
        <f aca="true" t="shared" si="71" ref="E127:E133">IF(ISERROR(D127/B127)," ",(D127/B127))*100</f>
        <v>37.973571048185086</v>
      </c>
      <c r="F127" s="153">
        <f aca="true" t="shared" si="72" ref="F127:F133">IF(ISERROR(D127/C127)," ",(D127/C127))*100</f>
        <v>82.58011109204769</v>
      </c>
      <c r="G127" s="171">
        <f>SUM(G128:G130)</f>
        <v>909264.8200000001</v>
      </c>
      <c r="I127" s="159" t="s">
        <v>386</v>
      </c>
      <c r="J127" s="151">
        <f>J128+J129+J130</f>
        <v>15209</v>
      </c>
      <c r="K127" s="151">
        <f>K128+K129+K130</f>
        <v>6994</v>
      </c>
      <c r="L127" s="151">
        <f>L128+L129+L130</f>
        <v>5776</v>
      </c>
      <c r="M127" s="161">
        <f aca="true" t="shared" si="73" ref="M127:M133">L127/J127*100</f>
        <v>37.977513314484845</v>
      </c>
      <c r="N127" s="161">
        <f aca="true" t="shared" si="74" ref="N127:N133">L127/K127*100</f>
        <v>82.58507291964541</v>
      </c>
      <c r="O127" s="151">
        <f>O128+O129+O130</f>
        <v>909</v>
      </c>
      <c r="Q127" s="158">
        <v>5776</v>
      </c>
      <c r="R127" s="151">
        <v>4868</v>
      </c>
      <c r="S127" s="144">
        <f t="shared" si="42"/>
        <v>908</v>
      </c>
    </row>
    <row r="128" spans="1:19" ht="12.75" customHeight="1">
      <c r="A128" s="159" t="s">
        <v>387</v>
      </c>
      <c r="B128" s="169">
        <v>7619458</v>
      </c>
      <c r="C128" s="169">
        <v>3577894</v>
      </c>
      <c r="D128" s="169">
        <v>3577894</v>
      </c>
      <c r="E128" s="154">
        <f t="shared" si="71"/>
        <v>46.95732951083922</v>
      </c>
      <c r="F128" s="154">
        <f t="shared" si="72"/>
        <v>100</v>
      </c>
      <c r="G128" s="169">
        <f>D128-'[6]Maijs'!D128</f>
        <v>702333</v>
      </c>
      <c r="I128" s="159" t="s">
        <v>387</v>
      </c>
      <c r="J128" s="162">
        <f aca="true" t="shared" si="75" ref="J128:L129">ROUND(B128/1000,0)</f>
        <v>7619</v>
      </c>
      <c r="K128" s="162">
        <f t="shared" si="75"/>
        <v>3578</v>
      </c>
      <c r="L128" s="162">
        <f t="shared" si="75"/>
        <v>3578</v>
      </c>
      <c r="M128" s="163">
        <f t="shared" si="73"/>
        <v>46.96154350964694</v>
      </c>
      <c r="N128" s="163">
        <f t="shared" si="74"/>
        <v>100</v>
      </c>
      <c r="O128" s="162">
        <f>ROUND(G128/1000,0)</f>
        <v>702</v>
      </c>
      <c r="Q128" s="158">
        <v>3578</v>
      </c>
      <c r="R128" s="162">
        <v>2876</v>
      </c>
      <c r="S128" s="144">
        <f t="shared" si="42"/>
        <v>702</v>
      </c>
    </row>
    <row r="129" spans="1:19" ht="12.75" customHeight="1">
      <c r="A129" s="159" t="s">
        <v>389</v>
      </c>
      <c r="B129" s="169">
        <v>1267424</v>
      </c>
      <c r="C129" s="169">
        <v>637276</v>
      </c>
      <c r="D129" s="169">
        <v>652699.13</v>
      </c>
      <c r="E129" s="154">
        <f t="shared" si="71"/>
        <v>51.49808824828944</v>
      </c>
      <c r="F129" s="154">
        <f t="shared" si="72"/>
        <v>102.42016488931012</v>
      </c>
      <c r="G129" s="169">
        <f>D129-'[6]Maijs'!D129</f>
        <v>121898.44999999995</v>
      </c>
      <c r="I129" s="159" t="s">
        <v>389</v>
      </c>
      <c r="J129" s="162">
        <f t="shared" si="75"/>
        <v>1267</v>
      </c>
      <c r="K129" s="162">
        <f t="shared" si="75"/>
        <v>637</v>
      </c>
      <c r="L129" s="162">
        <f t="shared" si="75"/>
        <v>653</v>
      </c>
      <c r="M129" s="163">
        <f t="shared" si="73"/>
        <v>51.53906866614049</v>
      </c>
      <c r="N129" s="163">
        <f t="shared" si="74"/>
        <v>102.51177394034536</v>
      </c>
      <c r="O129" s="162">
        <f>ROUND(G129/1000,0)</f>
        <v>122</v>
      </c>
      <c r="Q129" s="158">
        <v>653</v>
      </c>
      <c r="R129" s="162">
        <v>531</v>
      </c>
      <c r="S129" s="144">
        <f t="shared" si="42"/>
        <v>122</v>
      </c>
    </row>
    <row r="130" spans="1:256" ht="12.75" customHeight="1">
      <c r="A130" s="159" t="s">
        <v>390</v>
      </c>
      <c r="B130" s="169">
        <v>6323218</v>
      </c>
      <c r="C130" s="169">
        <v>2779030</v>
      </c>
      <c r="D130" s="169">
        <v>1545225</v>
      </c>
      <c r="E130" s="154">
        <f t="shared" si="71"/>
        <v>24.437319731820097</v>
      </c>
      <c r="F130" s="154">
        <f t="shared" si="72"/>
        <v>55.60303415220419</v>
      </c>
      <c r="G130" s="169">
        <f>D130-'[6]Maijs'!D130</f>
        <v>85033.37000000011</v>
      </c>
      <c r="I130" s="159" t="s">
        <v>390</v>
      </c>
      <c r="J130" s="162">
        <f>ROUND(B130/1000,0)</f>
        <v>6323</v>
      </c>
      <c r="K130" s="162">
        <f>ROUND(C130/1000,0)</f>
        <v>2779</v>
      </c>
      <c r="L130" s="162">
        <f>ROUND(D130/1000,0)</f>
        <v>1545</v>
      </c>
      <c r="M130" s="163">
        <f t="shared" si="73"/>
        <v>24.43460382729717</v>
      </c>
      <c r="N130" s="163">
        <f t="shared" si="74"/>
        <v>55.59553796329615</v>
      </c>
      <c r="O130" s="162">
        <f>ROUND(G130/1000,0)</f>
        <v>85</v>
      </c>
      <c r="Q130" s="158">
        <v>1545</v>
      </c>
      <c r="R130" s="162">
        <v>1461</v>
      </c>
      <c r="S130" s="144">
        <f t="shared" si="42"/>
        <v>84</v>
      </c>
      <c r="IV130" s="162">
        <f>ROUND(IN130/1000,0)</f>
        <v>0</v>
      </c>
    </row>
    <row r="131" spans="1:19" ht="12.75" customHeight="1">
      <c r="A131" s="165" t="s">
        <v>391</v>
      </c>
      <c r="B131" s="171">
        <f>SUM(B132:B133)</f>
        <v>15209100</v>
      </c>
      <c r="C131" s="171">
        <f>SUM(C132:C133)</f>
        <v>6994200</v>
      </c>
      <c r="D131" s="171">
        <f>SUM(D132:D133)</f>
        <v>5246243.87</v>
      </c>
      <c r="E131" s="154">
        <f t="shared" si="71"/>
        <v>34.494111222886296</v>
      </c>
      <c r="F131" s="154">
        <f t="shared" si="72"/>
        <v>75.00849089245375</v>
      </c>
      <c r="G131" s="171">
        <f>SUM(G132:G133)</f>
        <v>784541.8799999999</v>
      </c>
      <c r="I131" s="165" t="s">
        <v>391</v>
      </c>
      <c r="J131" s="151">
        <f>J132+J133</f>
        <v>15209</v>
      </c>
      <c r="K131" s="151">
        <f>K132+K133</f>
        <v>6994</v>
      </c>
      <c r="L131" s="151">
        <f>L132+L133</f>
        <v>5247</v>
      </c>
      <c r="M131" s="161">
        <f t="shared" si="73"/>
        <v>34.499309619304356</v>
      </c>
      <c r="N131" s="161">
        <f t="shared" si="74"/>
        <v>75.02144695453245</v>
      </c>
      <c r="O131" s="151">
        <f>O132+O133</f>
        <v>786</v>
      </c>
      <c r="Q131" s="158">
        <v>5247</v>
      </c>
      <c r="R131" s="151">
        <v>4461</v>
      </c>
      <c r="S131" s="144">
        <f t="shared" si="42"/>
        <v>786</v>
      </c>
    </row>
    <row r="132" spans="1:19" ht="12.75" customHeight="1">
      <c r="A132" s="167" t="s">
        <v>392</v>
      </c>
      <c r="B132" s="169">
        <v>7285456</v>
      </c>
      <c r="C132" s="169">
        <v>3537070</v>
      </c>
      <c r="D132" s="169">
        <v>3288504.51</v>
      </c>
      <c r="E132" s="154">
        <f t="shared" si="71"/>
        <v>45.1379365958699</v>
      </c>
      <c r="F132" s="154">
        <f t="shared" si="72"/>
        <v>92.97255949133039</v>
      </c>
      <c r="G132" s="169">
        <f>D132-'[6]Maijs'!D132</f>
        <v>596103.8199999998</v>
      </c>
      <c r="I132" s="167" t="s">
        <v>392</v>
      </c>
      <c r="J132" s="162">
        <f aca="true" t="shared" si="76" ref="J132:L133">ROUND(B132/1000,0)</f>
        <v>7285</v>
      </c>
      <c r="K132" s="162">
        <f t="shared" si="76"/>
        <v>3537</v>
      </c>
      <c r="L132" s="162">
        <f t="shared" si="76"/>
        <v>3289</v>
      </c>
      <c r="M132" s="163">
        <f t="shared" si="73"/>
        <v>45.147563486616335</v>
      </c>
      <c r="N132" s="163">
        <f t="shared" si="74"/>
        <v>92.98840825558383</v>
      </c>
      <c r="O132" s="162">
        <f>ROUND(G132/1000,0)+1</f>
        <v>597</v>
      </c>
      <c r="Q132" s="158">
        <v>3289</v>
      </c>
      <c r="R132" s="162">
        <v>2692</v>
      </c>
      <c r="S132" s="144">
        <f t="shared" si="42"/>
        <v>597</v>
      </c>
    </row>
    <row r="133" spans="1:19" ht="12.75" customHeight="1">
      <c r="A133" s="167" t="s">
        <v>393</v>
      </c>
      <c r="B133" s="169">
        <v>7923644</v>
      </c>
      <c r="C133" s="169">
        <v>3457130</v>
      </c>
      <c r="D133" s="169">
        <v>1957739.36</v>
      </c>
      <c r="E133" s="154">
        <f t="shared" si="71"/>
        <v>24.707563338282238</v>
      </c>
      <c r="F133" s="154">
        <f t="shared" si="72"/>
        <v>56.62903506665934</v>
      </c>
      <c r="G133" s="169">
        <f>D133-'[6]Maijs'!D133</f>
        <v>188438.06000000006</v>
      </c>
      <c r="I133" s="167" t="s">
        <v>393</v>
      </c>
      <c r="J133" s="162">
        <f t="shared" si="76"/>
        <v>7924</v>
      </c>
      <c r="K133" s="162">
        <f t="shared" si="76"/>
        <v>3457</v>
      </c>
      <c r="L133" s="162">
        <f t="shared" si="76"/>
        <v>1958</v>
      </c>
      <c r="M133" s="163">
        <f t="shared" si="73"/>
        <v>24.709742554265524</v>
      </c>
      <c r="N133" s="163">
        <f t="shared" si="74"/>
        <v>56.63870407868094</v>
      </c>
      <c r="O133" s="162">
        <f>ROUND(G133/1000,0)+1</f>
        <v>189</v>
      </c>
      <c r="Q133" s="158">
        <v>1958</v>
      </c>
      <c r="R133" s="162">
        <v>1769</v>
      </c>
      <c r="S133" s="144">
        <f t="shared" si="42"/>
        <v>189</v>
      </c>
    </row>
    <row r="134" spans="1:19" ht="12.75" customHeight="1">
      <c r="A134" s="165" t="s">
        <v>425</v>
      </c>
      <c r="B134" s="171"/>
      <c r="C134" s="171"/>
      <c r="D134" s="171"/>
      <c r="E134" s="171"/>
      <c r="F134" s="171"/>
      <c r="G134" s="171"/>
      <c r="I134" s="165" t="s">
        <v>426</v>
      </c>
      <c r="J134" s="171"/>
      <c r="K134" s="171"/>
      <c r="L134" s="171"/>
      <c r="M134" s="163"/>
      <c r="N134" s="163"/>
      <c r="O134" s="171"/>
      <c r="Q134" s="158"/>
      <c r="R134" s="171"/>
      <c r="S134" s="144">
        <f t="shared" si="42"/>
        <v>0</v>
      </c>
    </row>
    <row r="135" spans="1:19" ht="12.75" customHeight="1">
      <c r="A135" s="159" t="s">
        <v>386</v>
      </c>
      <c r="B135" s="169">
        <f>SUM(B136:B138)</f>
        <v>19673771</v>
      </c>
      <c r="C135" s="171">
        <f>SUM(C136:C138)</f>
        <v>10611060</v>
      </c>
      <c r="D135" s="171">
        <f>SUM(D136:D138)</f>
        <v>10435846.379999999</v>
      </c>
      <c r="E135" s="153">
        <f aca="true" t="shared" si="77" ref="E135:E141">IF(ISERROR(D135/B135)," ",(D135/B135))*100</f>
        <v>53.04446402268278</v>
      </c>
      <c r="F135" s="153">
        <f aca="true" t="shared" si="78" ref="F135:F141">IF(ISERROR(D135/C135)," ",(D135/C135))*100</f>
        <v>98.3487642139428</v>
      </c>
      <c r="G135" s="171">
        <f>SUM(G136:G138)</f>
        <v>1989728.8900000001</v>
      </c>
      <c r="I135" s="159" t="s">
        <v>386</v>
      </c>
      <c r="J135" s="151">
        <f>J136+J137+J138</f>
        <v>19674</v>
      </c>
      <c r="K135" s="151">
        <f>K136+K137+K138</f>
        <v>10611</v>
      </c>
      <c r="L135" s="151">
        <f>L136+L137+L138</f>
        <v>10436</v>
      </c>
      <c r="M135" s="161">
        <f aca="true" t="shared" si="79" ref="M135:M141">L135/J135*100</f>
        <v>53.044627427061094</v>
      </c>
      <c r="N135" s="161">
        <f aca="true" t="shared" si="80" ref="N135:N141">L135/K135*100</f>
        <v>98.35076807086985</v>
      </c>
      <c r="O135" s="151">
        <f>O136+O137+O138</f>
        <v>1990</v>
      </c>
      <c r="Q135" s="158">
        <v>10436</v>
      </c>
      <c r="R135" s="151">
        <v>8446</v>
      </c>
      <c r="S135" s="144">
        <f t="shared" si="42"/>
        <v>1990</v>
      </c>
    </row>
    <row r="136" spans="1:19" ht="12.75" customHeight="1">
      <c r="A136" s="159" t="s">
        <v>387</v>
      </c>
      <c r="B136" s="169">
        <v>16916754</v>
      </c>
      <c r="C136" s="169">
        <v>9073404</v>
      </c>
      <c r="D136" s="169">
        <v>9073404</v>
      </c>
      <c r="E136" s="154">
        <f t="shared" si="77"/>
        <v>53.635608817152516</v>
      </c>
      <c r="F136" s="154">
        <f t="shared" si="78"/>
        <v>100</v>
      </c>
      <c r="G136" s="169">
        <f>D136-'[6]Maijs'!D136</f>
        <v>1715264</v>
      </c>
      <c r="I136" s="159" t="s">
        <v>387</v>
      </c>
      <c r="J136" s="162">
        <f aca="true" t="shared" si="81" ref="J136:L137">ROUND(B136/1000,0)</f>
        <v>16917</v>
      </c>
      <c r="K136" s="162">
        <f t="shared" si="81"/>
        <v>9073</v>
      </c>
      <c r="L136" s="162">
        <f t="shared" si="81"/>
        <v>9073</v>
      </c>
      <c r="M136" s="163">
        <f t="shared" si="79"/>
        <v>53.63244074008394</v>
      </c>
      <c r="N136" s="163">
        <f t="shared" si="80"/>
        <v>100</v>
      </c>
      <c r="O136" s="162">
        <f>ROUND(G136/1000,0)</f>
        <v>1715</v>
      </c>
      <c r="Q136" s="158">
        <v>9073</v>
      </c>
      <c r="R136" s="162">
        <v>7358</v>
      </c>
      <c r="S136" s="144">
        <f t="shared" si="42"/>
        <v>1715</v>
      </c>
    </row>
    <row r="137" spans="1:19" ht="12.75" customHeight="1">
      <c r="A137" s="159" t="s">
        <v>389</v>
      </c>
      <c r="B137" s="169">
        <v>2495624</v>
      </c>
      <c r="C137" s="169">
        <v>1331133</v>
      </c>
      <c r="D137" s="169">
        <v>1292789.36</v>
      </c>
      <c r="E137" s="154">
        <f t="shared" si="77"/>
        <v>51.80224905674894</v>
      </c>
      <c r="F137" s="154">
        <f t="shared" si="78"/>
        <v>97.1194734109965</v>
      </c>
      <c r="G137" s="169">
        <f>D137-'[6]Maijs'!D137</f>
        <v>204811.8700000001</v>
      </c>
      <c r="I137" s="159" t="s">
        <v>389</v>
      </c>
      <c r="J137" s="162">
        <f t="shared" si="81"/>
        <v>2496</v>
      </c>
      <c r="K137" s="162">
        <f t="shared" si="81"/>
        <v>1331</v>
      </c>
      <c r="L137" s="162">
        <f t="shared" si="81"/>
        <v>1293</v>
      </c>
      <c r="M137" s="163">
        <f t="shared" si="79"/>
        <v>51.80288461538461</v>
      </c>
      <c r="N137" s="163">
        <f t="shared" si="80"/>
        <v>97.145003756574</v>
      </c>
      <c r="O137" s="162">
        <f>ROUND(G137/1000,0)</f>
        <v>205</v>
      </c>
      <c r="Q137" s="158">
        <v>1293</v>
      </c>
      <c r="R137" s="162">
        <v>1088</v>
      </c>
      <c r="S137" s="144">
        <f t="shared" si="42"/>
        <v>205</v>
      </c>
    </row>
    <row r="138" spans="1:19" ht="12.75" customHeight="1">
      <c r="A138" s="159" t="s">
        <v>390</v>
      </c>
      <c r="B138" s="169">
        <v>261393</v>
      </c>
      <c r="C138" s="169">
        <v>206523</v>
      </c>
      <c r="D138" s="169">
        <v>69653.02</v>
      </c>
      <c r="E138" s="154">
        <f t="shared" si="77"/>
        <v>26.646857413932278</v>
      </c>
      <c r="F138" s="154">
        <f t="shared" si="78"/>
        <v>33.72651956440687</v>
      </c>
      <c r="G138" s="169">
        <f>D138-'[6]Maijs'!D138</f>
        <v>69653.02</v>
      </c>
      <c r="I138" s="159" t="s">
        <v>390</v>
      </c>
      <c r="J138" s="162">
        <f>ROUND(B138/1000,0)</f>
        <v>261</v>
      </c>
      <c r="K138" s="162">
        <f>ROUND(C138/1000,0)</f>
        <v>207</v>
      </c>
      <c r="L138" s="162">
        <f>ROUND(D138/1000,0)</f>
        <v>70</v>
      </c>
      <c r="M138" s="163">
        <f t="shared" si="79"/>
        <v>26.81992337164751</v>
      </c>
      <c r="N138" s="163">
        <f t="shared" si="80"/>
        <v>33.81642512077295</v>
      </c>
      <c r="O138" s="162">
        <f>ROUND(G138/1000,0)</f>
        <v>70</v>
      </c>
      <c r="Q138" s="158">
        <v>70</v>
      </c>
      <c r="R138" s="162"/>
      <c r="S138" s="144">
        <f aca="true" t="shared" si="82" ref="S138:S201">Q138-R138</f>
        <v>70</v>
      </c>
    </row>
    <row r="139" spans="1:19" ht="12.75" customHeight="1">
      <c r="A139" s="165" t="s">
        <v>391</v>
      </c>
      <c r="B139" s="171">
        <f>SUM(B140:B141)</f>
        <v>19673771</v>
      </c>
      <c r="C139" s="171">
        <f>SUM(C140:C141)</f>
        <v>10611060</v>
      </c>
      <c r="D139" s="171">
        <f>SUM(D140:D141)</f>
        <v>10067116.049999999</v>
      </c>
      <c r="E139" s="154">
        <f t="shared" si="77"/>
        <v>51.17024107884552</v>
      </c>
      <c r="F139" s="154">
        <f t="shared" si="78"/>
        <v>94.8738019575801</v>
      </c>
      <c r="G139" s="171">
        <f>SUM(G140:G141)</f>
        <v>2067417.779999999</v>
      </c>
      <c r="I139" s="165" t="s">
        <v>391</v>
      </c>
      <c r="J139" s="151">
        <f>J140+J141</f>
        <v>19674</v>
      </c>
      <c r="K139" s="151">
        <f>K140+K141</f>
        <v>10611</v>
      </c>
      <c r="L139" s="151">
        <f>L140+L141</f>
        <v>10067</v>
      </c>
      <c r="M139" s="161">
        <f t="shared" si="79"/>
        <v>51.16905560638406</v>
      </c>
      <c r="N139" s="161">
        <f t="shared" si="80"/>
        <v>94.87324474601829</v>
      </c>
      <c r="O139" s="151">
        <f>O140+O141</f>
        <v>2067</v>
      </c>
      <c r="Q139" s="158">
        <v>10067</v>
      </c>
      <c r="R139" s="151">
        <v>8000</v>
      </c>
      <c r="S139" s="144">
        <f t="shared" si="82"/>
        <v>2067</v>
      </c>
    </row>
    <row r="140" spans="1:19" ht="12.75" customHeight="1">
      <c r="A140" s="167" t="s">
        <v>392</v>
      </c>
      <c r="B140" s="169">
        <v>19098171</v>
      </c>
      <c r="C140" s="169">
        <v>10268708</v>
      </c>
      <c r="D140" s="169">
        <v>9790809.87</v>
      </c>
      <c r="E140" s="154">
        <f t="shared" si="77"/>
        <v>51.26569381958094</v>
      </c>
      <c r="F140" s="154">
        <f t="shared" si="78"/>
        <v>95.34607343007512</v>
      </c>
      <c r="G140" s="169">
        <f>D140-'[6]Maijs'!D140</f>
        <v>2021081.039999999</v>
      </c>
      <c r="I140" s="167" t="s">
        <v>392</v>
      </c>
      <c r="J140" s="162">
        <f aca="true" t="shared" si="83" ref="J140:L141">ROUND(B140/1000,0)</f>
        <v>19098</v>
      </c>
      <c r="K140" s="162">
        <f t="shared" si="83"/>
        <v>10269</v>
      </c>
      <c r="L140" s="162">
        <f t="shared" si="83"/>
        <v>9791</v>
      </c>
      <c r="M140" s="163">
        <f t="shared" si="79"/>
        <v>51.26714839250184</v>
      </c>
      <c r="N140" s="163">
        <f t="shared" si="80"/>
        <v>95.34521375012173</v>
      </c>
      <c r="O140" s="162">
        <f>ROUND(G140/1000,0)</f>
        <v>2021</v>
      </c>
      <c r="Q140" s="158">
        <v>9791</v>
      </c>
      <c r="R140" s="162">
        <v>7770</v>
      </c>
      <c r="S140" s="144">
        <f t="shared" si="82"/>
        <v>2021</v>
      </c>
    </row>
    <row r="141" spans="1:19" ht="12.75" customHeight="1">
      <c r="A141" s="167" t="s">
        <v>393</v>
      </c>
      <c r="B141" s="169">
        <v>575600</v>
      </c>
      <c r="C141" s="169">
        <v>342352</v>
      </c>
      <c r="D141" s="169">
        <v>276306.18</v>
      </c>
      <c r="E141" s="154">
        <f t="shared" si="77"/>
        <v>48.003158443363446</v>
      </c>
      <c r="F141" s="154">
        <f t="shared" si="78"/>
        <v>80.70821259989718</v>
      </c>
      <c r="G141" s="169">
        <f>D141-'[6]Maijs'!D141</f>
        <v>46336.73999999999</v>
      </c>
      <c r="I141" s="167" t="s">
        <v>393</v>
      </c>
      <c r="J141" s="162">
        <f t="shared" si="83"/>
        <v>576</v>
      </c>
      <c r="K141" s="162">
        <f t="shared" si="83"/>
        <v>342</v>
      </c>
      <c r="L141" s="162">
        <f t="shared" si="83"/>
        <v>276</v>
      </c>
      <c r="M141" s="163">
        <f t="shared" si="79"/>
        <v>47.91666666666667</v>
      </c>
      <c r="N141" s="163">
        <f t="shared" si="80"/>
        <v>80.7017543859649</v>
      </c>
      <c r="O141" s="162">
        <f>ROUND(G141/1000,0)</f>
        <v>46</v>
      </c>
      <c r="Q141" s="158">
        <v>276</v>
      </c>
      <c r="R141" s="162">
        <v>230</v>
      </c>
      <c r="S141" s="144">
        <f t="shared" si="82"/>
        <v>46</v>
      </c>
    </row>
    <row r="142" spans="1:19" ht="12.75" customHeight="1">
      <c r="A142" s="165" t="s">
        <v>427</v>
      </c>
      <c r="B142" s="169"/>
      <c r="C142" s="169"/>
      <c r="D142" s="169"/>
      <c r="E142" s="169"/>
      <c r="F142" s="169"/>
      <c r="G142" s="169"/>
      <c r="I142" s="165" t="s">
        <v>428</v>
      </c>
      <c r="J142" s="169"/>
      <c r="K142" s="169"/>
      <c r="L142" s="169"/>
      <c r="M142" s="163"/>
      <c r="N142" s="163"/>
      <c r="O142" s="169"/>
      <c r="Q142" s="158"/>
      <c r="R142" s="169"/>
      <c r="S142" s="144">
        <f t="shared" si="82"/>
        <v>0</v>
      </c>
    </row>
    <row r="143" spans="1:19" ht="12.75" customHeight="1">
      <c r="A143" s="159" t="s">
        <v>386</v>
      </c>
      <c r="B143" s="169">
        <f>SUM(B144:B145)</f>
        <v>13996875</v>
      </c>
      <c r="C143" s="171">
        <f>SUM(C144:C145)</f>
        <v>6966437</v>
      </c>
      <c r="D143" s="171">
        <f>SUM(D144:D145)</f>
        <v>6742606.51</v>
      </c>
      <c r="E143" s="153">
        <f aca="true" t="shared" si="84" ref="E143:E148">IF(ISERROR(D143/B143)," ",(D143/B143))*100</f>
        <v>48.1722278008484</v>
      </c>
      <c r="F143" s="153">
        <f aca="true" t="shared" si="85" ref="F143:F148">IF(ISERROR(D143/C143)," ",(D143/C143))*100</f>
        <v>96.7870162322576</v>
      </c>
      <c r="G143" s="171">
        <f>SUM(G144:G145)</f>
        <v>1189190.73</v>
      </c>
      <c r="I143" s="159" t="s">
        <v>386</v>
      </c>
      <c r="J143" s="151">
        <f>J144+J145</f>
        <v>13996</v>
      </c>
      <c r="K143" s="151">
        <f>K144+K145</f>
        <v>6966</v>
      </c>
      <c r="L143" s="151">
        <f>L144+L145</f>
        <v>6742</v>
      </c>
      <c r="M143" s="161">
        <f aca="true" t="shared" si="86" ref="M143:M148">L143/J143*100</f>
        <v>48.17090597313518</v>
      </c>
      <c r="N143" s="161">
        <f aca="true" t="shared" si="87" ref="N143:N148">L143/K143*100</f>
        <v>96.78438128050531</v>
      </c>
      <c r="O143" s="151">
        <f>O144+O145</f>
        <v>1189</v>
      </c>
      <c r="Q143" s="158">
        <v>6742</v>
      </c>
      <c r="R143" s="151">
        <v>5553</v>
      </c>
      <c r="S143" s="144">
        <f t="shared" si="82"/>
        <v>1189</v>
      </c>
    </row>
    <row r="144" spans="1:19" ht="12.75" customHeight="1">
      <c r="A144" s="159" t="s">
        <v>387</v>
      </c>
      <c r="B144" s="169">
        <v>5506527</v>
      </c>
      <c r="C144" s="169">
        <v>2688318</v>
      </c>
      <c r="D144" s="169">
        <v>2688318</v>
      </c>
      <c r="E144" s="154">
        <f t="shared" si="84"/>
        <v>48.820572386188246</v>
      </c>
      <c r="F144" s="154">
        <f t="shared" si="85"/>
        <v>100</v>
      </c>
      <c r="G144" s="169">
        <f>D144-'[6]Maijs'!D144</f>
        <v>493385</v>
      </c>
      <c r="I144" s="159" t="s">
        <v>387</v>
      </c>
      <c r="J144" s="162">
        <v>5506</v>
      </c>
      <c r="K144" s="162">
        <f>ROUND(C144/1000,0)</f>
        <v>2688</v>
      </c>
      <c r="L144" s="162">
        <f>ROUND(D144/1000,0)</f>
        <v>2688</v>
      </c>
      <c r="M144" s="163">
        <f t="shared" si="86"/>
        <v>48.81946966945151</v>
      </c>
      <c r="N144" s="163">
        <f t="shared" si="87"/>
        <v>100</v>
      </c>
      <c r="O144" s="162">
        <f>ROUND(G144/1000,0)</f>
        <v>493</v>
      </c>
      <c r="Q144" s="158">
        <v>2688</v>
      </c>
      <c r="R144" s="162">
        <v>2195</v>
      </c>
      <c r="S144" s="144">
        <f t="shared" si="82"/>
        <v>493</v>
      </c>
    </row>
    <row r="145" spans="1:19" ht="12.75" customHeight="1">
      <c r="A145" s="159" t="s">
        <v>389</v>
      </c>
      <c r="B145" s="169">
        <v>8490348</v>
      </c>
      <c r="C145" s="169">
        <v>4278119</v>
      </c>
      <c r="D145" s="169">
        <v>4054288.51</v>
      </c>
      <c r="E145" s="154">
        <f t="shared" si="84"/>
        <v>47.75173538234239</v>
      </c>
      <c r="F145" s="154">
        <f t="shared" si="85"/>
        <v>94.76801627070213</v>
      </c>
      <c r="G145" s="169">
        <f>D145-'[6]Maijs'!D145</f>
        <v>695805.73</v>
      </c>
      <c r="I145" s="159" t="s">
        <v>389</v>
      </c>
      <c r="J145" s="162">
        <f>ROUND(B145/1000,0)</f>
        <v>8490</v>
      </c>
      <c r="K145" s="162">
        <f>ROUND(C145/1000,0)</f>
        <v>4278</v>
      </c>
      <c r="L145" s="162">
        <f>ROUND(D145/1000,0)</f>
        <v>4054</v>
      </c>
      <c r="M145" s="163">
        <f t="shared" si="86"/>
        <v>47.75029446407538</v>
      </c>
      <c r="N145" s="163">
        <f t="shared" si="87"/>
        <v>94.76390836839644</v>
      </c>
      <c r="O145" s="162">
        <f>ROUND(G145/1000,0)</f>
        <v>696</v>
      </c>
      <c r="Q145" s="158">
        <v>4054</v>
      </c>
      <c r="R145" s="162">
        <v>3358</v>
      </c>
      <c r="S145" s="144">
        <f t="shared" si="82"/>
        <v>696</v>
      </c>
    </row>
    <row r="146" spans="1:19" ht="12.75" customHeight="1">
      <c r="A146" s="165" t="s">
        <v>391</v>
      </c>
      <c r="B146" s="171">
        <f>SUM(B147:B148)</f>
        <v>13996875</v>
      </c>
      <c r="C146" s="171">
        <f>SUM(C147:C148)</f>
        <v>6966437</v>
      </c>
      <c r="D146" s="171"/>
      <c r="E146" s="154">
        <f t="shared" si="84"/>
        <v>0</v>
      </c>
      <c r="F146" s="154">
        <f t="shared" si="85"/>
        <v>0</v>
      </c>
      <c r="G146" s="171">
        <f>SUM(G147:G148)</f>
        <v>1244441.0699999996</v>
      </c>
      <c r="I146" s="165" t="s">
        <v>391</v>
      </c>
      <c r="J146" s="151">
        <f>J147+J148</f>
        <v>13996</v>
      </c>
      <c r="K146" s="151">
        <f>K147+K148</f>
        <v>6967</v>
      </c>
      <c r="L146" s="151">
        <f>L147+L148</f>
        <v>6610</v>
      </c>
      <c r="M146" s="161">
        <f t="shared" si="86"/>
        <v>47.22777936553301</v>
      </c>
      <c r="N146" s="161">
        <f t="shared" si="87"/>
        <v>94.875843261088</v>
      </c>
      <c r="O146" s="151">
        <f>O147+O148</f>
        <v>1244</v>
      </c>
      <c r="Q146" s="158">
        <v>6610</v>
      </c>
      <c r="R146" s="151">
        <v>5366</v>
      </c>
      <c r="S146" s="144">
        <f t="shared" si="82"/>
        <v>1244</v>
      </c>
    </row>
    <row r="147" spans="1:19" ht="12.75" customHeight="1">
      <c r="A147" s="167" t="s">
        <v>392</v>
      </c>
      <c r="B147" s="169">
        <v>13408475</v>
      </c>
      <c r="C147" s="169">
        <v>6642888</v>
      </c>
      <c r="D147" s="169">
        <v>6338145.3</v>
      </c>
      <c r="E147" s="154">
        <f t="shared" si="84"/>
        <v>47.26969547245305</v>
      </c>
      <c r="F147" s="154">
        <f t="shared" si="85"/>
        <v>95.41249679356328</v>
      </c>
      <c r="G147" s="169">
        <f>D147-'[6]Maijs'!D147</f>
        <v>1184400.3899999997</v>
      </c>
      <c r="I147" s="167" t="s">
        <v>392</v>
      </c>
      <c r="J147" s="162">
        <f aca="true" t="shared" si="88" ref="J147:L148">ROUND(B147/1000,0)</f>
        <v>13408</v>
      </c>
      <c r="K147" s="162">
        <f t="shared" si="88"/>
        <v>6643</v>
      </c>
      <c r="L147" s="162">
        <f t="shared" si="88"/>
        <v>6338</v>
      </c>
      <c r="M147" s="163">
        <f t="shared" si="86"/>
        <v>47.27028639618138</v>
      </c>
      <c r="N147" s="163">
        <f t="shared" si="87"/>
        <v>95.40870088815294</v>
      </c>
      <c r="O147" s="162">
        <f>ROUND(G147/1000,0)</f>
        <v>1184</v>
      </c>
      <c r="Q147" s="158">
        <v>6338</v>
      </c>
      <c r="R147" s="162">
        <v>5154</v>
      </c>
      <c r="S147" s="144">
        <f t="shared" si="82"/>
        <v>1184</v>
      </c>
    </row>
    <row r="148" spans="1:19" ht="12.75" customHeight="1">
      <c r="A148" s="167" t="s">
        <v>393</v>
      </c>
      <c r="B148" s="169">
        <v>588400</v>
      </c>
      <c r="C148" s="169">
        <v>323549</v>
      </c>
      <c r="D148" s="169">
        <v>271952.46</v>
      </c>
      <c r="E148" s="154">
        <f t="shared" si="84"/>
        <v>46.21897688647179</v>
      </c>
      <c r="F148" s="154">
        <f t="shared" si="85"/>
        <v>84.05294406720466</v>
      </c>
      <c r="G148" s="169">
        <f>D148-'[6]Maijs'!D148</f>
        <v>60040.68000000002</v>
      </c>
      <c r="I148" s="167" t="s">
        <v>393</v>
      </c>
      <c r="J148" s="162">
        <f t="shared" si="88"/>
        <v>588</v>
      </c>
      <c r="K148" s="162">
        <f t="shared" si="88"/>
        <v>324</v>
      </c>
      <c r="L148" s="162">
        <f t="shared" si="88"/>
        <v>272</v>
      </c>
      <c r="M148" s="163">
        <f t="shared" si="86"/>
        <v>46.25850340136054</v>
      </c>
      <c r="N148" s="163">
        <f t="shared" si="87"/>
        <v>83.9506172839506</v>
      </c>
      <c r="O148" s="162">
        <f>ROUND(G148/1000,0)</f>
        <v>60</v>
      </c>
      <c r="Q148" s="158">
        <v>272</v>
      </c>
      <c r="R148" s="162">
        <v>212</v>
      </c>
      <c r="S148" s="144">
        <f t="shared" si="82"/>
        <v>60</v>
      </c>
    </row>
    <row r="149" spans="1:19" ht="12.75" customHeight="1">
      <c r="A149" s="165" t="s">
        <v>429</v>
      </c>
      <c r="B149" s="169"/>
      <c r="C149" s="169"/>
      <c r="D149" s="169"/>
      <c r="E149" s="169"/>
      <c r="F149" s="169"/>
      <c r="G149" s="169"/>
      <c r="I149" s="165" t="s">
        <v>430</v>
      </c>
      <c r="J149" s="169"/>
      <c r="K149" s="169"/>
      <c r="L149" s="169"/>
      <c r="M149" s="163"/>
      <c r="N149" s="163"/>
      <c r="O149" s="169"/>
      <c r="Q149" s="158"/>
      <c r="R149" s="169"/>
      <c r="S149" s="144">
        <f t="shared" si="82"/>
        <v>0</v>
      </c>
    </row>
    <row r="150" spans="1:19" ht="12.75" customHeight="1">
      <c r="A150" s="159" t="s">
        <v>386</v>
      </c>
      <c r="B150" s="169">
        <f>SUM(B151:B153)</f>
        <v>1473393</v>
      </c>
      <c r="C150" s="171">
        <f>SUM(C151:C153)</f>
        <v>586651</v>
      </c>
      <c r="D150" s="171">
        <f>SUM(D151:D153)</f>
        <v>586482</v>
      </c>
      <c r="E150" s="153">
        <f>IF(ISERROR(D150/B150)," ",(D150/B150))*100</f>
        <v>39.80485858151898</v>
      </c>
      <c r="F150" s="153">
        <f>IF(ISERROR(D150/C150)," ",(D150/C150))*100</f>
        <v>99.97119241252466</v>
      </c>
      <c r="G150" s="171">
        <f>SUM(G151:G153)</f>
        <v>121744</v>
      </c>
      <c r="I150" s="159" t="s">
        <v>386</v>
      </c>
      <c r="J150" s="151">
        <f>J151+J152+J153</f>
        <v>1473</v>
      </c>
      <c r="K150" s="151">
        <f>K151+K152+K153</f>
        <v>587</v>
      </c>
      <c r="L150" s="151">
        <f>L151+L152+L153</f>
        <v>586</v>
      </c>
      <c r="M150" s="161">
        <f>L150/J150*100</f>
        <v>39.78275627970129</v>
      </c>
      <c r="N150" s="161">
        <f>L150/K150*100</f>
        <v>99.82964224872232</v>
      </c>
      <c r="O150" s="151">
        <f>O151+O152+O153</f>
        <v>121</v>
      </c>
      <c r="Q150" s="158">
        <v>586</v>
      </c>
      <c r="R150" s="151">
        <v>465</v>
      </c>
      <c r="S150" s="144">
        <f t="shared" si="82"/>
        <v>121</v>
      </c>
    </row>
    <row r="151" spans="1:19" ht="12.75" customHeight="1">
      <c r="A151" s="159" t="s">
        <v>387</v>
      </c>
      <c r="B151" s="169">
        <v>1191343</v>
      </c>
      <c r="C151" s="169">
        <v>586251</v>
      </c>
      <c r="D151" s="169">
        <v>586251</v>
      </c>
      <c r="E151" s="154">
        <f>IF(ISERROR(D151/B151)," ",(D151/B151))*100</f>
        <v>49.209253758153615</v>
      </c>
      <c r="F151" s="154">
        <f>IF(ISERROR(D151/C151)," ",(D151/C151))*100</f>
        <v>100</v>
      </c>
      <c r="G151" s="169">
        <f>D151-'[6]Maijs'!D151</f>
        <v>121744</v>
      </c>
      <c r="I151" s="159" t="s">
        <v>387</v>
      </c>
      <c r="J151" s="162">
        <f>ROUND(B151/1000,0)</f>
        <v>1191</v>
      </c>
      <c r="K151" s="162">
        <f>ROUND(C151/1000,0)</f>
        <v>586</v>
      </c>
      <c r="L151" s="162">
        <f>ROUND(D151/1000,0)</f>
        <v>586</v>
      </c>
      <c r="M151" s="163">
        <f>L151/J151*100</f>
        <v>49.20235096557515</v>
      </c>
      <c r="N151" s="163">
        <f>L151/K151*100</f>
        <v>100</v>
      </c>
      <c r="O151" s="162">
        <f>ROUND(G151/1000,0)-1</f>
        <v>121</v>
      </c>
      <c r="Q151" s="158">
        <v>586</v>
      </c>
      <c r="R151" s="162">
        <v>465</v>
      </c>
      <c r="S151" s="144">
        <f t="shared" si="82"/>
        <v>121</v>
      </c>
    </row>
    <row r="152" spans="1:19" ht="12.75" customHeight="1">
      <c r="A152" s="159" t="s">
        <v>389</v>
      </c>
      <c r="B152" s="169">
        <v>800</v>
      </c>
      <c r="C152" s="169">
        <v>400</v>
      </c>
      <c r="D152" s="169">
        <v>231</v>
      </c>
      <c r="E152" s="154">
        <f>IF(ISERROR(D152/B152)," ",(D152/B152))*100</f>
        <v>28.875</v>
      </c>
      <c r="F152" s="154">
        <f>IF(ISERROR(D152/C152)," ",(D152/C152))*100</f>
        <v>57.75</v>
      </c>
      <c r="G152" s="169">
        <f>D152-'[6]Maijs'!D152</f>
        <v>0</v>
      </c>
      <c r="I152" s="159" t="s">
        <v>389</v>
      </c>
      <c r="J152" s="162">
        <f>ROUND(B152/1000,0)</f>
        <v>1</v>
      </c>
      <c r="K152" s="162">
        <v>1</v>
      </c>
      <c r="L152" s="162"/>
      <c r="M152" s="163"/>
      <c r="N152" s="163"/>
      <c r="O152" s="162"/>
      <c r="Q152" s="158"/>
      <c r="R152" s="162"/>
      <c r="S152" s="144">
        <f t="shared" si="82"/>
        <v>0</v>
      </c>
    </row>
    <row r="153" spans="1:19" ht="12.75" customHeight="1">
      <c r="A153" s="159" t="s">
        <v>390</v>
      </c>
      <c r="B153" s="169">
        <v>281250</v>
      </c>
      <c r="C153" s="169"/>
      <c r="D153" s="169"/>
      <c r="E153" s="154"/>
      <c r="F153" s="169"/>
      <c r="G153" s="169"/>
      <c r="I153" s="159" t="s">
        <v>390</v>
      </c>
      <c r="J153" s="162">
        <f>ROUND(B153/1000,0)</f>
        <v>281</v>
      </c>
      <c r="K153" s="162"/>
      <c r="L153" s="162"/>
      <c r="M153" s="163"/>
      <c r="N153" s="163"/>
      <c r="O153" s="162"/>
      <c r="Q153" s="158"/>
      <c r="R153" s="162"/>
      <c r="S153" s="144">
        <f t="shared" si="82"/>
        <v>0</v>
      </c>
    </row>
    <row r="154" spans="1:19" ht="12.75" customHeight="1">
      <c r="A154" s="165" t="s">
        <v>391</v>
      </c>
      <c r="B154" s="171">
        <f>SUM(B155:B156)</f>
        <v>1472393</v>
      </c>
      <c r="C154" s="171">
        <f>SUM(C155:C156)</f>
        <v>586651</v>
      </c>
      <c r="D154" s="171">
        <f>SUM(D155:D156)</f>
        <v>583008.99</v>
      </c>
      <c r="E154" s="154">
        <f>IF(ISERROR(D154/B154)," ",(D154/B154))*100</f>
        <v>39.59601750347903</v>
      </c>
      <c r="F154" s="154">
        <f>IF(ISERROR(D154/C154)," ",(D154/C154))*100</f>
        <v>99.3791862623604</v>
      </c>
      <c r="G154" s="171">
        <f>SUM(G155:G156)</f>
        <v>121813.69000000006</v>
      </c>
      <c r="I154" s="165" t="s">
        <v>391</v>
      </c>
      <c r="J154" s="151">
        <f>J155+J156</f>
        <v>1473</v>
      </c>
      <c r="K154" s="151">
        <f>K155+K156</f>
        <v>587</v>
      </c>
      <c r="L154" s="151">
        <f>L155+L156</f>
        <v>583</v>
      </c>
      <c r="M154" s="161">
        <f>L154/J154*100</f>
        <v>39.57909029192125</v>
      </c>
      <c r="N154" s="161">
        <f>L154/K154*100</f>
        <v>99.31856899488926</v>
      </c>
      <c r="O154" s="151">
        <f>O155+O156</f>
        <v>122</v>
      </c>
      <c r="Q154" s="158">
        <v>583</v>
      </c>
      <c r="R154" s="151">
        <v>461</v>
      </c>
      <c r="S154" s="144">
        <f t="shared" si="82"/>
        <v>122</v>
      </c>
    </row>
    <row r="155" spans="1:19" ht="12.75" customHeight="1">
      <c r="A155" s="167" t="s">
        <v>392</v>
      </c>
      <c r="B155" s="169">
        <v>1343893</v>
      </c>
      <c r="C155" s="169">
        <v>576651</v>
      </c>
      <c r="D155" s="169">
        <v>576326.17</v>
      </c>
      <c r="E155" s="154">
        <f>IF(ISERROR(D155/B155)," ",(D155/B155))*100</f>
        <v>42.88482565204224</v>
      </c>
      <c r="F155" s="154">
        <f>IF(ISERROR(D155/C155)," ",(D155/C155))*100</f>
        <v>99.94366956790157</v>
      </c>
      <c r="G155" s="169">
        <f>D155-'[6]Maijs'!D155</f>
        <v>121813.69000000006</v>
      </c>
      <c r="I155" s="167" t="s">
        <v>392</v>
      </c>
      <c r="J155" s="162">
        <f aca="true" t="shared" si="89" ref="J155:L156">ROUND(B155/1000,0)</f>
        <v>1344</v>
      </c>
      <c r="K155" s="162">
        <f t="shared" si="89"/>
        <v>577</v>
      </c>
      <c r="L155" s="162">
        <f t="shared" si="89"/>
        <v>576</v>
      </c>
      <c r="M155" s="163">
        <f>L155/J155*100</f>
        <v>42.857142857142854</v>
      </c>
      <c r="N155" s="163">
        <f>L155/K155*100</f>
        <v>99.8266897746967</v>
      </c>
      <c r="O155" s="162">
        <f>ROUND(G155/1000,0)</f>
        <v>122</v>
      </c>
      <c r="Q155" s="158">
        <v>576</v>
      </c>
      <c r="R155" s="162">
        <v>454</v>
      </c>
      <c r="S155" s="144">
        <f t="shared" si="82"/>
        <v>122</v>
      </c>
    </row>
    <row r="156" spans="1:19" ht="12.75" customHeight="1">
      <c r="A156" s="167" t="s">
        <v>393</v>
      </c>
      <c r="B156" s="169">
        <v>128500</v>
      </c>
      <c r="C156" s="169">
        <v>10000</v>
      </c>
      <c r="D156" s="169">
        <v>6682.82</v>
      </c>
      <c r="E156" s="154">
        <f>IF(ISERROR(D156/B156)," ",(D156/B156))*100</f>
        <v>5.200638132295719</v>
      </c>
      <c r="F156" s="154">
        <f>IF(ISERROR(D156/C156)," ",(D156/C156))*100</f>
        <v>66.8282</v>
      </c>
      <c r="G156" s="169">
        <f>D156-'[6]Maijs'!D156</f>
        <v>0</v>
      </c>
      <c r="I156" s="167" t="s">
        <v>393</v>
      </c>
      <c r="J156" s="162">
        <f t="shared" si="89"/>
        <v>129</v>
      </c>
      <c r="K156" s="162">
        <f t="shared" si="89"/>
        <v>10</v>
      </c>
      <c r="L156" s="162">
        <f t="shared" si="89"/>
        <v>7</v>
      </c>
      <c r="M156" s="163">
        <f>L156/J156*100</f>
        <v>5.426356589147287</v>
      </c>
      <c r="N156" s="163">
        <f>L156/K156*100</f>
        <v>70</v>
      </c>
      <c r="O156" s="162">
        <v>0</v>
      </c>
      <c r="Q156" s="158">
        <v>7</v>
      </c>
      <c r="R156" s="162">
        <v>7</v>
      </c>
      <c r="S156" s="144">
        <f t="shared" si="82"/>
        <v>0</v>
      </c>
    </row>
    <row r="157" spans="1:19" ht="12.75" customHeight="1">
      <c r="A157" s="165" t="s">
        <v>431</v>
      </c>
      <c r="B157" s="171"/>
      <c r="C157" s="171"/>
      <c r="D157" s="171"/>
      <c r="E157" s="171"/>
      <c r="F157" s="171"/>
      <c r="G157" s="171"/>
      <c r="I157" s="165" t="s">
        <v>432</v>
      </c>
      <c r="J157" s="171"/>
      <c r="K157" s="171"/>
      <c r="L157" s="171"/>
      <c r="M157" s="163"/>
      <c r="N157" s="163"/>
      <c r="O157" s="171"/>
      <c r="Q157" s="158"/>
      <c r="R157" s="171"/>
      <c r="S157" s="144">
        <f t="shared" si="82"/>
        <v>0</v>
      </c>
    </row>
    <row r="158" spans="1:19" ht="12.75" customHeight="1">
      <c r="A158" s="159" t="s">
        <v>386</v>
      </c>
      <c r="B158" s="169">
        <f>SUM(B159)</f>
        <v>737898</v>
      </c>
      <c r="C158" s="171">
        <f>SUM(C159)</f>
        <v>363784</v>
      </c>
      <c r="D158" s="171">
        <f>SUM(D159)</f>
        <v>363784</v>
      </c>
      <c r="E158" s="153">
        <f>IF(ISERROR(D158/B158)," ",(D158/B158))*100</f>
        <v>49.300038758744435</v>
      </c>
      <c r="F158" s="153">
        <f>IF(ISERROR(D158/C158)," ",(D158/C158))*100</f>
        <v>100</v>
      </c>
      <c r="G158" s="171">
        <f>SUM(G159)</f>
        <v>76078</v>
      </c>
      <c r="I158" s="159" t="s">
        <v>386</v>
      </c>
      <c r="J158" s="151">
        <f>J159</f>
        <v>738</v>
      </c>
      <c r="K158" s="151">
        <f>K159</f>
        <v>364</v>
      </c>
      <c r="L158" s="151">
        <f>L159</f>
        <v>364</v>
      </c>
      <c r="M158" s="161">
        <f>L158/J158*100</f>
        <v>49.32249322493225</v>
      </c>
      <c r="N158" s="161">
        <f>L158/K158*100</f>
        <v>100</v>
      </c>
      <c r="O158" s="151">
        <f>O159</f>
        <v>76</v>
      </c>
      <c r="Q158" s="158">
        <v>364</v>
      </c>
      <c r="R158" s="151">
        <v>288</v>
      </c>
      <c r="S158" s="144">
        <f t="shared" si="82"/>
        <v>76</v>
      </c>
    </row>
    <row r="159" spans="1:19" ht="12" customHeight="1">
      <c r="A159" s="159" t="s">
        <v>387</v>
      </c>
      <c r="B159" s="169">
        <v>737898</v>
      </c>
      <c r="C159" s="169">
        <v>363784</v>
      </c>
      <c r="D159" s="169">
        <v>363784</v>
      </c>
      <c r="E159" s="154">
        <f>IF(ISERROR(D159/B159)," ",(D159/B159))*100</f>
        <v>49.300038758744435</v>
      </c>
      <c r="F159" s="154">
        <f>IF(ISERROR(D159/C159)," ",(D159/C159))*100</f>
        <v>100</v>
      </c>
      <c r="G159" s="169">
        <f>D159-'[6]Maijs'!D159</f>
        <v>76078</v>
      </c>
      <c r="I159" s="159" t="s">
        <v>387</v>
      </c>
      <c r="J159" s="162">
        <f>ROUND(B159/1000,0)</f>
        <v>738</v>
      </c>
      <c r="K159" s="162">
        <f>ROUND(C159/1000,0)</f>
        <v>364</v>
      </c>
      <c r="L159" s="162">
        <f>ROUND(D159/1000,0)</f>
        <v>364</v>
      </c>
      <c r="M159" s="163">
        <f>L159/J159*100</f>
        <v>49.32249322493225</v>
      </c>
      <c r="N159" s="163">
        <f>L159/K159*100</f>
        <v>100</v>
      </c>
      <c r="O159" s="162">
        <f>ROUND(G159/1000,0)</f>
        <v>76</v>
      </c>
      <c r="Q159" s="158">
        <v>364</v>
      </c>
      <c r="R159" s="162">
        <v>288</v>
      </c>
      <c r="S159" s="144">
        <f t="shared" si="82"/>
        <v>76</v>
      </c>
    </row>
    <row r="160" spans="1:19" ht="12.75" customHeight="1" hidden="1">
      <c r="A160" s="159" t="s">
        <v>389</v>
      </c>
      <c r="B160" s="169"/>
      <c r="C160" s="169"/>
      <c r="D160" s="169">
        <v>12.26</v>
      </c>
      <c r="E160" s="154"/>
      <c r="F160" s="154"/>
      <c r="G160" s="169">
        <f>D160-'[6]Maijs'!D160</f>
        <v>12.26</v>
      </c>
      <c r="I160" s="159"/>
      <c r="J160" s="162"/>
      <c r="K160" s="162"/>
      <c r="L160" s="162"/>
      <c r="M160" s="163"/>
      <c r="N160" s="163"/>
      <c r="O160" s="162"/>
      <c r="Q160" s="158"/>
      <c r="R160" s="162"/>
      <c r="S160" s="144">
        <f t="shared" si="82"/>
        <v>0</v>
      </c>
    </row>
    <row r="161" spans="1:30" ht="12.75" customHeight="1">
      <c r="A161" s="165" t="s">
        <v>391</v>
      </c>
      <c r="B161" s="171">
        <f>SUM(B162)</f>
        <v>737898</v>
      </c>
      <c r="C161" s="171">
        <f>SUM(C162)</f>
        <v>363784</v>
      </c>
      <c r="D161" s="171">
        <f>SUM(D162)</f>
        <v>363773.81</v>
      </c>
      <c r="E161" s="154">
        <f>IF(ISERROR(D161/B161)," ",(D161/B161))*100</f>
        <v>49.29865780907388</v>
      </c>
      <c r="F161" s="154">
        <f>IF(ISERROR(D161/C161)," ",(D161/C161))*100</f>
        <v>99.99719888725177</v>
      </c>
      <c r="G161" s="171">
        <f>SUM(G162)</f>
        <v>76084.27999999997</v>
      </c>
      <c r="H161" s="173"/>
      <c r="I161" s="165" t="s">
        <v>391</v>
      </c>
      <c r="J161" s="151">
        <f>J162+J163</f>
        <v>738</v>
      </c>
      <c r="K161" s="151">
        <f>K162</f>
        <v>364</v>
      </c>
      <c r="L161" s="151">
        <f>L162</f>
        <v>364</v>
      </c>
      <c r="M161" s="161">
        <f>L161/J161*100</f>
        <v>49.32249322493225</v>
      </c>
      <c r="N161" s="161">
        <f>L161/K161*100</f>
        <v>100</v>
      </c>
      <c r="O161" s="151">
        <f>O162+O163</f>
        <v>76</v>
      </c>
      <c r="P161" s="173"/>
      <c r="Q161" s="158">
        <v>364</v>
      </c>
      <c r="R161" s="151">
        <v>288</v>
      </c>
      <c r="S161" s="144">
        <f t="shared" si="82"/>
        <v>76</v>
      </c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</row>
    <row r="162" spans="1:19" ht="12.75" customHeight="1">
      <c r="A162" s="167" t="s">
        <v>392</v>
      </c>
      <c r="B162" s="169">
        <v>737898</v>
      </c>
      <c r="C162" s="169">
        <v>363784</v>
      </c>
      <c r="D162" s="169">
        <v>363773.81</v>
      </c>
      <c r="E162" s="154">
        <f>IF(ISERROR(D162/B162)," ",(D162/B162))*100</f>
        <v>49.29865780907388</v>
      </c>
      <c r="F162" s="154">
        <f>IF(ISERROR(D162/C162)," ",(D162/C162))*100</f>
        <v>99.99719888725177</v>
      </c>
      <c r="G162" s="169">
        <f>D162-'[6]Maijs'!D162</f>
        <v>76084.27999999997</v>
      </c>
      <c r="I162" s="167" t="s">
        <v>392</v>
      </c>
      <c r="J162" s="162">
        <f>ROUND(B162/1000,0)</f>
        <v>738</v>
      </c>
      <c r="K162" s="162">
        <f>ROUND(C162/1000,0)</f>
        <v>364</v>
      </c>
      <c r="L162" s="162">
        <f>ROUND(D162/1000,0)</f>
        <v>364</v>
      </c>
      <c r="M162" s="163">
        <f>L162/J162*100</f>
        <v>49.32249322493225</v>
      </c>
      <c r="N162" s="163">
        <f>L162/K162*100</f>
        <v>100</v>
      </c>
      <c r="O162" s="162">
        <f>ROUND(G162/1000,0)</f>
        <v>76</v>
      </c>
      <c r="Q162" s="158">
        <v>364</v>
      </c>
      <c r="R162" s="162">
        <v>288</v>
      </c>
      <c r="S162" s="144">
        <f t="shared" si="82"/>
        <v>76</v>
      </c>
    </row>
    <row r="163" spans="1:19" ht="12.75" customHeight="1">
      <c r="A163" s="165" t="s">
        <v>433</v>
      </c>
      <c r="B163" s="171"/>
      <c r="C163" s="171"/>
      <c r="D163" s="171"/>
      <c r="E163" s="171"/>
      <c r="F163" s="171"/>
      <c r="G163" s="171"/>
      <c r="I163" s="165" t="s">
        <v>434</v>
      </c>
      <c r="J163" s="171"/>
      <c r="K163" s="171"/>
      <c r="L163" s="171"/>
      <c r="M163" s="163"/>
      <c r="N163" s="163"/>
      <c r="O163" s="171"/>
      <c r="Q163" s="158"/>
      <c r="R163" s="171"/>
      <c r="S163" s="144">
        <f t="shared" si="82"/>
        <v>0</v>
      </c>
    </row>
    <row r="164" spans="1:19" ht="12.75" customHeight="1">
      <c r="A164" s="159" t="s">
        <v>386</v>
      </c>
      <c r="B164" s="169">
        <f>SUM(B165:B166)</f>
        <v>335805</v>
      </c>
      <c r="C164" s="171">
        <f>SUM(C165:C166)</f>
        <v>156852</v>
      </c>
      <c r="D164" s="171">
        <f>SUM(D165:D166)</f>
        <v>153447.38</v>
      </c>
      <c r="E164" s="153">
        <f aca="true" t="shared" si="90" ref="E164:E169">IF(ISERROR(D164/B164)," ",(D164/B164))*100</f>
        <v>45.695382737005104</v>
      </c>
      <c r="F164" s="153">
        <f aca="true" t="shared" si="91" ref="F164:F169">IF(ISERROR(D164/C164)," ",(D164/C164))*100</f>
        <v>97.8294060643154</v>
      </c>
      <c r="G164" s="171">
        <f>SUM(G165:G166)</f>
        <v>28375</v>
      </c>
      <c r="I164" s="159" t="s">
        <v>386</v>
      </c>
      <c r="J164" s="151">
        <f>J165+J166</f>
        <v>336</v>
      </c>
      <c r="K164" s="151">
        <f>K165+K166</f>
        <v>158</v>
      </c>
      <c r="L164" s="151">
        <f>L165+L166</f>
        <v>155</v>
      </c>
      <c r="M164" s="161">
        <f aca="true" t="shared" si="92" ref="M164:M169">L164/J164*100</f>
        <v>46.13095238095239</v>
      </c>
      <c r="N164" s="161">
        <f aca="true" t="shared" si="93" ref="N164:N169">L164/K164*100</f>
        <v>98.10126582278481</v>
      </c>
      <c r="O164" s="151">
        <f>O165+O166</f>
        <v>29</v>
      </c>
      <c r="Q164" s="158">
        <v>155</v>
      </c>
      <c r="R164" s="151">
        <v>126</v>
      </c>
      <c r="S164" s="144">
        <f t="shared" si="82"/>
        <v>29</v>
      </c>
    </row>
    <row r="165" spans="1:19" ht="12.75" customHeight="1">
      <c r="A165" s="159" t="s">
        <v>387</v>
      </c>
      <c r="B165" s="169">
        <v>316689</v>
      </c>
      <c r="C165" s="169">
        <v>151852</v>
      </c>
      <c r="D165" s="169">
        <v>151852</v>
      </c>
      <c r="E165" s="154">
        <f t="shared" si="90"/>
        <v>47.94988142941497</v>
      </c>
      <c r="F165" s="154">
        <f t="shared" si="91"/>
        <v>100</v>
      </c>
      <c r="G165" s="169">
        <f>D165-'[6]Maijs'!D165</f>
        <v>28375</v>
      </c>
      <c r="I165" s="159" t="s">
        <v>387</v>
      </c>
      <c r="J165" s="162">
        <f>ROUND(B165/1000,0)</f>
        <v>317</v>
      </c>
      <c r="K165" s="162">
        <f>ROUND(C165/1000,0)+1</f>
        <v>153</v>
      </c>
      <c r="L165" s="162">
        <f>ROUND(D165/1000,0)+1</f>
        <v>153</v>
      </c>
      <c r="M165" s="163">
        <f t="shared" si="92"/>
        <v>48.26498422712934</v>
      </c>
      <c r="N165" s="163">
        <f t="shared" si="93"/>
        <v>100</v>
      </c>
      <c r="O165" s="162">
        <f>ROUND(G165/1000,0)+1</f>
        <v>29</v>
      </c>
      <c r="Q165" s="158">
        <v>153</v>
      </c>
      <c r="R165" s="162">
        <v>124</v>
      </c>
      <c r="S165" s="144">
        <f t="shared" si="82"/>
        <v>29</v>
      </c>
    </row>
    <row r="166" spans="1:19" ht="12.75" customHeight="1">
      <c r="A166" s="159" t="s">
        <v>389</v>
      </c>
      <c r="B166" s="169">
        <v>19116</v>
      </c>
      <c r="C166" s="169">
        <v>5000</v>
      </c>
      <c r="D166" s="169">
        <v>1595.38</v>
      </c>
      <c r="E166" s="154">
        <f t="shared" si="90"/>
        <v>8.34578363674409</v>
      </c>
      <c r="F166" s="154">
        <f t="shared" si="91"/>
        <v>31.907600000000002</v>
      </c>
      <c r="G166" s="169">
        <f>D166-'[6]Maijs'!D166</f>
        <v>0</v>
      </c>
      <c r="I166" s="159" t="s">
        <v>389</v>
      </c>
      <c r="J166" s="162">
        <f>ROUND(B166/1000,0)</f>
        <v>19</v>
      </c>
      <c r="K166" s="162">
        <f>ROUND(C166/1000,0)</f>
        <v>5</v>
      </c>
      <c r="L166" s="162">
        <f>ROUND(D166/1000,0)</f>
        <v>2</v>
      </c>
      <c r="M166" s="163">
        <f t="shared" si="92"/>
        <v>10.526315789473683</v>
      </c>
      <c r="N166" s="163">
        <f t="shared" si="93"/>
        <v>40</v>
      </c>
      <c r="O166" s="162">
        <v>0</v>
      </c>
      <c r="Q166" s="158">
        <v>2</v>
      </c>
      <c r="R166" s="162">
        <v>2</v>
      </c>
      <c r="S166" s="144">
        <f t="shared" si="82"/>
        <v>0</v>
      </c>
    </row>
    <row r="167" spans="1:19" ht="12.75" customHeight="1">
      <c r="A167" s="165" t="s">
        <v>391</v>
      </c>
      <c r="B167" s="171">
        <f>SUM(B168:B169)</f>
        <v>335805</v>
      </c>
      <c r="C167" s="171">
        <f>SUM(C168:C169)</f>
        <v>156852</v>
      </c>
      <c r="D167" s="171">
        <f>SUM(D168:D169)</f>
        <v>154459.47</v>
      </c>
      <c r="E167" s="154">
        <f t="shared" si="90"/>
        <v>45.9967749140126</v>
      </c>
      <c r="F167" s="154">
        <f t="shared" si="91"/>
        <v>98.47465763904827</v>
      </c>
      <c r="G167" s="171">
        <f>SUM(G168:G169)</f>
        <v>32098.869999999995</v>
      </c>
      <c r="I167" s="165" t="s">
        <v>391</v>
      </c>
      <c r="J167" s="151">
        <f>J168+J169</f>
        <v>336</v>
      </c>
      <c r="K167" s="151">
        <f>K168+K169</f>
        <v>157</v>
      </c>
      <c r="L167" s="151">
        <f>L168+L169</f>
        <v>155</v>
      </c>
      <c r="M167" s="161">
        <f t="shared" si="92"/>
        <v>46.13095238095239</v>
      </c>
      <c r="N167" s="161">
        <f t="shared" si="93"/>
        <v>98.72611464968153</v>
      </c>
      <c r="O167" s="151">
        <f>O168+O169</f>
        <v>33</v>
      </c>
      <c r="Q167" s="158">
        <v>155</v>
      </c>
      <c r="R167" s="151">
        <v>122</v>
      </c>
      <c r="S167" s="144">
        <f t="shared" si="82"/>
        <v>33</v>
      </c>
    </row>
    <row r="168" spans="1:19" ht="12.75" customHeight="1">
      <c r="A168" s="167" t="s">
        <v>392</v>
      </c>
      <c r="B168" s="169">
        <v>315805</v>
      </c>
      <c r="C168" s="169">
        <v>147852</v>
      </c>
      <c r="D168" s="169">
        <v>145799.9</v>
      </c>
      <c r="E168" s="154">
        <f t="shared" si="90"/>
        <v>46.16769842149427</v>
      </c>
      <c r="F168" s="154">
        <f t="shared" si="91"/>
        <v>98.61205800394988</v>
      </c>
      <c r="G168" s="169">
        <f>D168-'[6]Maijs'!D168</f>
        <v>24386.899999999994</v>
      </c>
      <c r="I168" s="167" t="s">
        <v>392</v>
      </c>
      <c r="J168" s="162">
        <f aca="true" t="shared" si="94" ref="J168:L169">ROUND(B168/1000,0)</f>
        <v>316</v>
      </c>
      <c r="K168" s="162">
        <f t="shared" si="94"/>
        <v>148</v>
      </c>
      <c r="L168" s="162">
        <f t="shared" si="94"/>
        <v>146</v>
      </c>
      <c r="M168" s="163">
        <f t="shared" si="92"/>
        <v>46.20253164556962</v>
      </c>
      <c r="N168" s="163">
        <f t="shared" si="93"/>
        <v>98.64864864864865</v>
      </c>
      <c r="O168" s="162">
        <f>ROUND(G168/1000,0)+1</f>
        <v>25</v>
      </c>
      <c r="Q168" s="158">
        <v>146</v>
      </c>
      <c r="R168" s="162">
        <v>121</v>
      </c>
      <c r="S168" s="144">
        <f t="shared" si="82"/>
        <v>25</v>
      </c>
    </row>
    <row r="169" spans="1:19" ht="12.75" customHeight="1">
      <c r="A169" s="167" t="s">
        <v>393</v>
      </c>
      <c r="B169" s="169">
        <v>20000</v>
      </c>
      <c r="C169" s="169">
        <v>9000</v>
      </c>
      <c r="D169" s="169">
        <v>8659.57</v>
      </c>
      <c r="E169" s="154">
        <f t="shared" si="90"/>
        <v>43.29785</v>
      </c>
      <c r="F169" s="154">
        <f t="shared" si="91"/>
        <v>96.21744444444444</v>
      </c>
      <c r="G169" s="169">
        <f>D169-'[6]Maijs'!D169</f>
        <v>7711.969999999999</v>
      </c>
      <c r="I169" s="167" t="s">
        <v>393</v>
      </c>
      <c r="J169" s="162">
        <f t="shared" si="94"/>
        <v>20</v>
      </c>
      <c r="K169" s="162">
        <f t="shared" si="94"/>
        <v>9</v>
      </c>
      <c r="L169" s="162">
        <f t="shared" si="94"/>
        <v>9</v>
      </c>
      <c r="M169" s="163">
        <f t="shared" si="92"/>
        <v>45</v>
      </c>
      <c r="N169" s="163">
        <f t="shared" si="93"/>
        <v>100</v>
      </c>
      <c r="O169" s="162">
        <f>ROUND(G169/1000,0)</f>
        <v>8</v>
      </c>
      <c r="Q169" s="158">
        <v>9</v>
      </c>
      <c r="R169" s="162">
        <v>1</v>
      </c>
      <c r="S169" s="144">
        <f t="shared" si="82"/>
        <v>8</v>
      </c>
    </row>
    <row r="170" spans="1:19" ht="12.75" customHeight="1">
      <c r="A170" s="165" t="s">
        <v>435</v>
      </c>
      <c r="B170" s="169"/>
      <c r="C170" s="169"/>
      <c r="D170" s="169"/>
      <c r="E170" s="169"/>
      <c r="F170" s="169"/>
      <c r="G170" s="169"/>
      <c r="I170" s="165" t="s">
        <v>436</v>
      </c>
      <c r="J170" s="169"/>
      <c r="K170" s="169"/>
      <c r="L170" s="169"/>
      <c r="M170" s="163"/>
      <c r="N170" s="163"/>
      <c r="O170" s="169"/>
      <c r="Q170" s="158"/>
      <c r="R170" s="169"/>
      <c r="S170" s="144">
        <f t="shared" si="82"/>
        <v>0</v>
      </c>
    </row>
    <row r="171" spans="1:19" ht="12.75" customHeight="1">
      <c r="A171" s="159" t="s">
        <v>386</v>
      </c>
      <c r="B171" s="169">
        <f>SUM(B172:B173)</f>
        <v>6428814</v>
      </c>
      <c r="C171" s="171">
        <f>SUM(C172:C173)</f>
        <v>3116827</v>
      </c>
      <c r="D171" s="171">
        <f>SUM(D172:D173)</f>
        <v>3120950.79</v>
      </c>
      <c r="E171" s="153">
        <f aca="true" t="shared" si="95" ref="E171:E176">IF(ISERROR(D171/B171)," ",(D171/B171))*100</f>
        <v>48.54629158659747</v>
      </c>
      <c r="F171" s="153">
        <f aca="true" t="shared" si="96" ref="F171:F176">IF(ISERROR(D171/C171)," ",(D171/C171))*100</f>
        <v>100.13230731124956</v>
      </c>
      <c r="G171" s="171">
        <f>SUM(G172:G173)</f>
        <v>575108.49</v>
      </c>
      <c r="I171" s="159" t="s">
        <v>386</v>
      </c>
      <c r="J171" s="151">
        <f>J172+J173</f>
        <v>6429</v>
      </c>
      <c r="K171" s="151">
        <f>K172+K173</f>
        <v>3117</v>
      </c>
      <c r="L171" s="151">
        <f>L172+L173</f>
        <v>3121</v>
      </c>
      <c r="M171" s="161">
        <f aca="true" t="shared" si="97" ref="M171:M176">L171/J171*100</f>
        <v>48.54565251205475</v>
      </c>
      <c r="N171" s="161">
        <f aca="true" t="shared" si="98" ref="N171:N176">L171/K171*100</f>
        <v>100.12832852101378</v>
      </c>
      <c r="O171" s="151">
        <f>O172+O173</f>
        <v>574</v>
      </c>
      <c r="Q171" s="158">
        <v>3121</v>
      </c>
      <c r="R171" s="151">
        <v>2547</v>
      </c>
      <c r="S171" s="144">
        <f t="shared" si="82"/>
        <v>574</v>
      </c>
    </row>
    <row r="172" spans="1:19" ht="12.75" customHeight="1">
      <c r="A172" s="159" t="s">
        <v>387</v>
      </c>
      <c r="B172" s="169">
        <v>6419814</v>
      </c>
      <c r="C172" s="169">
        <v>3112327</v>
      </c>
      <c r="D172" s="169">
        <v>3112327</v>
      </c>
      <c r="E172" s="154">
        <f t="shared" si="95"/>
        <v>48.480018268442045</v>
      </c>
      <c r="F172" s="154">
        <f t="shared" si="96"/>
        <v>100</v>
      </c>
      <c r="G172" s="169">
        <f>D172-'[6]Maijs'!D172</f>
        <v>575235</v>
      </c>
      <c r="I172" s="159" t="s">
        <v>387</v>
      </c>
      <c r="J172" s="162">
        <f aca="true" t="shared" si="99" ref="J172:L173">ROUND(B172/1000,0)</f>
        <v>6420</v>
      </c>
      <c r="K172" s="162">
        <f t="shared" si="99"/>
        <v>3112</v>
      </c>
      <c r="L172" s="162">
        <f t="shared" si="99"/>
        <v>3112</v>
      </c>
      <c r="M172" s="163">
        <f t="shared" si="97"/>
        <v>48.47352024922119</v>
      </c>
      <c r="N172" s="163">
        <f t="shared" si="98"/>
        <v>100</v>
      </c>
      <c r="O172" s="162">
        <f>ROUND(G172/1000,0)</f>
        <v>575</v>
      </c>
      <c r="Q172" s="158">
        <v>3112</v>
      </c>
      <c r="R172" s="162">
        <v>2537</v>
      </c>
      <c r="S172" s="144">
        <f t="shared" si="82"/>
        <v>575</v>
      </c>
    </row>
    <row r="173" spans="1:19" ht="12.75" customHeight="1">
      <c r="A173" s="159" t="s">
        <v>389</v>
      </c>
      <c r="B173" s="169">
        <v>9000</v>
      </c>
      <c r="C173" s="169">
        <v>4500</v>
      </c>
      <c r="D173" s="169">
        <v>8623.79</v>
      </c>
      <c r="E173" s="154">
        <f t="shared" si="95"/>
        <v>95.8198888888889</v>
      </c>
      <c r="F173" s="154">
        <f t="shared" si="96"/>
        <v>191.6397777777778</v>
      </c>
      <c r="G173" s="169">
        <f>D173-'[6]Maijs'!D173</f>
        <v>-126.5099999999984</v>
      </c>
      <c r="I173" s="159" t="s">
        <v>389</v>
      </c>
      <c r="J173" s="162">
        <f t="shared" si="99"/>
        <v>9</v>
      </c>
      <c r="K173" s="162">
        <f t="shared" si="99"/>
        <v>5</v>
      </c>
      <c r="L173" s="162">
        <f t="shared" si="99"/>
        <v>9</v>
      </c>
      <c r="M173" s="163">
        <f t="shared" si="97"/>
        <v>100</v>
      </c>
      <c r="N173" s="163">
        <f t="shared" si="98"/>
        <v>180</v>
      </c>
      <c r="O173" s="162">
        <f>ROUND(G173/1000,0)-1</f>
        <v>-1</v>
      </c>
      <c r="Q173" s="158">
        <v>9</v>
      </c>
      <c r="R173" s="162">
        <v>10</v>
      </c>
      <c r="S173" s="144">
        <f t="shared" si="82"/>
        <v>-1</v>
      </c>
    </row>
    <row r="174" spans="1:19" ht="12.75" customHeight="1">
      <c r="A174" s="165" t="s">
        <v>391</v>
      </c>
      <c r="B174" s="171">
        <f>SUM(B175:B176)</f>
        <v>6428814</v>
      </c>
      <c r="C174" s="171">
        <f>SUM(C175:C176)</f>
        <v>3116827</v>
      </c>
      <c r="D174" s="171">
        <f>SUM(D175:D176)</f>
        <v>3048869.59</v>
      </c>
      <c r="E174" s="154">
        <f t="shared" si="95"/>
        <v>47.42507078288468</v>
      </c>
      <c r="F174" s="154">
        <f t="shared" si="96"/>
        <v>97.81966050730438</v>
      </c>
      <c r="G174" s="171">
        <f>SUM(G175:G176)</f>
        <v>538767.6199999999</v>
      </c>
      <c r="I174" s="165" t="s">
        <v>391</v>
      </c>
      <c r="J174" s="151">
        <f>J175+J176</f>
        <v>6429</v>
      </c>
      <c r="K174" s="151">
        <f>K175+K176</f>
        <v>3117</v>
      </c>
      <c r="L174" s="151">
        <f>L175+L176</f>
        <v>3049</v>
      </c>
      <c r="M174" s="161">
        <f t="shared" si="97"/>
        <v>47.42572717374397</v>
      </c>
      <c r="N174" s="161">
        <f t="shared" si="98"/>
        <v>97.81841514276547</v>
      </c>
      <c r="O174" s="151">
        <f>O175+O176</f>
        <v>539</v>
      </c>
      <c r="Q174" s="158">
        <v>3049</v>
      </c>
      <c r="R174" s="151">
        <v>2510</v>
      </c>
      <c r="S174" s="144">
        <f t="shared" si="82"/>
        <v>539</v>
      </c>
    </row>
    <row r="175" spans="1:19" ht="12.75" customHeight="1">
      <c r="A175" s="167" t="s">
        <v>392</v>
      </c>
      <c r="B175" s="169">
        <v>6285754</v>
      </c>
      <c r="C175" s="169">
        <v>3055627</v>
      </c>
      <c r="D175" s="169">
        <v>3014159.48</v>
      </c>
      <c r="E175" s="154">
        <f t="shared" si="95"/>
        <v>47.95223421088385</v>
      </c>
      <c r="F175" s="154">
        <f t="shared" si="96"/>
        <v>98.64291289480032</v>
      </c>
      <c r="G175" s="169">
        <f>D175-'[6]Maijs'!D175</f>
        <v>513309.9199999999</v>
      </c>
      <c r="I175" s="167" t="s">
        <v>392</v>
      </c>
      <c r="J175" s="162">
        <f aca="true" t="shared" si="100" ref="J175:L176">ROUND(B175/1000,0)</f>
        <v>6286</v>
      </c>
      <c r="K175" s="162">
        <f t="shared" si="100"/>
        <v>3056</v>
      </c>
      <c r="L175" s="162">
        <f t="shared" si="100"/>
        <v>3014</v>
      </c>
      <c r="M175" s="163">
        <f t="shared" si="97"/>
        <v>47.947820553611194</v>
      </c>
      <c r="N175" s="163">
        <f t="shared" si="98"/>
        <v>98.62565445026178</v>
      </c>
      <c r="O175" s="162">
        <f>ROUND(G175/1000,0)</f>
        <v>513</v>
      </c>
      <c r="Q175" s="158">
        <v>3014</v>
      </c>
      <c r="R175" s="162">
        <v>2501</v>
      </c>
      <c r="S175" s="144">
        <f t="shared" si="82"/>
        <v>513</v>
      </c>
    </row>
    <row r="176" spans="1:19" ht="12.75" customHeight="1">
      <c r="A176" s="167" t="s">
        <v>393</v>
      </c>
      <c r="B176" s="169">
        <v>143060</v>
      </c>
      <c r="C176" s="169">
        <v>61200</v>
      </c>
      <c r="D176" s="169">
        <v>34710.11</v>
      </c>
      <c r="E176" s="154">
        <f t="shared" si="95"/>
        <v>24.262624073815182</v>
      </c>
      <c r="F176" s="154">
        <f t="shared" si="96"/>
        <v>56.71586601307189</v>
      </c>
      <c r="G176" s="169">
        <f>D176-'[6]Maijs'!D176</f>
        <v>25457.7</v>
      </c>
      <c r="I176" s="167" t="s">
        <v>393</v>
      </c>
      <c r="J176" s="162">
        <f t="shared" si="100"/>
        <v>143</v>
      </c>
      <c r="K176" s="162">
        <f t="shared" si="100"/>
        <v>61</v>
      </c>
      <c r="L176" s="162">
        <f t="shared" si="100"/>
        <v>35</v>
      </c>
      <c r="M176" s="163">
        <f t="shared" si="97"/>
        <v>24.475524475524477</v>
      </c>
      <c r="N176" s="163">
        <f t="shared" si="98"/>
        <v>57.377049180327866</v>
      </c>
      <c r="O176" s="162">
        <f>ROUND(G176/1000,0)+1</f>
        <v>26</v>
      </c>
      <c r="Q176" s="158">
        <v>35</v>
      </c>
      <c r="R176" s="162">
        <v>9</v>
      </c>
      <c r="S176" s="144">
        <f t="shared" si="82"/>
        <v>26</v>
      </c>
    </row>
    <row r="177" spans="1:19" ht="12.75" customHeight="1">
      <c r="A177" s="150" t="s">
        <v>437</v>
      </c>
      <c r="B177" s="171"/>
      <c r="C177" s="171"/>
      <c r="D177" s="171"/>
      <c r="E177" s="171"/>
      <c r="F177" s="171"/>
      <c r="G177" s="171"/>
      <c r="I177" s="150" t="s">
        <v>438</v>
      </c>
      <c r="J177" s="171"/>
      <c r="K177" s="171"/>
      <c r="L177" s="171"/>
      <c r="M177" s="163"/>
      <c r="N177" s="163"/>
      <c r="O177" s="171"/>
      <c r="Q177" s="158"/>
      <c r="R177" s="171"/>
      <c r="S177" s="144">
        <f t="shared" si="82"/>
        <v>0</v>
      </c>
    </row>
    <row r="178" spans="1:19" ht="12.75" customHeight="1">
      <c r="A178" s="159" t="s">
        <v>386</v>
      </c>
      <c r="B178" s="169">
        <f>SUM(B179)</f>
        <v>230269</v>
      </c>
      <c r="C178" s="171">
        <f>SUM(C179)</f>
        <v>173282</v>
      </c>
      <c r="D178" s="171">
        <f>SUM(D179)</f>
        <v>173282</v>
      </c>
      <c r="E178" s="153">
        <f>IF(ISERROR(D178/B178)," ",(D178/B178))*100</f>
        <v>75.25198789242147</v>
      </c>
      <c r="F178" s="153">
        <f>IF(ISERROR(D178/C178)," ",(D178/C178))*100</f>
        <v>100</v>
      </c>
      <c r="G178" s="171">
        <f>SUM(G179)</f>
        <v>8163</v>
      </c>
      <c r="I178" s="159" t="s">
        <v>386</v>
      </c>
      <c r="J178" s="151">
        <f>J179</f>
        <v>230</v>
      </c>
      <c r="K178" s="151">
        <f>K179</f>
        <v>173</v>
      </c>
      <c r="L178" s="151">
        <f>L179</f>
        <v>173</v>
      </c>
      <c r="M178" s="161">
        <f>L178/J178*100</f>
        <v>75.21739130434783</v>
      </c>
      <c r="N178" s="161">
        <f>L178/K178*100</f>
        <v>100</v>
      </c>
      <c r="O178" s="151">
        <f>O179</f>
        <v>8</v>
      </c>
      <c r="Q178" s="158">
        <v>173</v>
      </c>
      <c r="R178" s="151">
        <v>165</v>
      </c>
      <c r="S178" s="144">
        <f t="shared" si="82"/>
        <v>8</v>
      </c>
    </row>
    <row r="179" spans="1:19" ht="12.75" customHeight="1">
      <c r="A179" s="159" t="s">
        <v>387</v>
      </c>
      <c r="B179" s="169">
        <v>230269</v>
      </c>
      <c r="C179" s="169">
        <v>173282</v>
      </c>
      <c r="D179" s="169">
        <v>173282</v>
      </c>
      <c r="E179" s="154">
        <f>IF(ISERROR(D179/B179)," ",(D179/B179))*100</f>
        <v>75.25198789242147</v>
      </c>
      <c r="F179" s="154">
        <f>IF(ISERROR(D179/C179)," ",(D179/C179))*100</f>
        <v>100</v>
      </c>
      <c r="G179" s="169">
        <f>D179-'[6]Maijs'!D179</f>
        <v>8163</v>
      </c>
      <c r="I179" s="159" t="s">
        <v>387</v>
      </c>
      <c r="J179" s="162">
        <f>ROUND(B179/1000,0)</f>
        <v>230</v>
      </c>
      <c r="K179" s="162">
        <f>ROUND(C179/1000,0)</f>
        <v>173</v>
      </c>
      <c r="L179" s="162">
        <f>ROUND(D179/1000,0)</f>
        <v>173</v>
      </c>
      <c r="M179" s="163">
        <f>L179/J179*100</f>
        <v>75.21739130434783</v>
      </c>
      <c r="N179" s="163">
        <f>L179/K179*100</f>
        <v>100</v>
      </c>
      <c r="O179" s="162">
        <f>ROUND(G179/1000,0)</f>
        <v>8</v>
      </c>
      <c r="Q179" s="158">
        <v>173</v>
      </c>
      <c r="R179" s="162">
        <v>165</v>
      </c>
      <c r="S179" s="144">
        <f t="shared" si="82"/>
        <v>8</v>
      </c>
    </row>
    <row r="180" spans="1:19" ht="12.75" customHeight="1">
      <c r="A180" s="165" t="s">
        <v>391</v>
      </c>
      <c r="B180" s="171">
        <f>SUM(B181:B182)</f>
        <v>230269</v>
      </c>
      <c r="C180" s="171">
        <f>SUM(C181:C182)</f>
        <v>173282</v>
      </c>
      <c r="D180" s="171">
        <f>SUM(D181:D182)</f>
        <v>145941.73</v>
      </c>
      <c r="E180" s="154">
        <f>IF(ISERROR(D180/B180)," ",(D180/B180))*100</f>
        <v>63.37880044643439</v>
      </c>
      <c r="F180" s="154">
        <f>IF(ISERROR(D180/C180)," ",(D180/C180))*100</f>
        <v>84.22209462032987</v>
      </c>
      <c r="G180" s="171">
        <f>SUM(G181:G182)</f>
        <v>6746.539999999994</v>
      </c>
      <c r="I180" s="165" t="s">
        <v>391</v>
      </c>
      <c r="J180" s="151">
        <f>J181+J182</f>
        <v>230</v>
      </c>
      <c r="K180" s="151">
        <f>K181+K182</f>
        <v>173</v>
      </c>
      <c r="L180" s="151">
        <f>L181+L182</f>
        <v>146</v>
      </c>
      <c r="M180" s="161">
        <f>L180/J180*100</f>
        <v>63.47826086956522</v>
      </c>
      <c r="N180" s="161">
        <f>L180/K180*100</f>
        <v>84.39306358381504</v>
      </c>
      <c r="O180" s="151">
        <f>O181+O182</f>
        <v>6</v>
      </c>
      <c r="Q180" s="158">
        <v>146</v>
      </c>
      <c r="R180" s="151">
        <v>140</v>
      </c>
      <c r="S180" s="144">
        <f t="shared" si="82"/>
        <v>6</v>
      </c>
    </row>
    <row r="181" spans="1:19" ht="12.75" customHeight="1">
      <c r="A181" s="167" t="s">
        <v>392</v>
      </c>
      <c r="B181" s="169">
        <v>216269</v>
      </c>
      <c r="C181" s="169">
        <v>159282</v>
      </c>
      <c r="D181" s="169">
        <v>132384.5</v>
      </c>
      <c r="E181" s="154">
        <f>IF(ISERROR(D181/B181)," ",(D181/B181))*100</f>
        <v>61.212887653801516</v>
      </c>
      <c r="F181" s="154">
        <f>IF(ISERROR(D181/C181)," ",(D181/C181))*100</f>
        <v>83.11328335907385</v>
      </c>
      <c r="G181" s="169">
        <f>D181-'[6]Maijs'!D181</f>
        <v>6746.539999999994</v>
      </c>
      <c r="I181" s="167" t="s">
        <v>392</v>
      </c>
      <c r="J181" s="162">
        <f aca="true" t="shared" si="101" ref="J181:L182">ROUND(B181/1000,0)</f>
        <v>216</v>
      </c>
      <c r="K181" s="162">
        <f t="shared" si="101"/>
        <v>159</v>
      </c>
      <c r="L181" s="162">
        <f t="shared" si="101"/>
        <v>132</v>
      </c>
      <c r="M181" s="163">
        <f>L181/J181*100</f>
        <v>61.111111111111114</v>
      </c>
      <c r="N181" s="163">
        <f>L181/K181*100</f>
        <v>83.01886792452831</v>
      </c>
      <c r="O181" s="162">
        <f>ROUND(G181/1000,0)-1</f>
        <v>6</v>
      </c>
      <c r="Q181" s="158">
        <v>132</v>
      </c>
      <c r="R181" s="162">
        <v>126</v>
      </c>
      <c r="S181" s="144">
        <f t="shared" si="82"/>
        <v>6</v>
      </c>
    </row>
    <row r="182" spans="1:19" ht="12.75" customHeight="1">
      <c r="A182" s="167" t="s">
        <v>393</v>
      </c>
      <c r="B182" s="169">
        <v>14000</v>
      </c>
      <c r="C182" s="169">
        <v>14000</v>
      </c>
      <c r="D182" s="169">
        <v>13557.23</v>
      </c>
      <c r="E182" s="154">
        <f>IF(ISERROR(D182/B182)," ",(D182/B182))*100</f>
        <v>96.83735714285714</v>
      </c>
      <c r="F182" s="154">
        <f>IF(ISERROR(D182/C182)," ",(D182/C182))*100</f>
        <v>96.83735714285714</v>
      </c>
      <c r="G182" s="169">
        <f>D182-'[6]Maijs'!D182</f>
        <v>0</v>
      </c>
      <c r="I182" s="167" t="s">
        <v>393</v>
      </c>
      <c r="J182" s="162">
        <f t="shared" si="101"/>
        <v>14</v>
      </c>
      <c r="K182" s="162">
        <f t="shared" si="101"/>
        <v>14</v>
      </c>
      <c r="L182" s="162">
        <f t="shared" si="101"/>
        <v>14</v>
      </c>
      <c r="M182" s="163">
        <f>L182/J182*100</f>
        <v>100</v>
      </c>
      <c r="N182" s="163">
        <f>L182/K182*100</f>
        <v>100</v>
      </c>
      <c r="O182" s="162">
        <f>ROUND(G182/1000,0)</f>
        <v>0</v>
      </c>
      <c r="Q182" s="158">
        <v>14</v>
      </c>
      <c r="R182" s="162">
        <v>14</v>
      </c>
      <c r="S182" s="144">
        <f t="shared" si="82"/>
        <v>0</v>
      </c>
    </row>
    <row r="183" spans="1:19" ht="12.75" customHeight="1">
      <c r="A183" s="170" t="s">
        <v>439</v>
      </c>
      <c r="B183" s="171"/>
      <c r="C183" s="171"/>
      <c r="D183" s="171"/>
      <c r="E183" s="171"/>
      <c r="F183" s="171"/>
      <c r="G183" s="171"/>
      <c r="I183" s="170" t="s">
        <v>440</v>
      </c>
      <c r="J183" s="171"/>
      <c r="K183" s="171"/>
      <c r="L183" s="171"/>
      <c r="M183" s="163"/>
      <c r="N183" s="163"/>
      <c r="O183" s="171"/>
      <c r="Q183" s="158"/>
      <c r="R183" s="171"/>
      <c r="S183" s="144">
        <f t="shared" si="82"/>
        <v>0</v>
      </c>
    </row>
    <row r="184" spans="1:19" ht="12.75" customHeight="1">
      <c r="A184" s="159" t="s">
        <v>386</v>
      </c>
      <c r="B184" s="169">
        <f>SUM(B185)</f>
        <v>51951</v>
      </c>
      <c r="C184" s="171">
        <f>SUM(C185)</f>
        <v>25108</v>
      </c>
      <c r="D184" s="171">
        <f>SUM(D185)</f>
        <v>25108</v>
      </c>
      <c r="E184" s="153">
        <f>IF(ISERROR(D184/B184)," ",(D184/B184))*100</f>
        <v>48.33015726357529</v>
      </c>
      <c r="F184" s="153">
        <f>IF(ISERROR(D184/C184)," ",(D184/C184))*100</f>
        <v>100</v>
      </c>
      <c r="G184" s="171">
        <f>SUM(G185)</f>
        <v>4655</v>
      </c>
      <c r="I184" s="159" t="s">
        <v>386</v>
      </c>
      <c r="J184" s="151">
        <f>J185</f>
        <v>52</v>
      </c>
      <c r="K184" s="151">
        <f>K185</f>
        <v>25</v>
      </c>
      <c r="L184" s="151">
        <f>L185</f>
        <v>25</v>
      </c>
      <c r="M184" s="161">
        <f>L184/J184*100</f>
        <v>48.07692307692308</v>
      </c>
      <c r="N184" s="161">
        <f>L184/K184*100</f>
        <v>100</v>
      </c>
      <c r="O184" s="151">
        <f>O185</f>
        <v>5</v>
      </c>
      <c r="Q184" s="158">
        <v>25</v>
      </c>
      <c r="R184" s="151">
        <v>20</v>
      </c>
      <c r="S184" s="144">
        <f t="shared" si="82"/>
        <v>5</v>
      </c>
    </row>
    <row r="185" spans="1:19" ht="12.75" customHeight="1">
      <c r="A185" s="159" t="s">
        <v>387</v>
      </c>
      <c r="B185" s="169">
        <v>51951</v>
      </c>
      <c r="C185" s="169">
        <v>25108</v>
      </c>
      <c r="D185" s="169">
        <v>25108</v>
      </c>
      <c r="E185" s="154">
        <f>IF(ISERROR(D185/B185)," ",(D185/B185))*100</f>
        <v>48.33015726357529</v>
      </c>
      <c r="F185" s="154">
        <f>IF(ISERROR(D185/C185)," ",(D185/C185))*100</f>
        <v>100</v>
      </c>
      <c r="G185" s="169">
        <f>D185-'[6]Maijs'!D185</f>
        <v>4655</v>
      </c>
      <c r="I185" s="159" t="s">
        <v>387</v>
      </c>
      <c r="J185" s="162">
        <f>ROUND(B185/1000,0)</f>
        <v>52</v>
      </c>
      <c r="K185" s="162">
        <f>ROUND(C185/1000,0)</f>
        <v>25</v>
      </c>
      <c r="L185" s="162">
        <f>ROUND(D185/1000,0)</f>
        <v>25</v>
      </c>
      <c r="M185" s="163">
        <f>L185/J185*100</f>
        <v>48.07692307692308</v>
      </c>
      <c r="N185" s="163">
        <f>L185/K185*100</f>
        <v>100</v>
      </c>
      <c r="O185" s="162">
        <f>ROUND(G185/1000,0)</f>
        <v>5</v>
      </c>
      <c r="Q185" s="158">
        <v>25</v>
      </c>
      <c r="R185" s="162">
        <v>20</v>
      </c>
      <c r="S185" s="144">
        <f t="shared" si="82"/>
        <v>5</v>
      </c>
    </row>
    <row r="186" spans="1:19" ht="12.75" customHeight="1">
      <c r="A186" s="165" t="s">
        <v>391</v>
      </c>
      <c r="B186" s="171">
        <f>SUM(B187)</f>
        <v>51951</v>
      </c>
      <c r="C186" s="171">
        <f>SUM(C187)</f>
        <v>25108</v>
      </c>
      <c r="D186" s="171">
        <f>SUM(D187)</f>
        <v>23998.22</v>
      </c>
      <c r="E186" s="154">
        <f>IF(ISERROR(D186/B186)," ",(D186/B186))*100</f>
        <v>46.19395199322439</v>
      </c>
      <c r="F186" s="154">
        <f>IF(ISERROR(D186/C186)," ",(D186/C186))*100</f>
        <v>95.5799745101163</v>
      </c>
      <c r="G186" s="171">
        <f>SUM(G187)</f>
        <v>6213.5300000000025</v>
      </c>
      <c r="I186" s="165" t="s">
        <v>391</v>
      </c>
      <c r="J186" s="151">
        <f>J187+J188</f>
        <v>52</v>
      </c>
      <c r="K186" s="151">
        <f>K187</f>
        <v>25</v>
      </c>
      <c r="L186" s="151">
        <f>L187</f>
        <v>24</v>
      </c>
      <c r="M186" s="161">
        <f>L186/J186*100</f>
        <v>46.15384615384615</v>
      </c>
      <c r="N186" s="161">
        <f>L186/K186*100</f>
        <v>96</v>
      </c>
      <c r="O186" s="151">
        <f>O187+O188</f>
        <v>6</v>
      </c>
      <c r="Q186" s="158">
        <v>24</v>
      </c>
      <c r="R186" s="151">
        <v>18</v>
      </c>
      <c r="S186" s="144">
        <f t="shared" si="82"/>
        <v>6</v>
      </c>
    </row>
    <row r="187" spans="1:19" ht="12.75" customHeight="1">
      <c r="A187" s="167" t="s">
        <v>392</v>
      </c>
      <c r="B187" s="169">
        <v>51951</v>
      </c>
      <c r="C187" s="169">
        <v>25108</v>
      </c>
      <c r="D187" s="169">
        <v>23998.22</v>
      </c>
      <c r="E187" s="154">
        <f>IF(ISERROR(D187/B187)," ",(D187/B187))*100</f>
        <v>46.19395199322439</v>
      </c>
      <c r="F187" s="154">
        <f>IF(ISERROR(D187/C187)," ",(D187/C187))*100</f>
        <v>95.5799745101163</v>
      </c>
      <c r="G187" s="169">
        <f>D187-'[6]Maijs'!D187</f>
        <v>6213.5300000000025</v>
      </c>
      <c r="I187" s="167" t="s">
        <v>392</v>
      </c>
      <c r="J187" s="162">
        <f>ROUND(B187/1000,0)</f>
        <v>52</v>
      </c>
      <c r="K187" s="162">
        <f>ROUND(C187/1000,0)</f>
        <v>25</v>
      </c>
      <c r="L187" s="162">
        <f>ROUND(D187/1000,0)</f>
        <v>24</v>
      </c>
      <c r="M187" s="163">
        <f>L187/J187*100</f>
        <v>46.15384615384615</v>
      </c>
      <c r="N187" s="163">
        <f>L187/K187*100</f>
        <v>96</v>
      </c>
      <c r="O187" s="162">
        <f>ROUND(G187/1000,0)</f>
        <v>6</v>
      </c>
      <c r="Q187" s="158">
        <v>24</v>
      </c>
      <c r="R187" s="162">
        <v>18</v>
      </c>
      <c r="S187" s="144">
        <f t="shared" si="82"/>
        <v>6</v>
      </c>
    </row>
    <row r="188" spans="1:19" ht="12.75" customHeight="1">
      <c r="A188" s="170" t="s">
        <v>441</v>
      </c>
      <c r="B188" s="171"/>
      <c r="C188" s="171"/>
      <c r="D188" s="171"/>
      <c r="E188" s="171"/>
      <c r="F188" s="171"/>
      <c r="G188" s="171"/>
      <c r="I188" s="170" t="s">
        <v>442</v>
      </c>
      <c r="J188" s="171"/>
      <c r="K188" s="171"/>
      <c r="L188" s="171"/>
      <c r="M188" s="163"/>
      <c r="N188" s="163"/>
      <c r="O188" s="171"/>
      <c r="Q188" s="158"/>
      <c r="R188" s="171"/>
      <c r="S188" s="144">
        <f t="shared" si="82"/>
        <v>0</v>
      </c>
    </row>
    <row r="189" spans="1:19" ht="12.75" customHeight="1">
      <c r="A189" s="159" t="s">
        <v>386</v>
      </c>
      <c r="B189" s="169">
        <f>SUM(B190)</f>
        <v>1643907</v>
      </c>
      <c r="C189" s="171">
        <f>SUM(C190)</f>
        <v>1098117</v>
      </c>
      <c r="D189" s="171">
        <f>SUM(D190)</f>
        <v>1098117</v>
      </c>
      <c r="E189" s="153">
        <f>IF(ISERROR(D189/B189)," ",(D189/B189))*100</f>
        <v>66.7992167440129</v>
      </c>
      <c r="F189" s="153">
        <f>IF(ISERROR(D189/C189)," ",(D189/C189))*100</f>
        <v>100</v>
      </c>
      <c r="G189" s="171">
        <f>SUM(G190)</f>
        <v>91000</v>
      </c>
      <c r="I189" s="159" t="s">
        <v>386</v>
      </c>
      <c r="J189" s="151">
        <f>J190</f>
        <v>1644</v>
      </c>
      <c r="K189" s="151">
        <f>K190</f>
        <v>1098</v>
      </c>
      <c r="L189" s="151">
        <f>L190</f>
        <v>1098</v>
      </c>
      <c r="M189" s="161">
        <f>L189/J189*100</f>
        <v>66.78832116788321</v>
      </c>
      <c r="N189" s="161">
        <f>L189/K189*100</f>
        <v>100</v>
      </c>
      <c r="O189" s="151">
        <f>O190</f>
        <v>91</v>
      </c>
      <c r="Q189" s="158">
        <v>1098</v>
      </c>
      <c r="R189" s="151">
        <v>1007</v>
      </c>
      <c r="S189" s="144">
        <f t="shared" si="82"/>
        <v>91</v>
      </c>
    </row>
    <row r="190" spans="1:19" ht="12.75" customHeight="1">
      <c r="A190" s="159" t="s">
        <v>387</v>
      </c>
      <c r="B190" s="169">
        <v>1643907</v>
      </c>
      <c r="C190" s="169">
        <v>1098117</v>
      </c>
      <c r="D190" s="169">
        <v>1098117</v>
      </c>
      <c r="E190" s="154">
        <f>IF(ISERROR(D190/B190)," ",(D190/B190))*100</f>
        <v>66.7992167440129</v>
      </c>
      <c r="F190" s="154">
        <f>IF(ISERROR(D190/C190)," ",(D190/C190))*100</f>
        <v>100</v>
      </c>
      <c r="G190" s="169">
        <f>D190-'[6]Maijs'!D190</f>
        <v>91000</v>
      </c>
      <c r="I190" s="159" t="s">
        <v>387</v>
      </c>
      <c r="J190" s="162">
        <f>ROUND(B190/1000,0)</f>
        <v>1644</v>
      </c>
      <c r="K190" s="162">
        <f>ROUND(C190/1000,0)</f>
        <v>1098</v>
      </c>
      <c r="L190" s="162">
        <f>ROUND(D190/1000,0)</f>
        <v>1098</v>
      </c>
      <c r="M190" s="163">
        <f>L190/J190*100</f>
        <v>66.78832116788321</v>
      </c>
      <c r="N190" s="163">
        <f>L190/K190*100</f>
        <v>100</v>
      </c>
      <c r="O190" s="162">
        <f>ROUND(G190/1000,0)</f>
        <v>91</v>
      </c>
      <c r="Q190" s="158">
        <v>1098</v>
      </c>
      <c r="R190" s="162">
        <v>1007</v>
      </c>
      <c r="S190" s="144">
        <f t="shared" si="82"/>
        <v>91</v>
      </c>
    </row>
    <row r="191" spans="1:19" ht="12.75" customHeight="1">
      <c r="A191" s="165" t="s">
        <v>391</v>
      </c>
      <c r="B191" s="171">
        <f>SUM(B192)</f>
        <v>1643907</v>
      </c>
      <c r="C191" s="171">
        <f>SUM(C192)</f>
        <v>1098117</v>
      </c>
      <c r="D191" s="171">
        <f>SUM(D192)</f>
        <v>545790</v>
      </c>
      <c r="E191" s="154">
        <f>IF(ISERROR(D191/B191)," ",(D191/B191))*100</f>
        <v>33.20078325598711</v>
      </c>
      <c r="F191" s="154">
        <f>IF(ISERROR(D191/C191)," ",(D191/C191))*100</f>
        <v>49.70235412073577</v>
      </c>
      <c r="G191" s="171">
        <f>SUM(G192)</f>
        <v>91000</v>
      </c>
      <c r="I191" s="165" t="s">
        <v>391</v>
      </c>
      <c r="J191" s="151">
        <f>J192+J193</f>
        <v>1644</v>
      </c>
      <c r="K191" s="151">
        <f>K192</f>
        <v>1098</v>
      </c>
      <c r="L191" s="151">
        <f>L192</f>
        <v>546</v>
      </c>
      <c r="M191" s="161">
        <f>L191/J191*100</f>
        <v>33.21167883211679</v>
      </c>
      <c r="N191" s="161">
        <f>L191/K191*100</f>
        <v>49.72677595628415</v>
      </c>
      <c r="O191" s="151">
        <f>O192+O193</f>
        <v>91</v>
      </c>
      <c r="Q191" s="158">
        <v>546</v>
      </c>
      <c r="R191" s="151">
        <v>455</v>
      </c>
      <c r="S191" s="144">
        <f t="shared" si="82"/>
        <v>91</v>
      </c>
    </row>
    <row r="192" spans="1:19" ht="12.75" customHeight="1">
      <c r="A192" s="167" t="s">
        <v>392</v>
      </c>
      <c r="B192" s="169">
        <v>1643907</v>
      </c>
      <c r="C192" s="169">
        <v>1098117</v>
      </c>
      <c r="D192" s="169">
        <v>545790</v>
      </c>
      <c r="E192" s="154">
        <f>IF(ISERROR(D192/B192)," ",(D192/B192))*100</f>
        <v>33.20078325598711</v>
      </c>
      <c r="F192" s="154">
        <f>IF(ISERROR(D192/C192)," ",(D192/C192))*100</f>
        <v>49.70235412073577</v>
      </c>
      <c r="G192" s="169">
        <f>D192-'[6]Maijs'!D192</f>
        <v>91000</v>
      </c>
      <c r="I192" s="167" t="s">
        <v>392</v>
      </c>
      <c r="J192" s="162">
        <f>ROUND(B192/1000,0)</f>
        <v>1644</v>
      </c>
      <c r="K192" s="162">
        <f>ROUND(C192/1000,0)</f>
        <v>1098</v>
      </c>
      <c r="L192" s="162">
        <f>ROUND(D192/1000,0)</f>
        <v>546</v>
      </c>
      <c r="M192" s="163">
        <f>L192/J192*100</f>
        <v>33.21167883211679</v>
      </c>
      <c r="N192" s="163">
        <f>L192/K192*100</f>
        <v>49.72677595628415</v>
      </c>
      <c r="O192" s="162">
        <f>ROUND(G192/1000,0)</f>
        <v>91</v>
      </c>
      <c r="Q192" s="158">
        <v>546</v>
      </c>
      <c r="R192" s="162">
        <v>455</v>
      </c>
      <c r="S192" s="144">
        <f t="shared" si="82"/>
        <v>91</v>
      </c>
    </row>
    <row r="193" spans="1:19" ht="12.75" customHeight="1">
      <c r="A193" s="165" t="s">
        <v>443</v>
      </c>
      <c r="B193" s="171"/>
      <c r="C193" s="171"/>
      <c r="D193" s="171"/>
      <c r="E193" s="171"/>
      <c r="F193" s="171"/>
      <c r="G193" s="171"/>
      <c r="I193" s="165" t="s">
        <v>444</v>
      </c>
      <c r="J193" s="171"/>
      <c r="K193" s="171"/>
      <c r="L193" s="171"/>
      <c r="M193" s="163"/>
      <c r="N193" s="163"/>
      <c r="O193" s="171"/>
      <c r="Q193" s="158"/>
      <c r="R193" s="171"/>
      <c r="S193" s="144">
        <f t="shared" si="82"/>
        <v>0</v>
      </c>
    </row>
    <row r="194" spans="1:19" ht="12.75" customHeight="1">
      <c r="A194" s="159" t="s">
        <v>386</v>
      </c>
      <c r="B194" s="169">
        <f>SUM(B195:B196)</f>
        <v>6767466</v>
      </c>
      <c r="C194" s="171">
        <f>SUM(C195:C196)</f>
        <v>3380634</v>
      </c>
      <c r="D194" s="171">
        <f>SUM(D195:D196)</f>
        <v>3382604</v>
      </c>
      <c r="E194" s="153">
        <f aca="true" t="shared" si="102" ref="E194:E199">IF(ISERROR(D194/B194)," ",(D194/B194))*100</f>
        <v>49.983317241638154</v>
      </c>
      <c r="F194" s="153">
        <f>IF(ISERROR(D194/C194)," ",(D194/C194))*100</f>
        <v>100.05827309315353</v>
      </c>
      <c r="G194" s="171">
        <f>SUM(G195:G196)</f>
        <v>557968</v>
      </c>
      <c r="I194" s="159" t="s">
        <v>386</v>
      </c>
      <c r="J194" s="151">
        <f>J195+J196</f>
        <v>6768</v>
      </c>
      <c r="K194" s="151">
        <f>K195+K196</f>
        <v>3380</v>
      </c>
      <c r="L194" s="151">
        <f>L195+L196</f>
        <v>3382</v>
      </c>
      <c r="M194" s="161">
        <f aca="true" t="shared" si="103" ref="M194:M199">L194/J194*100</f>
        <v>49.97044917257683</v>
      </c>
      <c r="N194" s="161">
        <f>L194/K194*100</f>
        <v>100.05917159763314</v>
      </c>
      <c r="O194" s="151">
        <f>O195+O196</f>
        <v>558</v>
      </c>
      <c r="Q194" s="158">
        <v>3382</v>
      </c>
      <c r="R194" s="151">
        <v>2824</v>
      </c>
      <c r="S194" s="144">
        <f t="shared" si="82"/>
        <v>558</v>
      </c>
    </row>
    <row r="195" spans="1:19" ht="12.75" customHeight="1">
      <c r="A195" s="159" t="s">
        <v>387</v>
      </c>
      <c r="B195" s="169">
        <v>6765626</v>
      </c>
      <c r="C195" s="169">
        <v>3380434</v>
      </c>
      <c r="D195" s="169">
        <v>3380434</v>
      </c>
      <c r="E195" s="154">
        <f t="shared" si="102"/>
        <v>49.96483695669846</v>
      </c>
      <c r="F195" s="154">
        <f>IF(ISERROR(D195/C195)," ",(D195/C195))*100</f>
        <v>100</v>
      </c>
      <c r="G195" s="169">
        <f>D195-'[6]Maijs'!D195</f>
        <v>557968</v>
      </c>
      <c r="I195" s="159" t="s">
        <v>387</v>
      </c>
      <c r="J195" s="162">
        <f>ROUND(B195/1000,0)</f>
        <v>6766</v>
      </c>
      <c r="K195" s="162">
        <f>ROUND(C195/1000,0)</f>
        <v>3380</v>
      </c>
      <c r="L195" s="162">
        <f>ROUND(D195/1000,0)</f>
        <v>3380</v>
      </c>
      <c r="M195" s="163">
        <f t="shared" si="103"/>
        <v>49.95566065622229</v>
      </c>
      <c r="N195" s="163">
        <f>L195/K195*100</f>
        <v>100</v>
      </c>
      <c r="O195" s="162">
        <f>ROUND(G195/1000,0)</f>
        <v>558</v>
      </c>
      <c r="Q195" s="158">
        <v>3380</v>
      </c>
      <c r="R195" s="162">
        <v>2822</v>
      </c>
      <c r="S195" s="144">
        <f t="shared" si="82"/>
        <v>558</v>
      </c>
    </row>
    <row r="196" spans="1:19" ht="12.75" customHeight="1">
      <c r="A196" s="159" t="s">
        <v>389</v>
      </c>
      <c r="B196" s="169">
        <v>1840</v>
      </c>
      <c r="C196" s="169">
        <v>200</v>
      </c>
      <c r="D196" s="169">
        <v>2170</v>
      </c>
      <c r="E196" s="154">
        <f t="shared" si="102"/>
        <v>117.93478260869566</v>
      </c>
      <c r="F196" s="154"/>
      <c r="G196" s="169">
        <f>D196-'[6]Maijs'!D196</f>
        <v>0</v>
      </c>
      <c r="I196" s="159" t="s">
        <v>389</v>
      </c>
      <c r="J196" s="162">
        <f>ROUND(B196/1000,0)</f>
        <v>2</v>
      </c>
      <c r="K196" s="162"/>
      <c r="L196" s="162">
        <f>ROUND(D196/1000,0)</f>
        <v>2</v>
      </c>
      <c r="M196" s="163">
        <f t="shared" si="103"/>
        <v>100</v>
      </c>
      <c r="N196" s="163"/>
      <c r="O196" s="162"/>
      <c r="Q196" s="158">
        <v>2</v>
      </c>
      <c r="R196" s="162">
        <v>2</v>
      </c>
      <c r="S196" s="144">
        <f t="shared" si="82"/>
        <v>0</v>
      </c>
    </row>
    <row r="197" spans="1:19" ht="12.75" customHeight="1">
      <c r="A197" s="165" t="s">
        <v>391</v>
      </c>
      <c r="B197" s="171">
        <f>SUM(B198:B199)</f>
        <v>6767466</v>
      </c>
      <c r="C197" s="171">
        <f>SUM(C198:C199)</f>
        <v>3380634</v>
      </c>
      <c r="D197" s="171">
        <f>SUM(D198:D199)</f>
        <v>3362111.57</v>
      </c>
      <c r="E197" s="154">
        <f t="shared" si="102"/>
        <v>49.68050921866471</v>
      </c>
      <c r="F197" s="154">
        <f>IF(ISERROR(D197/C197)," ",(D197/C197))*100</f>
        <v>99.45210188384782</v>
      </c>
      <c r="G197" s="171">
        <f>SUM(G198:G199)</f>
        <v>567344.27</v>
      </c>
      <c r="H197" s="173"/>
      <c r="I197" s="165" t="s">
        <v>391</v>
      </c>
      <c r="J197" s="151">
        <f>J198+J199</f>
        <v>6767</v>
      </c>
      <c r="K197" s="151">
        <f>K198+K199</f>
        <v>3381</v>
      </c>
      <c r="L197" s="151">
        <f>L198+L199</f>
        <v>3362</v>
      </c>
      <c r="M197" s="161">
        <f t="shared" si="103"/>
        <v>49.68228166100192</v>
      </c>
      <c r="N197" s="161">
        <f>L197/K197*100</f>
        <v>99.43803608399881</v>
      </c>
      <c r="O197" s="151">
        <f>O198+O199</f>
        <v>567</v>
      </c>
      <c r="Q197" s="158">
        <v>3362</v>
      </c>
      <c r="R197" s="151">
        <v>2795</v>
      </c>
      <c r="S197" s="144">
        <f t="shared" si="82"/>
        <v>567</v>
      </c>
    </row>
    <row r="198" spans="1:19" ht="12.75" customHeight="1">
      <c r="A198" s="167" t="s">
        <v>392</v>
      </c>
      <c r="B198" s="169">
        <v>6575466</v>
      </c>
      <c r="C198" s="169">
        <v>3314634</v>
      </c>
      <c r="D198" s="169">
        <v>3296300.06</v>
      </c>
      <c r="E198" s="154">
        <f t="shared" si="102"/>
        <v>50.130288256376055</v>
      </c>
      <c r="F198" s="154">
        <f>IF(ISERROR(D198/C198)," ",(D198/C198))*100</f>
        <v>99.44687890126029</v>
      </c>
      <c r="G198" s="169">
        <f>D198-'[6]Maijs'!D198</f>
        <v>567344.27</v>
      </c>
      <c r="I198" s="167" t="s">
        <v>392</v>
      </c>
      <c r="J198" s="162">
        <f aca="true" t="shared" si="104" ref="J198:L199">ROUND(B198/1000,0)</f>
        <v>6575</v>
      </c>
      <c r="K198" s="162">
        <f t="shared" si="104"/>
        <v>3315</v>
      </c>
      <c r="L198" s="162">
        <f t="shared" si="104"/>
        <v>3296</v>
      </c>
      <c r="M198" s="163">
        <f t="shared" si="103"/>
        <v>50.12927756653992</v>
      </c>
      <c r="N198" s="163">
        <f>L198/K198*100</f>
        <v>99.42684766214178</v>
      </c>
      <c r="O198" s="162">
        <f>ROUND(G198/1000,0)</f>
        <v>567</v>
      </c>
      <c r="Q198" s="158">
        <v>3296</v>
      </c>
      <c r="R198" s="162">
        <v>2729</v>
      </c>
      <c r="S198" s="144">
        <f t="shared" si="82"/>
        <v>567</v>
      </c>
    </row>
    <row r="199" spans="1:19" ht="12.75" customHeight="1">
      <c r="A199" s="167" t="s">
        <v>393</v>
      </c>
      <c r="B199" s="169">
        <v>192000</v>
      </c>
      <c r="C199" s="169">
        <v>66000</v>
      </c>
      <c r="D199" s="169">
        <v>65811.51</v>
      </c>
      <c r="E199" s="154">
        <f t="shared" si="102"/>
        <v>34.276828124999994</v>
      </c>
      <c r="F199" s="154">
        <f>IF(ISERROR(D199/C199)," ",(D199/C199))*100</f>
        <v>99.71440909090909</v>
      </c>
      <c r="G199" s="169">
        <f>D199-'[6]Maijs'!D199</f>
        <v>0</v>
      </c>
      <c r="I199" s="167" t="s">
        <v>393</v>
      </c>
      <c r="J199" s="162">
        <f t="shared" si="104"/>
        <v>192</v>
      </c>
      <c r="K199" s="162">
        <f t="shared" si="104"/>
        <v>66</v>
      </c>
      <c r="L199" s="162">
        <f t="shared" si="104"/>
        <v>66</v>
      </c>
      <c r="M199" s="163">
        <f t="shared" si="103"/>
        <v>34.375</v>
      </c>
      <c r="N199" s="163">
        <f>L199/K199*100</f>
        <v>100</v>
      </c>
      <c r="O199" s="162">
        <f>ROUND(G199/1000,0)</f>
        <v>0</v>
      </c>
      <c r="Q199" s="158">
        <v>66</v>
      </c>
      <c r="R199" s="162">
        <v>66</v>
      </c>
      <c r="S199" s="144">
        <f t="shared" si="82"/>
        <v>0</v>
      </c>
    </row>
    <row r="200" spans="1:19" ht="12.75" customHeight="1">
      <c r="A200" s="170" t="s">
        <v>445</v>
      </c>
      <c r="B200" s="169"/>
      <c r="C200" s="169"/>
      <c r="D200" s="169"/>
      <c r="E200" s="169"/>
      <c r="F200" s="169"/>
      <c r="G200" s="169"/>
      <c r="I200" s="170" t="s">
        <v>446</v>
      </c>
      <c r="J200" s="169"/>
      <c r="K200" s="169"/>
      <c r="L200" s="169"/>
      <c r="M200" s="163"/>
      <c r="N200" s="163"/>
      <c r="O200" s="169"/>
      <c r="Q200" s="158"/>
      <c r="R200" s="169"/>
      <c r="S200" s="144">
        <f t="shared" si="82"/>
        <v>0</v>
      </c>
    </row>
    <row r="201" spans="1:19" ht="12.75" customHeight="1">
      <c r="A201" s="159" t="s">
        <v>386</v>
      </c>
      <c r="B201" s="169">
        <f>SUM(B202)</f>
        <v>96191</v>
      </c>
      <c r="C201" s="171">
        <f>SUM(C202)</f>
        <v>48095</v>
      </c>
      <c r="D201" s="171">
        <f>SUM(D202)</f>
        <v>48095</v>
      </c>
      <c r="E201" s="153">
        <f>IF(ISERROR(D201/B201)," ",(D201/B201))*100</f>
        <v>49.99948020085039</v>
      </c>
      <c r="F201" s="153">
        <f>IF(ISERROR(D201/C201)," ",(D201/C201))*100</f>
        <v>100</v>
      </c>
      <c r="G201" s="171">
        <f>SUM(G202)</f>
        <v>8016</v>
      </c>
      <c r="I201" s="159" t="s">
        <v>386</v>
      </c>
      <c r="J201" s="151">
        <f>J202</f>
        <v>96</v>
      </c>
      <c r="K201" s="151">
        <f>K202</f>
        <v>48</v>
      </c>
      <c r="L201" s="151">
        <f>L202</f>
        <v>48</v>
      </c>
      <c r="M201" s="161">
        <f>L201/J201*100</f>
        <v>50</v>
      </c>
      <c r="N201" s="161">
        <f>L201/K201*100</f>
        <v>100</v>
      </c>
      <c r="O201" s="151">
        <f>O202</f>
        <v>8</v>
      </c>
      <c r="Q201" s="158">
        <v>48</v>
      </c>
      <c r="R201" s="151">
        <v>40</v>
      </c>
      <c r="S201" s="144">
        <f t="shared" si="82"/>
        <v>8</v>
      </c>
    </row>
    <row r="202" spans="1:19" ht="12.75" customHeight="1">
      <c r="A202" s="159" t="s">
        <v>387</v>
      </c>
      <c r="B202" s="169">
        <v>96191</v>
      </c>
      <c r="C202" s="169">
        <v>48095</v>
      </c>
      <c r="D202" s="169">
        <v>48095</v>
      </c>
      <c r="E202" s="154">
        <f>IF(ISERROR(D202/B202)," ",(D202/B202))*100</f>
        <v>49.99948020085039</v>
      </c>
      <c r="F202" s="154">
        <f>IF(ISERROR(D202/C202)," ",(D202/C202))*100</f>
        <v>100</v>
      </c>
      <c r="G202" s="169">
        <f>D202-'[6]Maijs'!D202</f>
        <v>8016</v>
      </c>
      <c r="I202" s="159" t="s">
        <v>387</v>
      </c>
      <c r="J202" s="162">
        <f>ROUND(B202/1000,0)</f>
        <v>96</v>
      </c>
      <c r="K202" s="162">
        <f>ROUND(C202/1000,0)</f>
        <v>48</v>
      </c>
      <c r="L202" s="162">
        <f>ROUND(D202/1000,0)</f>
        <v>48</v>
      </c>
      <c r="M202" s="163">
        <f>L202/J202*100</f>
        <v>50</v>
      </c>
      <c r="N202" s="163">
        <f>L202/K202*100</f>
        <v>100</v>
      </c>
      <c r="O202" s="162">
        <f>ROUND(G202/1000,0)</f>
        <v>8</v>
      </c>
      <c r="Q202" s="158">
        <v>48</v>
      </c>
      <c r="R202" s="162">
        <v>40</v>
      </c>
      <c r="S202" s="144">
        <f aca="true" t="shared" si="105" ref="S202:S238">Q202-R202</f>
        <v>8</v>
      </c>
    </row>
    <row r="203" spans="1:19" ht="12.75" customHeight="1">
      <c r="A203" s="165" t="s">
        <v>391</v>
      </c>
      <c r="B203" s="171">
        <f>SUM(B204)</f>
        <v>96191</v>
      </c>
      <c r="C203" s="171">
        <f>SUM(C204)</f>
        <v>48095</v>
      </c>
      <c r="D203" s="171">
        <f>SUM(D204)</f>
        <v>48095</v>
      </c>
      <c r="E203" s="154">
        <f>IF(ISERROR(D203/B203)," ",(D203/B203))*100</f>
        <v>49.99948020085039</v>
      </c>
      <c r="F203" s="154">
        <f>IF(ISERROR(D203/C203)," ",(D203/C203))*100</f>
        <v>100</v>
      </c>
      <c r="G203" s="171">
        <f>SUM(G204)</f>
        <v>8016</v>
      </c>
      <c r="I203" s="165" t="s">
        <v>391</v>
      </c>
      <c r="J203" s="151">
        <f>J204+J205</f>
        <v>96</v>
      </c>
      <c r="K203" s="151">
        <f>K204</f>
        <v>48</v>
      </c>
      <c r="L203" s="151">
        <f>L204</f>
        <v>48</v>
      </c>
      <c r="M203" s="161">
        <f>L203/J203*100</f>
        <v>50</v>
      </c>
      <c r="N203" s="161">
        <f>L203/K203*100</f>
        <v>100</v>
      </c>
      <c r="O203" s="151">
        <f>O204+O205</f>
        <v>8</v>
      </c>
      <c r="Q203" s="158">
        <v>48</v>
      </c>
      <c r="R203" s="151">
        <v>40</v>
      </c>
      <c r="S203" s="144">
        <f t="shared" si="105"/>
        <v>8</v>
      </c>
    </row>
    <row r="204" spans="1:19" ht="12.75" customHeight="1">
      <c r="A204" s="167" t="s">
        <v>392</v>
      </c>
      <c r="B204" s="169">
        <v>96191</v>
      </c>
      <c r="C204" s="169">
        <v>48095</v>
      </c>
      <c r="D204" s="169">
        <v>48095</v>
      </c>
      <c r="E204" s="154">
        <f>IF(ISERROR(D204/B204)," ",(D204/B204))*100</f>
        <v>49.99948020085039</v>
      </c>
      <c r="F204" s="154">
        <f>IF(ISERROR(D204/C204)," ",(D204/C204))*100</f>
        <v>100</v>
      </c>
      <c r="G204" s="169">
        <f>D204-'[6]Maijs'!D204</f>
        <v>8016</v>
      </c>
      <c r="I204" s="167" t="s">
        <v>392</v>
      </c>
      <c r="J204" s="162">
        <f>ROUND(B204/1000,0)</f>
        <v>96</v>
      </c>
      <c r="K204" s="162">
        <f>ROUND(C204/1000,0)</f>
        <v>48</v>
      </c>
      <c r="L204" s="162">
        <f>ROUND(D204/1000,0)</f>
        <v>48</v>
      </c>
      <c r="M204" s="163">
        <f>L204/J204*100</f>
        <v>50</v>
      </c>
      <c r="N204" s="163">
        <f>L204/K204*100</f>
        <v>100</v>
      </c>
      <c r="O204" s="162">
        <f>ROUND(G204/1000,0)</f>
        <v>8</v>
      </c>
      <c r="Q204" s="158">
        <v>48</v>
      </c>
      <c r="R204" s="162">
        <v>40</v>
      </c>
      <c r="S204" s="144">
        <f t="shared" si="105"/>
        <v>8</v>
      </c>
    </row>
    <row r="205" spans="1:19" ht="37.5" customHeight="1">
      <c r="A205" s="170" t="s">
        <v>447</v>
      </c>
      <c r="B205" s="169"/>
      <c r="C205" s="169"/>
      <c r="D205" s="169"/>
      <c r="E205" s="169"/>
      <c r="F205" s="169"/>
      <c r="G205" s="169"/>
      <c r="I205" s="170" t="s">
        <v>448</v>
      </c>
      <c r="J205" s="169"/>
      <c r="K205" s="169"/>
      <c r="L205" s="169"/>
      <c r="M205" s="163"/>
      <c r="N205" s="163"/>
      <c r="O205" s="169"/>
      <c r="Q205" s="158"/>
      <c r="R205" s="169"/>
      <c r="S205" s="144">
        <f t="shared" si="105"/>
        <v>0</v>
      </c>
    </row>
    <row r="206" spans="1:19" ht="12.75" customHeight="1">
      <c r="A206" s="159" t="s">
        <v>386</v>
      </c>
      <c r="B206" s="169">
        <f>SUM(B207:B209)</f>
        <v>4230216</v>
      </c>
      <c r="C206" s="171">
        <f>SUM(C207:C209)</f>
        <v>1495859</v>
      </c>
      <c r="D206" s="171">
        <f>SUM(D207:D209)</f>
        <v>829835.1699999999</v>
      </c>
      <c r="E206" s="153">
        <f>IF(ISERROR(D206/B206)," ",(D206/B206))*100</f>
        <v>19.61685100713533</v>
      </c>
      <c r="F206" s="153">
        <f>IF(ISERROR(D206/C206)," ",(D206/C206))*100</f>
        <v>55.47549401380745</v>
      </c>
      <c r="G206" s="171">
        <f>SUM(G207:G209)</f>
        <v>119831.21999999997</v>
      </c>
      <c r="I206" s="159" t="s">
        <v>386</v>
      </c>
      <c r="J206" s="151">
        <f>J207+J208+J209</f>
        <v>4231</v>
      </c>
      <c r="K206" s="151">
        <f>K207+K208+K209</f>
        <v>1496</v>
      </c>
      <c r="L206" s="151">
        <f>L207+L208+L209</f>
        <v>830</v>
      </c>
      <c r="M206" s="161">
        <f>L206/J206*100</f>
        <v>19.61711179390215</v>
      </c>
      <c r="N206" s="161">
        <f>L206/K206*100</f>
        <v>55.481283422459896</v>
      </c>
      <c r="O206" s="151">
        <f>O207+O208++O209</f>
        <v>120</v>
      </c>
      <c r="Q206" s="158">
        <v>830</v>
      </c>
      <c r="R206" s="151">
        <v>710</v>
      </c>
      <c r="S206" s="144">
        <f t="shared" si="105"/>
        <v>120</v>
      </c>
    </row>
    <row r="207" spans="1:19" ht="12" customHeight="1">
      <c r="A207" s="159" t="s">
        <v>387</v>
      </c>
      <c r="B207" s="169">
        <v>842659</v>
      </c>
      <c r="C207" s="169">
        <v>348952</v>
      </c>
      <c r="D207" s="169">
        <v>348952</v>
      </c>
      <c r="E207" s="154">
        <f>IF(ISERROR(D207/B207)," ",(D207/B207))*100</f>
        <v>41.4108197978067</v>
      </c>
      <c r="F207" s="154">
        <f>IF(ISERROR(D207/C207)," ",(D207/C207))*100</f>
        <v>100</v>
      </c>
      <c r="G207" s="169">
        <f>D207-'[6]Maijs'!D207</f>
        <v>94594</v>
      </c>
      <c r="I207" s="159" t="s">
        <v>387</v>
      </c>
      <c r="J207" s="162">
        <f>ROUND(B207/1000,0)</f>
        <v>843</v>
      </c>
      <c r="K207" s="162">
        <f>ROUND(C207/1000,0)</f>
        <v>349</v>
      </c>
      <c r="L207" s="162">
        <f>ROUND(D207/1000,0)</f>
        <v>349</v>
      </c>
      <c r="M207" s="163">
        <f>L207/J207*100</f>
        <v>41.39976275207592</v>
      </c>
      <c r="N207" s="163">
        <f>L207/K207*100</f>
        <v>100</v>
      </c>
      <c r="O207" s="162">
        <f>ROUND(G207/1000,0)</f>
        <v>95</v>
      </c>
      <c r="Q207" s="158">
        <v>349</v>
      </c>
      <c r="R207" s="162">
        <v>254</v>
      </c>
      <c r="S207" s="144">
        <f t="shared" si="105"/>
        <v>95</v>
      </c>
    </row>
    <row r="208" spans="1:19" ht="12.75" customHeight="1" hidden="1">
      <c r="A208" s="159" t="s">
        <v>389</v>
      </c>
      <c r="B208" s="169"/>
      <c r="C208" s="169"/>
      <c r="D208" s="169"/>
      <c r="E208" s="154"/>
      <c r="F208" s="154"/>
      <c r="G208" s="169">
        <f>D208-'[6]Maijs'!D208</f>
        <v>0</v>
      </c>
      <c r="I208" s="159"/>
      <c r="J208" s="162"/>
      <c r="K208" s="162"/>
      <c r="L208" s="162"/>
      <c r="M208" s="163"/>
      <c r="N208" s="163"/>
      <c r="O208" s="162"/>
      <c r="Q208" s="158"/>
      <c r="R208" s="162"/>
      <c r="S208" s="144">
        <f t="shared" si="105"/>
        <v>0</v>
      </c>
    </row>
    <row r="209" spans="1:19" ht="12.75" customHeight="1">
      <c r="A209" s="159" t="s">
        <v>390</v>
      </c>
      <c r="B209" s="169">
        <v>3387557</v>
      </c>
      <c r="C209" s="169">
        <v>1146907</v>
      </c>
      <c r="D209" s="169">
        <v>480883.17</v>
      </c>
      <c r="E209" s="154">
        <f>IF(ISERROR(D209/B209)," ",(D209/B209))*100</f>
        <v>14.19557427373178</v>
      </c>
      <c r="F209" s="154">
        <f>IF(ISERROR(D209/C209)," ",(D209/C209))*100</f>
        <v>41.928697793282275</v>
      </c>
      <c r="G209" s="169">
        <f>D209-'[6]Maijs'!D209</f>
        <v>25237.219999999972</v>
      </c>
      <c r="I209" s="159" t="s">
        <v>390</v>
      </c>
      <c r="J209" s="162">
        <f>ROUND(B209/1000,0)</f>
        <v>3388</v>
      </c>
      <c r="K209" s="162">
        <f>ROUND(C209/1000,0)</f>
        <v>1147</v>
      </c>
      <c r="L209" s="162">
        <f>ROUND(D209/1000,0)</f>
        <v>481</v>
      </c>
      <c r="M209" s="163">
        <f>L209/J209*100</f>
        <v>14.197166469893743</v>
      </c>
      <c r="N209" s="163">
        <f>L209/K209*100</f>
        <v>41.935483870967744</v>
      </c>
      <c r="O209" s="162">
        <f>ROUND(G209/1000,0)</f>
        <v>25</v>
      </c>
      <c r="Q209" s="158">
        <v>481</v>
      </c>
      <c r="R209" s="162">
        <v>456</v>
      </c>
      <c r="S209" s="144">
        <f t="shared" si="105"/>
        <v>25</v>
      </c>
    </row>
    <row r="210" spans="1:19" ht="12.75" customHeight="1">
      <c r="A210" s="165" t="s">
        <v>391</v>
      </c>
      <c r="B210" s="171">
        <f>SUM(B211:B212)</f>
        <v>4231216</v>
      </c>
      <c r="C210" s="171">
        <f>SUM(C211:C212)</f>
        <v>1495859</v>
      </c>
      <c r="D210" s="171">
        <f>SUM(D211:D212)</f>
        <v>726683.17</v>
      </c>
      <c r="E210" s="154">
        <f>IF(ISERROR(D210/B210)," ",(D210/B210))*100</f>
        <v>17.174334044870317</v>
      </c>
      <c r="F210" s="154">
        <f>IF(ISERROR(D210/C210)," ",(D210/C210))*100</f>
        <v>48.579656906165624</v>
      </c>
      <c r="G210" s="171">
        <f>SUM(G211:G212)</f>
        <v>68720.64000000001</v>
      </c>
      <c r="I210" s="165" t="s">
        <v>391</v>
      </c>
      <c r="J210" s="151">
        <f>J211+J212</f>
        <v>4231</v>
      </c>
      <c r="K210" s="151">
        <f>K211+K212</f>
        <v>1496</v>
      </c>
      <c r="L210" s="151">
        <f>L211+L212</f>
        <v>727</v>
      </c>
      <c r="M210" s="161">
        <f>L210/J210*100</f>
        <v>17.182699125502246</v>
      </c>
      <c r="N210" s="161">
        <f>L210/K210*100</f>
        <v>48.596256684491976</v>
      </c>
      <c r="O210" s="151">
        <f>O211+O212</f>
        <v>69</v>
      </c>
      <c r="Q210" s="158">
        <v>727</v>
      </c>
      <c r="R210" s="151">
        <v>658</v>
      </c>
      <c r="S210" s="144">
        <f t="shared" si="105"/>
        <v>69</v>
      </c>
    </row>
    <row r="211" spans="1:19" ht="12">
      <c r="A211" s="167" t="s">
        <v>392</v>
      </c>
      <c r="B211" s="169">
        <v>3006966</v>
      </c>
      <c r="C211" s="169">
        <v>1495859</v>
      </c>
      <c r="D211" s="169">
        <v>726683.17</v>
      </c>
      <c r="E211" s="154">
        <f>IF(ISERROR(D211/B211)," ",(D211/B211))*100</f>
        <v>24.166657354955127</v>
      </c>
      <c r="F211" s="154">
        <f>IF(ISERROR(D211/C211)," ",(D211/C211))*100</f>
        <v>48.579656906165624</v>
      </c>
      <c r="G211" s="169">
        <f>D211-'[6]Maijs'!D211</f>
        <v>68720.64000000001</v>
      </c>
      <c r="I211" s="167" t="s">
        <v>392</v>
      </c>
      <c r="J211" s="162">
        <f>ROUND(B211/1000,0)</f>
        <v>3007</v>
      </c>
      <c r="K211" s="162">
        <f>ROUND(C211/1000,0)</f>
        <v>1496</v>
      </c>
      <c r="L211" s="162">
        <f>ROUND(D211/1000,0)</f>
        <v>727</v>
      </c>
      <c r="M211" s="163">
        <f>L211/J211*100</f>
        <v>24.17692051878949</v>
      </c>
      <c r="N211" s="163">
        <f>L211/K211*100</f>
        <v>48.596256684491976</v>
      </c>
      <c r="O211" s="162">
        <f>ROUND(G211/1000,0)</f>
        <v>69</v>
      </c>
      <c r="Q211" s="158">
        <v>727</v>
      </c>
      <c r="R211" s="162">
        <v>658</v>
      </c>
      <c r="S211" s="144">
        <f t="shared" si="105"/>
        <v>69</v>
      </c>
    </row>
    <row r="212" spans="1:19" ht="12">
      <c r="A212" s="167" t="s">
        <v>393</v>
      </c>
      <c r="B212" s="169">
        <v>1224250</v>
      </c>
      <c r="C212" s="169"/>
      <c r="D212" s="169"/>
      <c r="E212" s="154"/>
      <c r="F212" s="154"/>
      <c r="G212" s="169"/>
      <c r="I212" s="167" t="s">
        <v>393</v>
      </c>
      <c r="J212" s="162">
        <f>ROUND(B212/1000,0)</f>
        <v>1224</v>
      </c>
      <c r="K212" s="162"/>
      <c r="L212" s="162"/>
      <c r="M212" s="163"/>
      <c r="N212" s="163"/>
      <c r="O212" s="162"/>
      <c r="Q212" s="158"/>
      <c r="R212" s="162"/>
      <c r="S212" s="144">
        <f t="shared" si="105"/>
        <v>0</v>
      </c>
    </row>
    <row r="213" spans="1:19" ht="25.5" customHeight="1">
      <c r="A213" s="170" t="s">
        <v>449</v>
      </c>
      <c r="B213" s="171"/>
      <c r="C213" s="171"/>
      <c r="D213" s="171"/>
      <c r="E213" s="171"/>
      <c r="F213" s="171"/>
      <c r="G213" s="171"/>
      <c r="I213" s="170" t="s">
        <v>450</v>
      </c>
      <c r="J213" s="171"/>
      <c r="K213" s="171"/>
      <c r="L213" s="171"/>
      <c r="M213" s="163"/>
      <c r="N213" s="163"/>
      <c r="O213" s="171"/>
      <c r="Q213" s="158"/>
      <c r="R213" s="171"/>
      <c r="S213" s="144">
        <f t="shared" si="105"/>
        <v>0</v>
      </c>
    </row>
    <row r="214" spans="1:19" ht="12.75" customHeight="1">
      <c r="A214" s="159" t="s">
        <v>386</v>
      </c>
      <c r="B214" s="169">
        <f>SUM(B215:B217)</f>
        <v>2504614</v>
      </c>
      <c r="C214" s="171">
        <f>SUM(C215:C217)</f>
        <v>1609468</v>
      </c>
      <c r="D214" s="171">
        <f>SUM(D215:D217)</f>
        <v>888783.91</v>
      </c>
      <c r="E214" s="153">
        <f>IF(ISERROR(D214/B214)," ",(D214/B214))*100</f>
        <v>35.48586368997378</v>
      </c>
      <c r="F214" s="153">
        <f>IF(ISERROR(D214/C214)," ",(D214/C214))*100</f>
        <v>55.22221690645605</v>
      </c>
      <c r="G214" s="171">
        <f>SUM(G215:G217)</f>
        <v>207704.92</v>
      </c>
      <c r="I214" s="159" t="s">
        <v>386</v>
      </c>
      <c r="J214" s="151">
        <f>J215+J216+J217</f>
        <v>2505</v>
      </c>
      <c r="K214" s="151">
        <f>K215+K216+K217</f>
        <v>1609</v>
      </c>
      <c r="L214" s="151">
        <f>L215+L216+L217</f>
        <v>888</v>
      </c>
      <c r="M214" s="161">
        <f>L214/J214*100</f>
        <v>35.449101796407184</v>
      </c>
      <c r="N214" s="161">
        <f>L214/K214*100</f>
        <v>55.18955873213176</v>
      </c>
      <c r="O214" s="151">
        <f>O215+O216+O217</f>
        <v>207</v>
      </c>
      <c r="Q214" s="158">
        <v>888</v>
      </c>
      <c r="R214" s="151">
        <v>681</v>
      </c>
      <c r="S214" s="144">
        <f t="shared" si="105"/>
        <v>207</v>
      </c>
    </row>
    <row r="215" spans="1:19" ht="12.75" customHeight="1">
      <c r="A215" s="159" t="s">
        <v>387</v>
      </c>
      <c r="B215" s="169">
        <v>1426644</v>
      </c>
      <c r="C215" s="169">
        <v>658348</v>
      </c>
      <c r="D215" s="169">
        <v>658348</v>
      </c>
      <c r="E215" s="154">
        <f>IF(ISERROR(D215/B215)," ",(D215/B215))*100</f>
        <v>46.14662102108164</v>
      </c>
      <c r="F215" s="154">
        <f>IF(ISERROR(D215/C215)," ",(D215/C215))*100</f>
        <v>100</v>
      </c>
      <c r="G215" s="169">
        <f>D215-'[6]Maijs'!D215</f>
        <v>89369</v>
      </c>
      <c r="I215" s="159" t="s">
        <v>387</v>
      </c>
      <c r="J215" s="162">
        <f>ROUND(B215/1000,0)</f>
        <v>1427</v>
      </c>
      <c r="K215" s="162">
        <f>ROUND(C215/1000,0)</f>
        <v>658</v>
      </c>
      <c r="L215" s="162">
        <f>ROUND(D215/1000,0)</f>
        <v>658</v>
      </c>
      <c r="M215" s="163">
        <f>L215/J215*100</f>
        <v>46.11072179397337</v>
      </c>
      <c r="N215" s="163">
        <f>L215/K215*100</f>
        <v>100</v>
      </c>
      <c r="O215" s="162">
        <f>ROUND(G215/1000,0)</f>
        <v>89</v>
      </c>
      <c r="Q215" s="158">
        <v>658</v>
      </c>
      <c r="R215" s="162">
        <v>569</v>
      </c>
      <c r="S215" s="144">
        <f t="shared" si="105"/>
        <v>89</v>
      </c>
    </row>
    <row r="216" spans="1:19" ht="12.75" customHeight="1">
      <c r="A216" s="159" t="s">
        <v>389</v>
      </c>
      <c r="B216" s="169"/>
      <c r="C216" s="169"/>
      <c r="D216" s="169"/>
      <c r="E216" s="154"/>
      <c r="F216" s="154"/>
      <c r="G216" s="169">
        <f>D216-'[6]Maijs'!D216</f>
        <v>-193.34</v>
      </c>
      <c r="I216" s="159" t="s">
        <v>389</v>
      </c>
      <c r="J216" s="162"/>
      <c r="K216" s="162"/>
      <c r="L216" s="162"/>
      <c r="M216" s="163"/>
      <c r="N216" s="163"/>
      <c r="O216" s="162"/>
      <c r="Q216" s="158"/>
      <c r="R216" s="162"/>
      <c r="S216" s="144">
        <f t="shared" si="105"/>
        <v>0</v>
      </c>
    </row>
    <row r="217" spans="1:19" ht="12.75" customHeight="1">
      <c r="A217" s="159" t="s">
        <v>390</v>
      </c>
      <c r="B217" s="169">
        <v>1077970</v>
      </c>
      <c r="C217" s="169">
        <v>951120</v>
      </c>
      <c r="D217" s="169">
        <v>230435.91</v>
      </c>
      <c r="E217" s="154">
        <f>IF(ISERROR(D217/B217)," ",(D217/B217))*100</f>
        <v>21.37683887306697</v>
      </c>
      <c r="F217" s="154">
        <f>IF(ISERROR(E217/C217)," ",(E217/C217))*100</f>
        <v>0.002247543829702558</v>
      </c>
      <c r="G217" s="169">
        <f>D217-'[6]Maijs'!D217</f>
        <v>118529.26000000001</v>
      </c>
      <c r="I217" s="159" t="s">
        <v>390</v>
      </c>
      <c r="J217" s="162">
        <f>ROUND(B217/1000,0)</f>
        <v>1078</v>
      </c>
      <c r="K217" s="162">
        <f>ROUND(C217/1000,0)</f>
        <v>951</v>
      </c>
      <c r="L217" s="162">
        <f>ROUND(D217/1000,0)</f>
        <v>230</v>
      </c>
      <c r="M217" s="163">
        <f>L217/J217*100</f>
        <v>21.335807050092765</v>
      </c>
      <c r="N217" s="163">
        <f>L217/K217*100</f>
        <v>24.185068349106203</v>
      </c>
      <c r="O217" s="162">
        <f>ROUND(G217/1000,0)-1</f>
        <v>118</v>
      </c>
      <c r="Q217" s="158">
        <v>230</v>
      </c>
      <c r="R217" s="162">
        <v>112</v>
      </c>
      <c r="S217" s="144">
        <f t="shared" si="105"/>
        <v>118</v>
      </c>
    </row>
    <row r="218" spans="1:19" ht="12.75" customHeight="1">
      <c r="A218" s="165" t="s">
        <v>391</v>
      </c>
      <c r="B218" s="171">
        <f>SUM(B219:B220)</f>
        <v>2504614</v>
      </c>
      <c r="C218" s="171">
        <f>SUM(C219:C220)</f>
        <v>1609468</v>
      </c>
      <c r="D218" s="171">
        <f>SUM(D219:D220)</f>
        <v>807688.88</v>
      </c>
      <c r="E218" s="154">
        <f>IF(ISERROR(D218/B218)," ",(D218/B218))*100</f>
        <v>32.24803822065995</v>
      </c>
      <c r="F218" s="154">
        <f>IF(ISERROR(D218/C218)," ",(D218/C218))*100</f>
        <v>50.183593584960995</v>
      </c>
      <c r="G218" s="171">
        <f>SUM(G219:G220)</f>
        <v>224269.39</v>
      </c>
      <c r="I218" s="165" t="s">
        <v>391</v>
      </c>
      <c r="J218" s="151">
        <f>J219+J220</f>
        <v>2505</v>
      </c>
      <c r="K218" s="151">
        <f>K219+K220</f>
        <v>1610</v>
      </c>
      <c r="L218" s="151">
        <f>L219+L220</f>
        <v>808</v>
      </c>
      <c r="M218" s="161">
        <f>L218/J218*100</f>
        <v>32.25548902195609</v>
      </c>
      <c r="N218" s="161">
        <f>L218/K218*100</f>
        <v>50.18633540372671</v>
      </c>
      <c r="O218" s="151">
        <f>O219+O220</f>
        <v>224</v>
      </c>
      <c r="Q218" s="158">
        <v>808</v>
      </c>
      <c r="R218" s="151">
        <v>584</v>
      </c>
      <c r="S218" s="144">
        <f t="shared" si="105"/>
        <v>224</v>
      </c>
    </row>
    <row r="219" spans="1:19" ht="12.75" customHeight="1">
      <c r="A219" s="167" t="s">
        <v>392</v>
      </c>
      <c r="B219" s="169">
        <v>2018597</v>
      </c>
      <c r="C219" s="169">
        <v>1401558</v>
      </c>
      <c r="D219" s="169">
        <v>671131.88</v>
      </c>
      <c r="E219" s="154">
        <f>IF(ISERROR(D219/B219)," ",(D219/B219))*100</f>
        <v>33.24744265447735</v>
      </c>
      <c r="F219" s="154">
        <f>IF(ISERROR(D219/C219)," ",(D219/C219))*100</f>
        <v>47.88470259525471</v>
      </c>
      <c r="G219" s="169">
        <f>D219-'[6]Maijs'!D219</f>
        <v>208515.19</v>
      </c>
      <c r="I219" s="167" t="s">
        <v>392</v>
      </c>
      <c r="J219" s="162">
        <f aca="true" t="shared" si="106" ref="J219:L220">ROUND(B219/1000,0)</f>
        <v>2019</v>
      </c>
      <c r="K219" s="162">
        <f t="shared" si="106"/>
        <v>1402</v>
      </c>
      <c r="L219" s="162">
        <f t="shared" si="106"/>
        <v>671</v>
      </c>
      <c r="M219" s="163">
        <f>L219/J219*100</f>
        <v>33.23427439326399</v>
      </c>
      <c r="N219" s="163">
        <f>L219/K219*100</f>
        <v>47.860199714693294</v>
      </c>
      <c r="O219" s="162">
        <f>ROUND(G219/1000,0)-1</f>
        <v>208</v>
      </c>
      <c r="Q219" s="158">
        <v>671</v>
      </c>
      <c r="R219" s="162">
        <v>463</v>
      </c>
      <c r="S219" s="144">
        <f t="shared" si="105"/>
        <v>208</v>
      </c>
    </row>
    <row r="220" spans="1:19" ht="12.75" customHeight="1">
      <c r="A220" s="167" t="s">
        <v>393</v>
      </c>
      <c r="B220" s="169">
        <v>486017</v>
      </c>
      <c r="C220" s="169">
        <v>207910</v>
      </c>
      <c r="D220" s="169">
        <v>136557</v>
      </c>
      <c r="E220" s="154">
        <f>IF(ISERROR(D220/B220)," ",(D220/B220))*100</f>
        <v>28.09716532549273</v>
      </c>
      <c r="F220" s="154">
        <f>IF(ISERROR(D220/C220)," ",(D220/C220))*100</f>
        <v>65.68082343321629</v>
      </c>
      <c r="G220" s="169">
        <f>D220-'[6]Maijs'!D220</f>
        <v>15754.199999999997</v>
      </c>
      <c r="I220" s="167" t="s">
        <v>393</v>
      </c>
      <c r="J220" s="162">
        <f t="shared" si="106"/>
        <v>486</v>
      </c>
      <c r="K220" s="162">
        <f t="shared" si="106"/>
        <v>208</v>
      </c>
      <c r="L220" s="162">
        <f t="shared" si="106"/>
        <v>137</v>
      </c>
      <c r="M220" s="163">
        <f>L220/J220*100</f>
        <v>28.189300411522634</v>
      </c>
      <c r="N220" s="163">
        <f>L220/K220*100</f>
        <v>65.86538461538461</v>
      </c>
      <c r="O220" s="162">
        <f>ROUND(G220/1000,0)</f>
        <v>16</v>
      </c>
      <c r="Q220" s="158">
        <v>137</v>
      </c>
      <c r="R220" s="162">
        <v>121</v>
      </c>
      <c r="S220" s="144">
        <f t="shared" si="105"/>
        <v>16</v>
      </c>
    </row>
    <row r="221" spans="1:19" ht="27.75" customHeight="1">
      <c r="A221" s="170" t="s">
        <v>451</v>
      </c>
      <c r="B221" s="169"/>
      <c r="C221" s="169"/>
      <c r="D221" s="169"/>
      <c r="E221" s="169"/>
      <c r="F221" s="169"/>
      <c r="G221" s="169"/>
      <c r="I221" s="170" t="s">
        <v>451</v>
      </c>
      <c r="J221" s="169"/>
      <c r="K221" s="169"/>
      <c r="L221" s="169"/>
      <c r="M221" s="163"/>
      <c r="N221" s="163"/>
      <c r="O221" s="169"/>
      <c r="Q221" s="158"/>
      <c r="R221" s="169"/>
      <c r="S221" s="144">
        <f t="shared" si="105"/>
        <v>0</v>
      </c>
    </row>
    <row r="222" spans="1:19" ht="12.75" customHeight="1">
      <c r="A222" s="159" t="s">
        <v>386</v>
      </c>
      <c r="B222" s="169">
        <f>SUM(B223)</f>
        <v>1318000</v>
      </c>
      <c r="C222" s="171">
        <f>SUM(C223:C225)</f>
        <v>0</v>
      </c>
      <c r="D222" s="171">
        <f>SUM(D223:D225)</f>
        <v>0</v>
      </c>
      <c r="E222" s="154">
        <f aca="true" t="shared" si="107" ref="E222:E227">IF(ISERROR(D222/B222)," ",(D222/B222))*100</f>
        <v>0</v>
      </c>
      <c r="F222" s="154"/>
      <c r="G222" s="169">
        <f>SUM(G223)</f>
        <v>0</v>
      </c>
      <c r="I222" s="159" t="s">
        <v>386</v>
      </c>
      <c r="J222" s="151">
        <f>J223</f>
        <v>1318</v>
      </c>
      <c r="K222" s="162"/>
      <c r="L222" s="162"/>
      <c r="M222" s="163"/>
      <c r="N222" s="163"/>
      <c r="O222" s="162"/>
      <c r="Q222" s="158"/>
      <c r="R222" s="162"/>
      <c r="S222" s="144">
        <f t="shared" si="105"/>
        <v>0</v>
      </c>
    </row>
    <row r="223" spans="1:19" ht="12.75" customHeight="1">
      <c r="A223" s="159" t="s">
        <v>389</v>
      </c>
      <c r="B223" s="169">
        <v>1318000</v>
      </c>
      <c r="C223" s="156"/>
      <c r="D223" s="169"/>
      <c r="E223" s="154">
        <f t="shared" si="107"/>
        <v>0</v>
      </c>
      <c r="F223" s="154"/>
      <c r="G223" s="169">
        <f>D223</f>
        <v>0</v>
      </c>
      <c r="I223" s="159" t="s">
        <v>389</v>
      </c>
      <c r="J223" s="162">
        <f>ROUND(B223/1000,0)</f>
        <v>1318</v>
      </c>
      <c r="K223" s="162"/>
      <c r="L223" s="162"/>
      <c r="M223" s="163"/>
      <c r="N223" s="163"/>
      <c r="O223" s="162"/>
      <c r="Q223" s="158"/>
      <c r="R223" s="162"/>
      <c r="S223" s="144">
        <f t="shared" si="105"/>
        <v>0</v>
      </c>
    </row>
    <row r="224" spans="1:19" ht="12.75" customHeight="1">
      <c r="A224" s="165" t="s">
        <v>391</v>
      </c>
      <c r="B224" s="171">
        <f>SUM(B225:B226)</f>
        <v>1218000</v>
      </c>
      <c r="C224" s="171">
        <f>SUM(C225:C226)</f>
        <v>0</v>
      </c>
      <c r="D224" s="171">
        <f>SUM(D225:D226)</f>
        <v>0</v>
      </c>
      <c r="E224" s="154">
        <f t="shared" si="107"/>
        <v>0</v>
      </c>
      <c r="F224" s="154"/>
      <c r="G224" s="171">
        <f>SUM(G225:G226)</f>
        <v>0</v>
      </c>
      <c r="I224" s="165" t="s">
        <v>391</v>
      </c>
      <c r="J224" s="151">
        <f>J225+J226</f>
        <v>1218</v>
      </c>
      <c r="K224" s="151"/>
      <c r="L224" s="151"/>
      <c r="M224" s="163"/>
      <c r="N224" s="163"/>
      <c r="O224" s="151"/>
      <c r="Q224" s="158"/>
      <c r="R224" s="151"/>
      <c r="S224" s="144">
        <f t="shared" si="105"/>
        <v>0</v>
      </c>
    </row>
    <row r="225" spans="1:19" ht="12.75" customHeight="1">
      <c r="A225" s="167" t="s">
        <v>392</v>
      </c>
      <c r="B225" s="169">
        <v>926060</v>
      </c>
      <c r="C225" s="169"/>
      <c r="D225" s="169"/>
      <c r="E225" s="154">
        <f t="shared" si="107"/>
        <v>0</v>
      </c>
      <c r="F225" s="154"/>
      <c r="G225" s="169">
        <f>D225</f>
        <v>0</v>
      </c>
      <c r="I225" s="167" t="s">
        <v>392</v>
      </c>
      <c r="J225" s="162">
        <f>ROUND(B225/1000,0)</f>
        <v>926</v>
      </c>
      <c r="K225" s="162"/>
      <c r="L225" s="162"/>
      <c r="M225" s="163"/>
      <c r="N225" s="163"/>
      <c r="O225" s="162"/>
      <c r="Q225" s="158"/>
      <c r="R225" s="162"/>
      <c r="S225" s="144">
        <f t="shared" si="105"/>
        <v>0</v>
      </c>
    </row>
    <row r="226" spans="1:19" ht="12.75" customHeight="1">
      <c r="A226" s="167" t="s">
        <v>393</v>
      </c>
      <c r="B226" s="169">
        <v>291940</v>
      </c>
      <c r="C226" s="169"/>
      <c r="D226" s="169"/>
      <c r="E226" s="154">
        <f t="shared" si="107"/>
        <v>0</v>
      </c>
      <c r="F226" s="154"/>
      <c r="G226" s="169">
        <f>D226</f>
        <v>0</v>
      </c>
      <c r="I226" s="167" t="s">
        <v>393</v>
      </c>
      <c r="J226" s="162">
        <f>ROUND(B226/1000,0)</f>
        <v>292</v>
      </c>
      <c r="K226" s="162"/>
      <c r="L226" s="162"/>
      <c r="M226" s="163"/>
      <c r="N226" s="163"/>
      <c r="O226" s="162"/>
      <c r="Q226" s="158"/>
      <c r="R226" s="162"/>
      <c r="S226" s="144">
        <f t="shared" si="105"/>
        <v>0</v>
      </c>
    </row>
    <row r="227" spans="1:19" ht="12.75" customHeight="1">
      <c r="A227" s="121" t="s">
        <v>395</v>
      </c>
      <c r="B227" s="169">
        <v>100000</v>
      </c>
      <c r="C227" s="169"/>
      <c r="D227" s="169"/>
      <c r="E227" s="154">
        <f t="shared" si="107"/>
        <v>0</v>
      </c>
      <c r="F227" s="154"/>
      <c r="G227" s="169">
        <f>D227</f>
        <v>0</v>
      </c>
      <c r="I227" s="121" t="s">
        <v>395</v>
      </c>
      <c r="J227" s="162">
        <f>ROUND(B227/1000,0)</f>
        <v>100</v>
      </c>
      <c r="K227" s="162"/>
      <c r="L227" s="162"/>
      <c r="M227" s="163"/>
      <c r="N227" s="163"/>
      <c r="O227" s="162"/>
      <c r="Q227" s="158"/>
      <c r="R227" s="162"/>
      <c r="S227" s="144">
        <f t="shared" si="105"/>
        <v>0</v>
      </c>
    </row>
    <row r="228" spans="1:19" ht="12.75" customHeight="1">
      <c r="A228" s="170" t="s">
        <v>452</v>
      </c>
      <c r="B228" s="169"/>
      <c r="C228" s="169"/>
      <c r="D228" s="169"/>
      <c r="E228" s="169"/>
      <c r="F228" s="169"/>
      <c r="G228" s="169"/>
      <c r="I228" s="170" t="s">
        <v>453</v>
      </c>
      <c r="J228" s="169"/>
      <c r="K228" s="169"/>
      <c r="L228" s="169"/>
      <c r="M228" s="163"/>
      <c r="N228" s="163"/>
      <c r="O228" s="169"/>
      <c r="Q228" s="158"/>
      <c r="R228" s="169"/>
      <c r="S228" s="144">
        <f t="shared" si="105"/>
        <v>0</v>
      </c>
    </row>
    <row r="229" spans="1:19" ht="12.75" customHeight="1">
      <c r="A229" s="159" t="s">
        <v>386</v>
      </c>
      <c r="B229" s="174">
        <f>SUM(B230)</f>
        <v>109108415</v>
      </c>
      <c r="C229" s="175">
        <f>SUM(C230)</f>
        <v>64986831</v>
      </c>
      <c r="D229" s="175">
        <f>SUM(D230)</f>
        <v>64986831</v>
      </c>
      <c r="E229" s="153">
        <f>IF(ISERROR(D229/B229)," ",(D229/B229))*100</f>
        <v>59.56170383375105</v>
      </c>
      <c r="F229" s="153">
        <f>IF(ISERROR(D229/C229)," ",(D229/C229))*100</f>
        <v>100</v>
      </c>
      <c r="G229" s="175">
        <f>SUM(G230)</f>
        <v>19444624</v>
      </c>
      <c r="I229" s="159" t="s">
        <v>386</v>
      </c>
      <c r="J229" s="151">
        <f>J230</f>
        <v>109108</v>
      </c>
      <c r="K229" s="151">
        <f>K230</f>
        <v>64987</v>
      </c>
      <c r="L229" s="151">
        <f>L230</f>
        <v>64987</v>
      </c>
      <c r="M229" s="161">
        <f>L229/J229*100</f>
        <v>59.56208527330718</v>
      </c>
      <c r="N229" s="161">
        <f>L229/K229*100</f>
        <v>100</v>
      </c>
      <c r="O229" s="175">
        <f>O230</f>
        <v>19445</v>
      </c>
      <c r="Q229" s="158">
        <v>64987</v>
      </c>
      <c r="R229" s="151">
        <v>45542</v>
      </c>
      <c r="S229" s="144">
        <f t="shared" si="105"/>
        <v>19445</v>
      </c>
    </row>
    <row r="230" spans="1:19" ht="12.75" customHeight="1">
      <c r="A230" s="159" t="s">
        <v>387</v>
      </c>
      <c r="B230" s="162">
        <v>109108415</v>
      </c>
      <c r="C230" s="162">
        <v>64986831</v>
      </c>
      <c r="D230" s="162">
        <v>64986831</v>
      </c>
      <c r="E230" s="154">
        <f>IF(ISERROR(D230/B230)," ",(D230/B230))*100</f>
        <v>59.56170383375105</v>
      </c>
      <c r="F230" s="154">
        <f>IF(ISERROR(D230/C230)," ",(D230/C230))*100</f>
        <v>100</v>
      </c>
      <c r="G230" s="169">
        <f>D230-'[6]Maijs'!D230</f>
        <v>19444624</v>
      </c>
      <c r="I230" s="159" t="s">
        <v>387</v>
      </c>
      <c r="J230" s="162">
        <f>ROUND(B230/1000,0)</f>
        <v>109108</v>
      </c>
      <c r="K230" s="162">
        <f>ROUND(C230/1000,0)</f>
        <v>64987</v>
      </c>
      <c r="L230" s="162">
        <f>ROUND(D230/1000,0)</f>
        <v>64987</v>
      </c>
      <c r="M230" s="163">
        <f>L230/J230*100</f>
        <v>59.56208527330718</v>
      </c>
      <c r="N230" s="163">
        <f>L230/K230*100</f>
        <v>100</v>
      </c>
      <c r="O230" s="162">
        <f>ROUND(G230/1000,0)</f>
        <v>19445</v>
      </c>
      <c r="Q230" s="158">
        <v>64987</v>
      </c>
      <c r="R230" s="162">
        <v>45542</v>
      </c>
      <c r="S230" s="144">
        <f t="shared" si="105"/>
        <v>19445</v>
      </c>
    </row>
    <row r="231" spans="1:19" ht="12.75" customHeight="1">
      <c r="A231" s="165" t="s">
        <v>391</v>
      </c>
      <c r="B231" s="171">
        <f>SUM(B232:B233)</f>
        <v>109108415</v>
      </c>
      <c r="C231" s="171">
        <f>SUM(C232:C233)</f>
        <v>64986831</v>
      </c>
      <c r="D231" s="171">
        <f>SUM(D232:D233)</f>
        <v>62285767.77</v>
      </c>
      <c r="E231" s="154">
        <f>IF(ISERROR(D231/B231)," ",(D231/B231))*100</f>
        <v>57.086126464214516</v>
      </c>
      <c r="F231" s="154">
        <f>IF(ISERROR(D231/C231)," ",(D231/C231))*100</f>
        <v>95.84367603645731</v>
      </c>
      <c r="G231" s="171">
        <f>SUM(G232:G233)</f>
        <v>18516443.34</v>
      </c>
      <c r="I231" s="165" t="s">
        <v>391</v>
      </c>
      <c r="J231" s="151">
        <f>J232+J233</f>
        <v>109109</v>
      </c>
      <c r="K231" s="151">
        <f>K232+K233</f>
        <v>64987</v>
      </c>
      <c r="L231" s="151">
        <f>L232+L233</f>
        <v>62285</v>
      </c>
      <c r="M231" s="161">
        <f>L231/J231*100</f>
        <v>57.08511671814425</v>
      </c>
      <c r="N231" s="161">
        <f>L231/K231*100</f>
        <v>95.84224537215135</v>
      </c>
      <c r="O231" s="151">
        <f>O232+O233</f>
        <v>18515</v>
      </c>
      <c r="Q231" s="158">
        <v>62285</v>
      </c>
      <c r="R231" s="151">
        <v>43770</v>
      </c>
      <c r="S231" s="144">
        <f t="shared" si="105"/>
        <v>18515</v>
      </c>
    </row>
    <row r="232" spans="1:19" ht="12.75" customHeight="1">
      <c r="A232" s="167" t="s">
        <v>392</v>
      </c>
      <c r="B232" s="169">
        <v>98821615</v>
      </c>
      <c r="C232" s="169">
        <v>59454271</v>
      </c>
      <c r="D232" s="169">
        <v>59414271</v>
      </c>
      <c r="E232" s="154">
        <f>IF(ISERROR(D232/B232)," ",(D232/B232))*100</f>
        <v>60.12274844931446</v>
      </c>
      <c r="F232" s="154">
        <f>IF(ISERROR(D232/C232)," ",(D232/C232))*100</f>
        <v>99.93272140196623</v>
      </c>
      <c r="G232" s="169">
        <f>D232-'[6]Maijs'!D232</f>
        <v>17796577</v>
      </c>
      <c r="I232" s="167" t="s">
        <v>392</v>
      </c>
      <c r="J232" s="162">
        <f aca="true" t="shared" si="108" ref="J232:L233">ROUND(B232/1000,0)</f>
        <v>98822</v>
      </c>
      <c r="K232" s="162">
        <f t="shared" si="108"/>
        <v>59454</v>
      </c>
      <c r="L232" s="162">
        <f t="shared" si="108"/>
        <v>59414</v>
      </c>
      <c r="M232" s="163">
        <f>L232/J232*100</f>
        <v>60.12223998704742</v>
      </c>
      <c r="N232" s="163">
        <f>L232/K232*100</f>
        <v>99.93272109530056</v>
      </c>
      <c r="O232" s="162">
        <f>ROUND(G232/1000,0)-1</f>
        <v>17796</v>
      </c>
      <c r="Q232" s="158">
        <v>59414</v>
      </c>
      <c r="R232" s="162">
        <v>41618</v>
      </c>
      <c r="S232" s="144">
        <f t="shared" si="105"/>
        <v>17796</v>
      </c>
    </row>
    <row r="233" spans="1:19" ht="12.75" customHeight="1">
      <c r="A233" s="167" t="s">
        <v>393</v>
      </c>
      <c r="B233" s="169">
        <v>10286800</v>
      </c>
      <c r="C233" s="169">
        <v>5532560</v>
      </c>
      <c r="D233" s="169">
        <v>2871496.77</v>
      </c>
      <c r="E233" s="154">
        <f>IF(ISERROR(D233/B233)," ",(D233/B233))*100</f>
        <v>27.91438319010771</v>
      </c>
      <c r="F233" s="154">
        <f>IF(ISERROR(D233/C233)," ",(D233/C233))*100</f>
        <v>51.90177368162298</v>
      </c>
      <c r="G233" s="169">
        <f>D233-'[6]Maijs'!D233</f>
        <v>719866.3399999999</v>
      </c>
      <c r="I233" s="167" t="s">
        <v>393</v>
      </c>
      <c r="J233" s="162">
        <f t="shared" si="108"/>
        <v>10287</v>
      </c>
      <c r="K233" s="162">
        <f t="shared" si="108"/>
        <v>5533</v>
      </c>
      <c r="L233" s="162">
        <f t="shared" si="108"/>
        <v>2871</v>
      </c>
      <c r="M233" s="163">
        <f>L233/J233*100</f>
        <v>27.909011373578302</v>
      </c>
      <c r="N233" s="163">
        <f>L233/K233*100</f>
        <v>51.88866799204771</v>
      </c>
      <c r="O233" s="162">
        <f>ROUND(G233/1000,0)-1</f>
        <v>719</v>
      </c>
      <c r="Q233" s="158">
        <v>2871</v>
      </c>
      <c r="R233" s="162">
        <v>2152</v>
      </c>
      <c r="S233" s="144">
        <f t="shared" si="105"/>
        <v>719</v>
      </c>
    </row>
    <row r="234" spans="1:19" ht="12.75" customHeight="1">
      <c r="A234" s="170" t="s">
        <v>454</v>
      </c>
      <c r="B234" s="169"/>
      <c r="C234" s="169"/>
      <c r="D234" s="169"/>
      <c r="E234" s="169"/>
      <c r="F234" s="169"/>
      <c r="G234" s="169"/>
      <c r="I234" s="170" t="s">
        <v>455</v>
      </c>
      <c r="J234" s="169"/>
      <c r="K234" s="169"/>
      <c r="L234" s="169"/>
      <c r="M234" s="163"/>
      <c r="N234" s="163"/>
      <c r="O234" s="169"/>
      <c r="Q234" s="158"/>
      <c r="R234" s="169"/>
      <c r="S234" s="144">
        <f t="shared" si="105"/>
        <v>0</v>
      </c>
    </row>
    <row r="235" spans="1:19" ht="12.75" customHeight="1">
      <c r="A235" s="159" t="s">
        <v>386</v>
      </c>
      <c r="B235" s="169">
        <f>SUM(B236)</f>
        <v>7677897</v>
      </c>
      <c r="C235" s="171">
        <f>SUM(C236)</f>
        <v>3966042</v>
      </c>
      <c r="D235" s="171">
        <f>SUM(D236)</f>
        <v>3966042</v>
      </c>
      <c r="E235" s="153">
        <f>IF(ISERROR(D235/B235)," ",(D235/B235))*100</f>
        <v>51.65531655347812</v>
      </c>
      <c r="F235" s="153">
        <f>IF(ISERROR(D235/C235)," ",(D235/C235))*100</f>
        <v>100</v>
      </c>
      <c r="G235" s="171">
        <f>SUM(G236)</f>
        <v>650750</v>
      </c>
      <c r="I235" s="159" t="s">
        <v>386</v>
      </c>
      <c r="J235" s="151">
        <f>J236</f>
        <v>7678</v>
      </c>
      <c r="K235" s="151">
        <f>K236</f>
        <v>3966</v>
      </c>
      <c r="L235" s="151">
        <f>L236</f>
        <v>3966</v>
      </c>
      <c r="M235" s="161">
        <f>L235/J235*100</f>
        <v>51.654076582443345</v>
      </c>
      <c r="N235" s="161">
        <f>L235/K235*100</f>
        <v>100</v>
      </c>
      <c r="O235" s="151">
        <f>O236</f>
        <v>651</v>
      </c>
      <c r="Q235" s="158">
        <v>3966</v>
      </c>
      <c r="R235" s="151">
        <v>3315</v>
      </c>
      <c r="S235" s="144">
        <f t="shared" si="105"/>
        <v>651</v>
      </c>
    </row>
    <row r="236" spans="1:19" ht="12.75" customHeight="1">
      <c r="A236" s="159" t="s">
        <v>387</v>
      </c>
      <c r="B236" s="169">
        <v>7677897</v>
      </c>
      <c r="C236" s="169">
        <v>3966042</v>
      </c>
      <c r="D236" s="169">
        <v>3966042</v>
      </c>
      <c r="E236" s="154">
        <f>IF(ISERROR(D236/B236)," ",(D236/B236))*100</f>
        <v>51.65531655347812</v>
      </c>
      <c r="F236" s="154">
        <f>IF(ISERROR(D236/C236)," ",(D236/C236))*100</f>
        <v>100</v>
      </c>
      <c r="G236" s="169">
        <f>D236-'[6]Maijs'!D236</f>
        <v>650750</v>
      </c>
      <c r="I236" s="159" t="s">
        <v>387</v>
      </c>
      <c r="J236" s="162">
        <f>ROUND(B236/1000,0)</f>
        <v>7678</v>
      </c>
      <c r="K236" s="162">
        <f>ROUND(C236/1000,0)</f>
        <v>3966</v>
      </c>
      <c r="L236" s="162">
        <f>ROUND(D236/1000,0)</f>
        <v>3966</v>
      </c>
      <c r="M236" s="163">
        <f>L236/J236*100</f>
        <v>51.654076582443345</v>
      </c>
      <c r="N236" s="163">
        <f>L236/K236*100</f>
        <v>100</v>
      </c>
      <c r="O236" s="162">
        <f>ROUND(G236/1000,0)</f>
        <v>651</v>
      </c>
      <c r="Q236" s="158">
        <v>3966</v>
      </c>
      <c r="R236" s="162">
        <v>3315</v>
      </c>
      <c r="S236" s="144">
        <f t="shared" si="105"/>
        <v>651</v>
      </c>
    </row>
    <row r="237" spans="1:19" ht="12.75" customHeight="1">
      <c r="A237" s="165" t="s">
        <v>391</v>
      </c>
      <c r="B237" s="171">
        <f>SUM(B238)</f>
        <v>7677897</v>
      </c>
      <c r="C237" s="171">
        <f>SUM(C238)</f>
        <v>3966042</v>
      </c>
      <c r="D237" s="171">
        <f>SUM(D238)</f>
        <v>3855434.49</v>
      </c>
      <c r="E237" s="154">
        <f>IF(ISERROR(D237/B237)," ",(D237/B237))*100</f>
        <v>50.214720124534104</v>
      </c>
      <c r="F237" s="154">
        <f>IF(ISERROR(D237/C237)," ",(D237/C237))*100</f>
        <v>97.21113619069087</v>
      </c>
      <c r="G237" s="171">
        <f>SUM(G238)</f>
        <v>634838.4000000004</v>
      </c>
      <c r="I237" s="165" t="s">
        <v>391</v>
      </c>
      <c r="J237" s="151">
        <f>J238+J239</f>
        <v>7678</v>
      </c>
      <c r="K237" s="151">
        <f>K238</f>
        <v>3966</v>
      </c>
      <c r="L237" s="151">
        <f>L238</f>
        <v>3855</v>
      </c>
      <c r="M237" s="161">
        <f>L237/J237*100</f>
        <v>50.20838760093774</v>
      </c>
      <c r="N237" s="161">
        <f>L237/K237*100</f>
        <v>97.20121028744326</v>
      </c>
      <c r="O237" s="151">
        <f>O238+O239</f>
        <v>634</v>
      </c>
      <c r="Q237" s="158">
        <v>3855</v>
      </c>
      <c r="R237" s="151">
        <v>3221</v>
      </c>
      <c r="S237" s="144">
        <f t="shared" si="105"/>
        <v>634</v>
      </c>
    </row>
    <row r="238" spans="1:19" ht="12.75" customHeight="1">
      <c r="A238" s="167" t="s">
        <v>392</v>
      </c>
      <c r="B238" s="169">
        <v>7677897</v>
      </c>
      <c r="C238" s="169">
        <v>3966042</v>
      </c>
      <c r="D238" s="169">
        <v>3855434.49</v>
      </c>
      <c r="E238" s="154">
        <f>IF(ISERROR(D238/B238)," ",(D238/B238))*100</f>
        <v>50.214720124534104</v>
      </c>
      <c r="F238" s="154">
        <f>IF(ISERROR(D238/C238)," ",(D238/C238))*100</f>
        <v>97.21113619069087</v>
      </c>
      <c r="G238" s="169">
        <f>D238-'[6]Maijs'!D238</f>
        <v>634838.4000000004</v>
      </c>
      <c r="I238" s="167" t="s">
        <v>392</v>
      </c>
      <c r="J238" s="162">
        <f>ROUND(B238/1000,0)</f>
        <v>7678</v>
      </c>
      <c r="K238" s="162">
        <f>ROUND(C238/1000,0)</f>
        <v>3966</v>
      </c>
      <c r="L238" s="162">
        <f>ROUND(D238/1000,0)</f>
        <v>3855</v>
      </c>
      <c r="M238" s="163">
        <f>L238/J238*100</f>
        <v>50.20838760093774</v>
      </c>
      <c r="N238" s="163">
        <f>L238/K238*100</f>
        <v>97.20121028744326</v>
      </c>
      <c r="O238" s="162">
        <f>ROUND(G238/1000,0)-1</f>
        <v>634</v>
      </c>
      <c r="Q238" s="158">
        <v>3855</v>
      </c>
      <c r="R238" s="162">
        <v>3221</v>
      </c>
      <c r="S238" s="144">
        <f t="shared" si="105"/>
        <v>634</v>
      </c>
    </row>
    <row r="239" spans="13:14" ht="17.25" customHeight="1">
      <c r="M239" s="176"/>
      <c r="N239" s="176"/>
    </row>
    <row r="241" ht="17.25" customHeight="1" hidden="1"/>
    <row r="242" spans="1:12" ht="17.25" customHeight="1">
      <c r="A242" s="177" t="s">
        <v>456</v>
      </c>
      <c r="B242" s="178"/>
      <c r="C242" s="178"/>
      <c r="D242" s="178" t="s">
        <v>457</v>
      </c>
      <c r="I242" s="719" t="s">
        <v>322</v>
      </c>
      <c r="J242" s="720"/>
      <c r="K242" s="720"/>
      <c r="L242" s="178"/>
    </row>
    <row r="246" ht="17.25" customHeight="1">
      <c r="I246" s="144" t="s">
        <v>236</v>
      </c>
    </row>
    <row r="247" ht="17.25" customHeight="1">
      <c r="I247" s="144" t="s">
        <v>530</v>
      </c>
    </row>
  </sheetData>
  <mergeCells count="7">
    <mergeCell ref="A7:F7"/>
    <mergeCell ref="I7:N7"/>
    <mergeCell ref="I3:O3"/>
    <mergeCell ref="A4:F4"/>
    <mergeCell ref="I4:N4"/>
    <mergeCell ref="A5:F5"/>
    <mergeCell ref="I5:N5"/>
  </mergeCells>
  <printOptions/>
  <pageMargins left="0.75" right="0.27" top="1" bottom="1" header="0.5" footer="0.5"/>
  <pageSetup firstPageNumber="8" useFirstPageNumber="1" horizontalDpi="600" verticalDpi="600" orientation="portrait" paperSize="9" r:id="rId1"/>
  <headerFooter alignWithMargins="0">
    <oddFooter>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76"/>
  <sheetViews>
    <sheetView workbookViewId="0" topLeftCell="H1">
      <selection activeCell="H5" sqref="H5:M5"/>
    </sheetView>
  </sheetViews>
  <sheetFormatPr defaultColWidth="9.140625" defaultRowHeight="12.75"/>
  <cols>
    <col min="1" max="1" width="36.28125" style="0" hidden="1" customWidth="1"/>
    <col min="2" max="2" width="11.00390625" style="0" hidden="1" customWidth="1"/>
    <col min="3" max="3" width="13.7109375" style="0" hidden="1" customWidth="1"/>
    <col min="4" max="4" width="10.8515625" style="0" hidden="1" customWidth="1"/>
    <col min="5" max="5" width="7.7109375" style="0" hidden="1" customWidth="1"/>
    <col min="6" max="6" width="9.421875" style="0" hidden="1" customWidth="1"/>
    <col min="7" max="7" width="11.140625" style="0" hidden="1" customWidth="1"/>
    <col min="8" max="8" width="34.140625" style="0" customWidth="1"/>
    <col min="9" max="9" width="11.57421875" style="0" customWidth="1"/>
    <col min="11" max="11" width="10.7109375" style="0" customWidth="1"/>
    <col min="12" max="12" width="9.57421875" style="0" customWidth="1"/>
    <col min="15" max="18" width="9.140625" style="0" hidden="1" customWidth="1"/>
  </cols>
  <sheetData>
    <row r="1" spans="7:14" ht="12.75">
      <c r="G1" s="49" t="s">
        <v>458</v>
      </c>
      <c r="M1" s="49" t="s">
        <v>458</v>
      </c>
      <c r="N1" s="49"/>
    </row>
    <row r="2" spans="1:13" ht="12.75">
      <c r="A2" s="1"/>
      <c r="B2" s="179" t="s">
        <v>459</v>
      </c>
      <c r="H2" s="1"/>
      <c r="I2" s="179" t="s">
        <v>459</v>
      </c>
      <c r="M2" s="49"/>
    </row>
    <row r="4" spans="1:14" ht="15.75">
      <c r="A4" s="834" t="s">
        <v>460</v>
      </c>
      <c r="B4" s="834"/>
      <c r="C4" s="834"/>
      <c r="D4" s="834"/>
      <c r="E4" s="834"/>
      <c r="F4" s="834"/>
      <c r="G4" s="834"/>
      <c r="H4" s="839" t="s">
        <v>460</v>
      </c>
      <c r="I4" s="839"/>
      <c r="J4" s="839"/>
      <c r="K4" s="839"/>
      <c r="L4" s="839"/>
      <c r="M4" s="839"/>
      <c r="N4" s="839"/>
    </row>
    <row r="5" spans="1:13" ht="12.75">
      <c r="A5" s="833" t="s">
        <v>323</v>
      </c>
      <c r="B5" s="833"/>
      <c r="C5" s="833"/>
      <c r="D5" s="833"/>
      <c r="E5" s="833"/>
      <c r="F5" s="833"/>
      <c r="H5" s="832" t="s">
        <v>323</v>
      </c>
      <c r="I5" s="832"/>
      <c r="J5" s="832"/>
      <c r="K5" s="832"/>
      <c r="L5" s="832"/>
      <c r="M5" s="832"/>
    </row>
    <row r="6" spans="1:13" ht="15">
      <c r="A6" s="180"/>
      <c r="B6" s="180"/>
      <c r="C6" s="180"/>
      <c r="D6" s="180"/>
      <c r="E6" s="180"/>
      <c r="F6" s="180"/>
      <c r="H6" s="180"/>
      <c r="I6" s="180"/>
      <c r="J6" s="180"/>
      <c r="K6" s="180"/>
      <c r="L6" s="180"/>
      <c r="M6" s="180"/>
    </row>
    <row r="7" spans="6:14" ht="12.75">
      <c r="F7" s="838" t="s">
        <v>240</v>
      </c>
      <c r="G7" s="838"/>
      <c r="M7" s="838" t="s">
        <v>240</v>
      </c>
      <c r="N7" s="838"/>
    </row>
    <row r="8" spans="1:14" ht="84">
      <c r="A8" s="9" t="s">
        <v>339</v>
      </c>
      <c r="B8" s="9" t="s">
        <v>241</v>
      </c>
      <c r="C8" s="9" t="s">
        <v>461</v>
      </c>
      <c r="D8" s="9" t="s">
        <v>242</v>
      </c>
      <c r="E8" s="9" t="s">
        <v>462</v>
      </c>
      <c r="F8" s="9" t="s">
        <v>463</v>
      </c>
      <c r="G8" s="9" t="s">
        <v>464</v>
      </c>
      <c r="H8" s="181" t="s">
        <v>339</v>
      </c>
      <c r="I8" s="181" t="s">
        <v>241</v>
      </c>
      <c r="J8" s="181" t="s">
        <v>461</v>
      </c>
      <c r="K8" s="181" t="s">
        <v>242</v>
      </c>
      <c r="L8" s="181" t="s">
        <v>462</v>
      </c>
      <c r="M8" s="181" t="s">
        <v>463</v>
      </c>
      <c r="N8" s="181" t="s">
        <v>317</v>
      </c>
    </row>
    <row r="9" spans="1:14" ht="12.75">
      <c r="A9" s="9">
        <v>1</v>
      </c>
      <c r="B9" s="9">
        <v>2</v>
      </c>
      <c r="C9" s="9">
        <v>3</v>
      </c>
      <c r="D9" s="9">
        <v>4</v>
      </c>
      <c r="E9" s="182">
        <v>5</v>
      </c>
      <c r="F9" s="9">
        <v>6</v>
      </c>
      <c r="G9" s="9">
        <v>7</v>
      </c>
      <c r="H9" s="9">
        <v>1</v>
      </c>
      <c r="I9" s="9">
        <v>2</v>
      </c>
      <c r="J9" s="9">
        <v>3</v>
      </c>
      <c r="K9" s="9">
        <v>4</v>
      </c>
      <c r="L9" s="182">
        <v>5</v>
      </c>
      <c r="M9" s="9">
        <v>6</v>
      </c>
      <c r="N9" s="9">
        <v>7</v>
      </c>
    </row>
    <row r="10" spans="1:18" ht="12.75">
      <c r="A10" s="183" t="s">
        <v>465</v>
      </c>
      <c r="B10" s="184">
        <v>795383031</v>
      </c>
      <c r="C10" s="116" t="s">
        <v>199</v>
      </c>
      <c r="D10" s="184">
        <v>367529040</v>
      </c>
      <c r="E10" s="185" t="s">
        <v>199</v>
      </c>
      <c r="F10" s="185" t="s">
        <v>199</v>
      </c>
      <c r="G10" s="184">
        <v>70224952</v>
      </c>
      <c r="H10" s="186" t="s">
        <v>465</v>
      </c>
      <c r="I10" s="187">
        <f aca="true" t="shared" si="0" ref="I10:I19">ROUND(B10/1000,0)</f>
        <v>795383</v>
      </c>
      <c r="J10" s="188" t="s">
        <v>199</v>
      </c>
      <c r="K10" s="187">
        <f>ROUND(D10/1000,0)</f>
        <v>367529</v>
      </c>
      <c r="L10" s="189" t="s">
        <v>199</v>
      </c>
      <c r="M10" s="189" t="s">
        <v>199</v>
      </c>
      <c r="N10" s="187">
        <f>ROUND(G10/1000,0)</f>
        <v>70225</v>
      </c>
      <c r="P10" s="190">
        <v>367529</v>
      </c>
      <c r="Q10">
        <v>297304</v>
      </c>
      <c r="R10" s="190">
        <f aca="true" t="shared" si="1" ref="R10:R55">P10-Q10</f>
        <v>70225</v>
      </c>
    </row>
    <row r="11" spans="1:18" ht="12.75">
      <c r="A11" s="191" t="s">
        <v>466</v>
      </c>
      <c r="B11" s="192">
        <v>822566488</v>
      </c>
      <c r="C11" s="192">
        <f>C12+C13+C14+C15</f>
        <v>413488589</v>
      </c>
      <c r="D11" s="192">
        <f>D12+D13+D14+D15</f>
        <v>399417065.22999996</v>
      </c>
      <c r="E11" s="193">
        <f aca="true" t="shared" si="2" ref="E11:E19">IF(ISERROR(D11/B11)," ",(D11/B11))*100</f>
        <v>48.55742010608144</v>
      </c>
      <c r="F11" s="194">
        <f aca="true" t="shared" si="3" ref="F11:F19">IF(ISERROR(D11/C11)," ",(D11/C11))*100</f>
        <v>96.59687736388778</v>
      </c>
      <c r="G11" s="192">
        <f>SUM(G12:G15)</f>
        <v>73184052.77</v>
      </c>
      <c r="H11" s="195" t="s">
        <v>466</v>
      </c>
      <c r="I11" s="187">
        <f t="shared" si="0"/>
        <v>822566</v>
      </c>
      <c r="J11" s="187">
        <f>J12+J13+J14+J15</f>
        <v>413489</v>
      </c>
      <c r="K11" s="187">
        <f>K12+K13+K14+K15</f>
        <v>399417</v>
      </c>
      <c r="L11" s="196">
        <f aca="true" t="shared" si="4" ref="L11:M19">E11</f>
        <v>48.55742010608144</v>
      </c>
      <c r="M11" s="196">
        <f t="shared" si="4"/>
        <v>96.59687736388778</v>
      </c>
      <c r="N11" s="187">
        <f>N12+N13+N14+N15</f>
        <v>73184</v>
      </c>
      <c r="P11" s="190">
        <v>399417</v>
      </c>
      <c r="Q11">
        <v>326234</v>
      </c>
      <c r="R11" s="190">
        <f t="shared" si="1"/>
        <v>73183</v>
      </c>
    </row>
    <row r="12" spans="1:18" ht="12.75">
      <c r="A12" s="197" t="s">
        <v>467</v>
      </c>
      <c r="B12" s="192">
        <v>702268383</v>
      </c>
      <c r="C12" s="192">
        <v>362303118</v>
      </c>
      <c r="D12" s="192">
        <v>362303118</v>
      </c>
      <c r="E12" s="193">
        <f t="shared" si="2"/>
        <v>51.59040713926032</v>
      </c>
      <c r="F12" s="194">
        <f t="shared" si="3"/>
        <v>100</v>
      </c>
      <c r="G12" s="192">
        <f>D12-'[7]maijs'!D12</f>
        <v>67769341</v>
      </c>
      <c r="H12" s="198" t="s">
        <v>467</v>
      </c>
      <c r="I12" s="199">
        <f t="shared" si="0"/>
        <v>702268</v>
      </c>
      <c r="J12" s="199">
        <f>ROUND(C12/1000,0)</f>
        <v>362303</v>
      </c>
      <c r="K12" s="199">
        <f>ROUND(D12/1000,0)</f>
        <v>362303</v>
      </c>
      <c r="L12" s="200">
        <f t="shared" si="4"/>
        <v>51.59040713926032</v>
      </c>
      <c r="M12" s="200">
        <f t="shared" si="4"/>
        <v>100</v>
      </c>
      <c r="N12" s="199">
        <f>ROUND(G12/1000,0)</f>
        <v>67769</v>
      </c>
      <c r="P12" s="190">
        <v>362303</v>
      </c>
      <c r="Q12">
        <v>294535</v>
      </c>
      <c r="R12" s="190">
        <f t="shared" si="1"/>
        <v>67768</v>
      </c>
    </row>
    <row r="13" spans="1:18" ht="12.75">
      <c r="A13" s="197" t="s">
        <v>468</v>
      </c>
      <c r="B13" s="192">
        <v>3480024</v>
      </c>
      <c r="C13" s="192">
        <v>1182493</v>
      </c>
      <c r="D13" s="192">
        <v>593253.19</v>
      </c>
      <c r="E13" s="193">
        <f t="shared" si="2"/>
        <v>17.04738789157776</v>
      </c>
      <c r="F13" s="194">
        <f t="shared" si="3"/>
        <v>50.16969994748383</v>
      </c>
      <c r="G13" s="192">
        <f>D13-'[7]maijs'!D13</f>
        <v>61103.77999999991</v>
      </c>
      <c r="H13" s="198" t="s">
        <v>468</v>
      </c>
      <c r="I13" s="199">
        <f t="shared" si="0"/>
        <v>3480</v>
      </c>
      <c r="J13" s="199">
        <f>ROUND(C13/1000,0)+1</f>
        <v>1183</v>
      </c>
      <c r="K13" s="199">
        <f aca="true" t="shared" si="5" ref="J13:K15">ROUND(D13/1000,0)</f>
        <v>593</v>
      </c>
      <c r="L13" s="200">
        <f t="shared" si="4"/>
        <v>17.04738789157776</v>
      </c>
      <c r="M13" s="200">
        <f t="shared" si="4"/>
        <v>50.16969994748383</v>
      </c>
      <c r="N13" s="199">
        <f>ROUND(G13/1000,0)</f>
        <v>61</v>
      </c>
      <c r="P13" s="190">
        <v>593</v>
      </c>
      <c r="Q13">
        <v>532</v>
      </c>
      <c r="R13" s="190">
        <f t="shared" si="1"/>
        <v>61</v>
      </c>
    </row>
    <row r="14" spans="1:18" ht="25.5">
      <c r="A14" s="197" t="s">
        <v>469</v>
      </c>
      <c r="B14" s="192">
        <v>60659270</v>
      </c>
      <c r="C14" s="192">
        <v>30277762</v>
      </c>
      <c r="D14" s="192">
        <v>28881915.4</v>
      </c>
      <c r="E14" s="193">
        <f t="shared" si="2"/>
        <v>47.61335802425582</v>
      </c>
      <c r="F14" s="194">
        <f t="shared" si="3"/>
        <v>95.38986203801984</v>
      </c>
      <c r="G14" s="192">
        <f>D14-'[7]maijs'!D14</f>
        <v>4371628.349999998</v>
      </c>
      <c r="H14" s="198" t="s">
        <v>469</v>
      </c>
      <c r="I14" s="199">
        <f t="shared" si="0"/>
        <v>60659</v>
      </c>
      <c r="J14" s="199">
        <f t="shared" si="5"/>
        <v>30278</v>
      </c>
      <c r="K14" s="199">
        <f t="shared" si="5"/>
        <v>28882</v>
      </c>
      <c r="L14" s="200">
        <f t="shared" si="4"/>
        <v>47.61335802425582</v>
      </c>
      <c r="M14" s="200">
        <f t="shared" si="4"/>
        <v>95.38986203801984</v>
      </c>
      <c r="N14" s="199">
        <f>ROUND(G14/1000,0)</f>
        <v>4372</v>
      </c>
      <c r="P14" s="190">
        <v>28882</v>
      </c>
      <c r="Q14">
        <v>24510</v>
      </c>
      <c r="R14" s="190">
        <f t="shared" si="1"/>
        <v>4372</v>
      </c>
    </row>
    <row r="15" spans="1:18" ht="12.75">
      <c r="A15" s="191" t="s">
        <v>470</v>
      </c>
      <c r="B15" s="192">
        <v>56158811</v>
      </c>
      <c r="C15" s="192">
        <v>19725216</v>
      </c>
      <c r="D15" s="192">
        <v>7638778.64</v>
      </c>
      <c r="E15" s="193">
        <f t="shared" si="2"/>
        <v>13.60210179663526</v>
      </c>
      <c r="F15" s="194">
        <f t="shared" si="3"/>
        <v>38.725956866581335</v>
      </c>
      <c r="G15" s="192">
        <f>D15-'[7]maijs'!D15</f>
        <v>981979.6399999997</v>
      </c>
      <c r="H15" s="195" t="s">
        <v>470</v>
      </c>
      <c r="I15" s="199">
        <f t="shared" si="0"/>
        <v>56159</v>
      </c>
      <c r="J15" s="199">
        <f t="shared" si="5"/>
        <v>19725</v>
      </c>
      <c r="K15" s="199">
        <f t="shared" si="5"/>
        <v>7639</v>
      </c>
      <c r="L15" s="200">
        <f t="shared" si="4"/>
        <v>13.60210179663526</v>
      </c>
      <c r="M15" s="200">
        <f t="shared" si="4"/>
        <v>38.725956866581335</v>
      </c>
      <c r="N15" s="199">
        <f>ROUND(G15/1000,0)</f>
        <v>982</v>
      </c>
      <c r="P15" s="190">
        <v>7639</v>
      </c>
      <c r="Q15">
        <v>6657</v>
      </c>
      <c r="R15" s="190">
        <f t="shared" si="1"/>
        <v>982</v>
      </c>
    </row>
    <row r="16" spans="1:18" ht="12.75">
      <c r="A16" s="183" t="s">
        <v>471</v>
      </c>
      <c r="B16" s="184">
        <v>822563488</v>
      </c>
      <c r="C16" s="184">
        <f>C17+C41</f>
        <v>413709115</v>
      </c>
      <c r="D16" s="184">
        <f>D17+D41</f>
        <v>383388280.27000004</v>
      </c>
      <c r="E16" s="193">
        <f t="shared" si="2"/>
        <v>46.608959170091445</v>
      </c>
      <c r="F16" s="194">
        <f t="shared" si="3"/>
        <v>92.6709773532546</v>
      </c>
      <c r="G16" s="192">
        <f>D16-'[7]maijs'!D16</f>
        <v>73187586.01000005</v>
      </c>
      <c r="H16" s="186" t="s">
        <v>471</v>
      </c>
      <c r="I16" s="187">
        <f t="shared" si="0"/>
        <v>822563</v>
      </c>
      <c r="J16" s="187">
        <f>ROUND(C16/1000,0)</f>
        <v>413709</v>
      </c>
      <c r="K16" s="187">
        <f>K17+K41</f>
        <v>383388</v>
      </c>
      <c r="L16" s="196">
        <f t="shared" si="4"/>
        <v>46.608959170091445</v>
      </c>
      <c r="M16" s="196">
        <f t="shared" si="4"/>
        <v>92.6709773532546</v>
      </c>
      <c r="N16" s="187">
        <f>N17+N41</f>
        <v>73187</v>
      </c>
      <c r="P16" s="190">
        <v>383386</v>
      </c>
      <c r="Q16">
        <v>310201</v>
      </c>
      <c r="R16" s="190">
        <f t="shared" si="1"/>
        <v>73185</v>
      </c>
    </row>
    <row r="17" spans="1:18" ht="12.75">
      <c r="A17" s="201" t="s">
        <v>472</v>
      </c>
      <c r="B17" s="184">
        <v>743343379</v>
      </c>
      <c r="C17" s="184">
        <f>C18+C22+C26</f>
        <v>377757625</v>
      </c>
      <c r="D17" s="184">
        <f>D18+D22+D26</f>
        <v>359225427.1</v>
      </c>
      <c r="E17" s="193">
        <f t="shared" si="2"/>
        <v>48.3256375516866</v>
      </c>
      <c r="F17" s="194">
        <f t="shared" si="3"/>
        <v>95.09415649783377</v>
      </c>
      <c r="G17" s="192">
        <f>D17-'[7]maijs'!D17</f>
        <v>68134907.55000001</v>
      </c>
      <c r="H17" s="202" t="s">
        <v>472</v>
      </c>
      <c r="I17" s="187">
        <f t="shared" si="0"/>
        <v>743343</v>
      </c>
      <c r="J17" s="187">
        <f>J18+J22+J26</f>
        <v>377758</v>
      </c>
      <c r="K17" s="187">
        <f>K18+K22+K26</f>
        <v>359225</v>
      </c>
      <c r="L17" s="200">
        <f t="shared" si="4"/>
        <v>48.3256375516866</v>
      </c>
      <c r="M17" s="200">
        <f t="shared" si="4"/>
        <v>95.09415649783377</v>
      </c>
      <c r="N17" s="187">
        <f>N18+N22+N26</f>
        <v>68134</v>
      </c>
      <c r="P17" s="190">
        <v>359224</v>
      </c>
      <c r="Q17">
        <v>291091</v>
      </c>
      <c r="R17" s="190">
        <f t="shared" si="1"/>
        <v>68133</v>
      </c>
    </row>
    <row r="18" spans="1:18" ht="12.75">
      <c r="A18" s="203" t="s">
        <v>473</v>
      </c>
      <c r="B18" s="184">
        <v>378400026</v>
      </c>
      <c r="C18" s="184">
        <f>C19+C21</f>
        <v>187614747</v>
      </c>
      <c r="D18" s="184">
        <f>D19+D20+D21</f>
        <v>173212934.07</v>
      </c>
      <c r="E18" s="193">
        <f t="shared" si="2"/>
        <v>45.775085139661165</v>
      </c>
      <c r="F18" s="194">
        <f t="shared" si="3"/>
        <v>92.32373085789466</v>
      </c>
      <c r="G18" s="192">
        <f>D18-'[7]maijs'!D18</f>
        <v>32184294.949999988</v>
      </c>
      <c r="H18" s="204" t="s">
        <v>473</v>
      </c>
      <c r="I18" s="187">
        <f t="shared" si="0"/>
        <v>378400</v>
      </c>
      <c r="J18" s="187">
        <f>ROUND(C18/1000,0)</f>
        <v>187615</v>
      </c>
      <c r="K18" s="187">
        <f>K19+K20+K21</f>
        <v>173213</v>
      </c>
      <c r="L18" s="200">
        <f t="shared" si="4"/>
        <v>45.775085139661165</v>
      </c>
      <c r="M18" s="200">
        <f t="shared" si="4"/>
        <v>92.32373085789466</v>
      </c>
      <c r="N18" s="187">
        <f>N19+N20+N21</f>
        <v>32185</v>
      </c>
      <c r="P18" s="190">
        <v>173213</v>
      </c>
      <c r="Q18">
        <v>141029</v>
      </c>
      <c r="R18" s="190">
        <f t="shared" si="1"/>
        <v>32184</v>
      </c>
    </row>
    <row r="19" spans="1:18" ht="12.75">
      <c r="A19" s="205" t="s">
        <v>474</v>
      </c>
      <c r="B19" s="192">
        <v>171195440</v>
      </c>
      <c r="C19" s="192">
        <v>82745122</v>
      </c>
      <c r="D19" s="192">
        <v>80752612.09</v>
      </c>
      <c r="E19" s="193">
        <f t="shared" si="2"/>
        <v>47.16983822115823</v>
      </c>
      <c r="F19" s="194">
        <f t="shared" si="3"/>
        <v>97.59199109042343</v>
      </c>
      <c r="G19" s="192">
        <f>D19-'[7]maijs'!D19</f>
        <v>15770582.080000006</v>
      </c>
      <c r="H19" s="206" t="s">
        <v>474</v>
      </c>
      <c r="I19" s="199">
        <f t="shared" si="0"/>
        <v>171195</v>
      </c>
      <c r="J19" s="199">
        <f>ROUND(C19/1000,0)</f>
        <v>82745</v>
      </c>
      <c r="K19" s="199">
        <f>ROUND(D19/1000,0)</f>
        <v>80753</v>
      </c>
      <c r="L19" s="200">
        <f t="shared" si="4"/>
        <v>47.16983822115823</v>
      </c>
      <c r="M19" s="200">
        <f t="shared" si="4"/>
        <v>97.59199109042343</v>
      </c>
      <c r="N19" s="199">
        <f>ROUND(G19/1000,0)</f>
        <v>15771</v>
      </c>
      <c r="P19" s="190">
        <v>80753</v>
      </c>
      <c r="Q19">
        <v>64982</v>
      </c>
      <c r="R19" s="190">
        <f t="shared" si="1"/>
        <v>15771</v>
      </c>
    </row>
    <row r="20" spans="1:18" ht="25.5">
      <c r="A20" s="197" t="s">
        <v>475</v>
      </c>
      <c r="B20" s="207" t="s">
        <v>199</v>
      </c>
      <c r="C20" s="207" t="s">
        <v>199</v>
      </c>
      <c r="D20" s="192">
        <v>20042118.05</v>
      </c>
      <c r="E20" s="208" t="s">
        <v>199</v>
      </c>
      <c r="F20" s="208" t="s">
        <v>199</v>
      </c>
      <c r="G20" s="192">
        <f>D20-'[7]maijs'!D20</f>
        <v>3608074.5200000014</v>
      </c>
      <c r="H20" s="198" t="s">
        <v>475</v>
      </c>
      <c r="I20" s="209" t="s">
        <v>199</v>
      </c>
      <c r="J20" s="209" t="s">
        <v>199</v>
      </c>
      <c r="K20" s="199">
        <f>ROUND(D20/1000,0)</f>
        <v>20042</v>
      </c>
      <c r="L20" s="210" t="s">
        <v>199</v>
      </c>
      <c r="M20" s="210" t="s">
        <v>199</v>
      </c>
      <c r="N20" s="199">
        <f>ROUND(G20/1000,0)</f>
        <v>3608</v>
      </c>
      <c r="P20" s="190">
        <v>20042</v>
      </c>
      <c r="Q20">
        <v>16434</v>
      </c>
      <c r="R20" s="190">
        <f t="shared" si="1"/>
        <v>3608</v>
      </c>
    </row>
    <row r="21" spans="1:18" ht="12.75">
      <c r="A21" s="67" t="s">
        <v>476</v>
      </c>
      <c r="B21" s="207" t="s">
        <v>199</v>
      </c>
      <c r="C21" s="192">
        <v>104869625</v>
      </c>
      <c r="D21" s="192">
        <v>72418203.93</v>
      </c>
      <c r="E21" s="208" t="s">
        <v>199</v>
      </c>
      <c r="F21" s="194">
        <f>IF(ISERROR(D21/C21)," ",(D21/C21))*100</f>
        <v>69.05546189375619</v>
      </c>
      <c r="G21" s="192">
        <f>D21-'[7]maijs'!D21</f>
        <v>12805638.350000009</v>
      </c>
      <c r="H21" s="211" t="s">
        <v>476</v>
      </c>
      <c r="I21" s="209" t="s">
        <v>199</v>
      </c>
      <c r="J21" s="199">
        <f>ROUND(C21/1000,0)</f>
        <v>104870</v>
      </c>
      <c r="K21" s="199">
        <f>ROUND(D21/1000,0)</f>
        <v>72418</v>
      </c>
      <c r="L21" s="210" t="str">
        <f>E21</f>
        <v>x</v>
      </c>
      <c r="M21" s="212">
        <f>F21</f>
        <v>69.05546189375619</v>
      </c>
      <c r="N21" s="199">
        <f>ROUND(G21/1000,0)</f>
        <v>12806</v>
      </c>
      <c r="P21" s="190">
        <v>72418</v>
      </c>
      <c r="Q21">
        <v>59613</v>
      </c>
      <c r="R21" s="190">
        <f t="shared" si="1"/>
        <v>12805</v>
      </c>
    </row>
    <row r="22" spans="1:18" ht="25.5">
      <c r="A22" s="59" t="s">
        <v>477</v>
      </c>
      <c r="B22" s="184">
        <v>44080640</v>
      </c>
      <c r="C22" s="184">
        <v>22785577</v>
      </c>
      <c r="D22" s="184">
        <f>D23+D24+D25</f>
        <v>22718587.67</v>
      </c>
      <c r="E22" s="213">
        <f>IF(ISERROR(D22/B22)," ",(D22/B22))*100</f>
        <v>51.53869741909374</v>
      </c>
      <c r="F22" s="214">
        <f>IF(ISERROR(D22/C22)," ",(D22/C22))*100</f>
        <v>99.70600116907288</v>
      </c>
      <c r="G22" s="192">
        <f>D22-'[7]maijs'!D22</f>
        <v>1397813.4700000025</v>
      </c>
      <c r="H22" s="215" t="s">
        <v>477</v>
      </c>
      <c r="I22" s="187">
        <f>ROUND(B22/1000,0)</f>
        <v>44081</v>
      </c>
      <c r="J22" s="187">
        <f>ROUND(C22/1000,0)</f>
        <v>22786</v>
      </c>
      <c r="K22" s="187">
        <f>K23+K24+K25</f>
        <v>22718</v>
      </c>
      <c r="L22" s="210">
        <f>E22</f>
        <v>51.53869741909374</v>
      </c>
      <c r="M22" s="212">
        <f>F22</f>
        <v>99.70600116907288</v>
      </c>
      <c r="N22" s="187">
        <f>N23+N24+N25</f>
        <v>1398</v>
      </c>
      <c r="P22" s="190">
        <v>22718</v>
      </c>
      <c r="Q22">
        <v>21321</v>
      </c>
      <c r="R22" s="190">
        <f t="shared" si="1"/>
        <v>1397</v>
      </c>
    </row>
    <row r="23" spans="1:18" ht="25.5">
      <c r="A23" s="197" t="s">
        <v>478</v>
      </c>
      <c r="B23" s="207" t="s">
        <v>199</v>
      </c>
      <c r="C23" s="207" t="s">
        <v>199</v>
      </c>
      <c r="D23" s="192">
        <v>9153293.38</v>
      </c>
      <c r="E23" s="208" t="s">
        <v>199</v>
      </c>
      <c r="F23" s="208" t="s">
        <v>199</v>
      </c>
      <c r="G23" s="192">
        <f>D23-'[7]maijs'!D23</f>
        <v>522097.7800000012</v>
      </c>
      <c r="H23" s="198" t="s">
        <v>478</v>
      </c>
      <c r="I23" s="209" t="s">
        <v>199</v>
      </c>
      <c r="J23" s="209" t="s">
        <v>199</v>
      </c>
      <c r="K23" s="199">
        <f>ROUND(D23/1000,0)</f>
        <v>9153</v>
      </c>
      <c r="L23" s="210" t="s">
        <v>199</v>
      </c>
      <c r="M23" s="210" t="s">
        <v>199</v>
      </c>
      <c r="N23" s="199">
        <f>ROUND(G23/1000,0)</f>
        <v>522</v>
      </c>
      <c r="P23" s="190">
        <v>9153</v>
      </c>
      <c r="Q23">
        <v>8631</v>
      </c>
      <c r="R23" s="190">
        <f t="shared" si="1"/>
        <v>522</v>
      </c>
    </row>
    <row r="24" spans="1:18" ht="25.5">
      <c r="A24" s="197" t="s">
        <v>479</v>
      </c>
      <c r="B24" s="207" t="s">
        <v>199</v>
      </c>
      <c r="C24" s="207" t="s">
        <v>199</v>
      </c>
      <c r="D24" s="192">
        <v>13480491.29</v>
      </c>
      <c r="E24" s="208" t="s">
        <v>199</v>
      </c>
      <c r="F24" s="208" t="s">
        <v>199</v>
      </c>
      <c r="G24" s="192">
        <f>D24-'[7]maijs'!D24</f>
        <v>870759.6899999995</v>
      </c>
      <c r="H24" s="198" t="s">
        <v>479</v>
      </c>
      <c r="I24" s="209" t="s">
        <v>199</v>
      </c>
      <c r="J24" s="209" t="s">
        <v>199</v>
      </c>
      <c r="K24" s="199">
        <f>ROUND(D24/1000,0)</f>
        <v>13480</v>
      </c>
      <c r="L24" s="210" t="s">
        <v>199</v>
      </c>
      <c r="M24" s="210" t="s">
        <v>199</v>
      </c>
      <c r="N24" s="199">
        <f>ROUND(G24/1000,0)</f>
        <v>871</v>
      </c>
      <c r="P24" s="190">
        <v>13480</v>
      </c>
      <c r="Q24">
        <v>12610</v>
      </c>
      <c r="R24" s="190">
        <f t="shared" si="1"/>
        <v>870</v>
      </c>
    </row>
    <row r="25" spans="1:18" ht="25.5">
      <c r="A25" s="197" t="s">
        <v>480</v>
      </c>
      <c r="B25" s="207" t="s">
        <v>199</v>
      </c>
      <c r="C25" s="207" t="s">
        <v>199</v>
      </c>
      <c r="D25" s="192">
        <v>84803</v>
      </c>
      <c r="E25" s="208" t="s">
        <v>199</v>
      </c>
      <c r="F25" s="208" t="s">
        <v>199</v>
      </c>
      <c r="G25" s="192">
        <f>D25-'[7]maijs'!D25</f>
        <v>4956</v>
      </c>
      <c r="H25" s="198" t="s">
        <v>480</v>
      </c>
      <c r="I25" s="209" t="s">
        <v>199</v>
      </c>
      <c r="J25" s="209" t="s">
        <v>199</v>
      </c>
      <c r="K25" s="199">
        <f>ROUND(D25/1000,0)</f>
        <v>85</v>
      </c>
      <c r="L25" s="210" t="s">
        <v>199</v>
      </c>
      <c r="M25" s="210" t="s">
        <v>199</v>
      </c>
      <c r="N25" s="199">
        <f>ROUND(G25/1000,0)</f>
        <v>5</v>
      </c>
      <c r="P25" s="190">
        <v>85</v>
      </c>
      <c r="Q25">
        <v>80</v>
      </c>
      <c r="R25" s="190">
        <f t="shared" si="1"/>
        <v>5</v>
      </c>
    </row>
    <row r="26" spans="1:18" ht="12.75">
      <c r="A26" s="216" t="s">
        <v>481</v>
      </c>
      <c r="B26" s="184">
        <v>320862713</v>
      </c>
      <c r="C26" s="184">
        <v>167357301</v>
      </c>
      <c r="D26" s="184">
        <f>D27+D28+D29+D30+D32+D37+D38</f>
        <v>163293905.35999998</v>
      </c>
      <c r="E26" s="213">
        <f>IF(ISERROR(D26/B26)," ",(D26/B26))*100</f>
        <v>50.8921413252527</v>
      </c>
      <c r="F26" s="214">
        <f>IF(ISERROR(D26/C26)," ",(D26/C26))*100</f>
        <v>97.57202367884744</v>
      </c>
      <c r="G26" s="192">
        <f>D26-'[7]maijs'!D26</f>
        <v>34552799.12999998</v>
      </c>
      <c r="H26" s="217" t="s">
        <v>481</v>
      </c>
      <c r="I26" s="187">
        <f>ROUND(B26/1000,0)</f>
        <v>320863</v>
      </c>
      <c r="J26" s="187">
        <f>ROUND(C26/1000,0)</f>
        <v>167357</v>
      </c>
      <c r="K26" s="187">
        <f>K27+K28+K29+K30+K32+K37+K38</f>
        <v>163294</v>
      </c>
      <c r="L26" s="200">
        <f>E26</f>
        <v>50.8921413252527</v>
      </c>
      <c r="M26" s="212">
        <f>F26</f>
        <v>97.57202367884744</v>
      </c>
      <c r="N26" s="187">
        <f>N27+N28+N29+N30+N32+N37+N38</f>
        <v>34551</v>
      </c>
      <c r="P26" s="190">
        <v>163294</v>
      </c>
      <c r="Q26">
        <v>128741</v>
      </c>
      <c r="R26" s="190">
        <f t="shared" si="1"/>
        <v>34553</v>
      </c>
    </row>
    <row r="27" spans="1:18" ht="12.75">
      <c r="A27" s="205" t="s">
        <v>482</v>
      </c>
      <c r="B27" s="207" t="s">
        <v>199</v>
      </c>
      <c r="C27" s="207" t="s">
        <v>199</v>
      </c>
      <c r="D27" s="192">
        <v>11175148.86</v>
      </c>
      <c r="E27" s="208" t="s">
        <v>199</v>
      </c>
      <c r="F27" s="208" t="s">
        <v>199</v>
      </c>
      <c r="G27" s="192">
        <f>D27-'[7]maijs'!D27</f>
        <v>1793744.9299999997</v>
      </c>
      <c r="H27" s="206" t="s">
        <v>482</v>
      </c>
      <c r="I27" s="209" t="s">
        <v>199</v>
      </c>
      <c r="J27" s="209" t="s">
        <v>199</v>
      </c>
      <c r="K27" s="199">
        <f>ROUND(D27/1000,0)</f>
        <v>11175</v>
      </c>
      <c r="L27" s="210" t="s">
        <v>199</v>
      </c>
      <c r="M27" s="210" t="s">
        <v>199</v>
      </c>
      <c r="N27" s="199">
        <f>ROUND(G27/1000,0)-1</f>
        <v>1793</v>
      </c>
      <c r="P27" s="190">
        <v>11175</v>
      </c>
      <c r="Q27">
        <v>9381</v>
      </c>
      <c r="R27" s="190">
        <f t="shared" si="1"/>
        <v>1794</v>
      </c>
    </row>
    <row r="28" spans="1:18" ht="12.75">
      <c r="A28" s="197" t="s">
        <v>483</v>
      </c>
      <c r="B28" s="207" t="s">
        <v>199</v>
      </c>
      <c r="C28" s="207" t="s">
        <v>199</v>
      </c>
      <c r="D28" s="192">
        <v>59414271</v>
      </c>
      <c r="E28" s="208" t="s">
        <v>199</v>
      </c>
      <c r="F28" s="208" t="s">
        <v>199</v>
      </c>
      <c r="G28" s="192">
        <f>D28-'[7]maijs'!D28</f>
        <v>17786577</v>
      </c>
      <c r="H28" s="198" t="s">
        <v>483</v>
      </c>
      <c r="I28" s="209" t="s">
        <v>199</v>
      </c>
      <c r="J28" s="209" t="s">
        <v>199</v>
      </c>
      <c r="K28" s="199">
        <f>ROUND(D28/1000,0)</f>
        <v>59414</v>
      </c>
      <c r="L28" s="210" t="s">
        <v>199</v>
      </c>
      <c r="M28" s="210" t="s">
        <v>199</v>
      </c>
      <c r="N28" s="199">
        <f>ROUND(G28/1000,0)-1</f>
        <v>17786</v>
      </c>
      <c r="P28" s="190">
        <v>59414</v>
      </c>
      <c r="Q28">
        <v>41628</v>
      </c>
      <c r="R28" s="190">
        <f t="shared" si="1"/>
        <v>17786</v>
      </c>
    </row>
    <row r="29" spans="1:18" ht="12.75">
      <c r="A29" s="197" t="s">
        <v>484</v>
      </c>
      <c r="B29" s="207" t="s">
        <v>199</v>
      </c>
      <c r="C29" s="207" t="s">
        <v>199</v>
      </c>
      <c r="D29" s="192">
        <v>3793835</v>
      </c>
      <c r="E29" s="208" t="s">
        <v>199</v>
      </c>
      <c r="F29" s="208" t="s">
        <v>199</v>
      </c>
      <c r="G29" s="192">
        <f>D29-'[7]maijs'!D29</f>
        <v>619917</v>
      </c>
      <c r="H29" s="198" t="s">
        <v>484</v>
      </c>
      <c r="I29" s="209" t="s">
        <v>199</v>
      </c>
      <c r="J29" s="209" t="s">
        <v>199</v>
      </c>
      <c r="K29" s="199">
        <f>ROUND(D29/1000,0)</f>
        <v>3794</v>
      </c>
      <c r="L29" s="210" t="s">
        <v>199</v>
      </c>
      <c r="M29" s="210" t="s">
        <v>199</v>
      </c>
      <c r="N29" s="199">
        <f>ROUND(G29/1000,0)</f>
        <v>620</v>
      </c>
      <c r="P29" s="190">
        <v>3794</v>
      </c>
      <c r="Q29">
        <v>3174</v>
      </c>
      <c r="R29" s="190">
        <f t="shared" si="1"/>
        <v>620</v>
      </c>
    </row>
    <row r="30" spans="1:18" ht="25.5">
      <c r="A30" s="197" t="s">
        <v>485</v>
      </c>
      <c r="B30" s="192">
        <v>28083326</v>
      </c>
      <c r="C30" s="192">
        <v>14630222</v>
      </c>
      <c r="D30" s="192">
        <v>13871150.36</v>
      </c>
      <c r="E30" s="208" t="s">
        <v>199</v>
      </c>
      <c r="F30" s="194">
        <f>IF(ISERROR(D30/C30)," ",(D30/C30))*100</f>
        <v>94.81161912649036</v>
      </c>
      <c r="G30" s="192">
        <f>D30-'[7]maijs'!D30</f>
        <v>2381529.969999999</v>
      </c>
      <c r="H30" s="198" t="s">
        <v>485</v>
      </c>
      <c r="I30" s="199">
        <f>ROUND(B30/1000,0)</f>
        <v>28083</v>
      </c>
      <c r="J30" s="199">
        <f>ROUND(C30/1000,0)</f>
        <v>14630</v>
      </c>
      <c r="K30" s="199">
        <f>ROUND(D30/1000,0)</f>
        <v>13871</v>
      </c>
      <c r="L30" s="196" t="str">
        <f>E30</f>
        <v>x</v>
      </c>
      <c r="M30" s="212">
        <f>F30</f>
        <v>94.81161912649036</v>
      </c>
      <c r="N30" s="199">
        <f>ROUND(G30/1000,0)-1</f>
        <v>2381</v>
      </c>
      <c r="P30" s="190">
        <v>13871</v>
      </c>
      <c r="Q30">
        <v>11490</v>
      </c>
      <c r="R30" s="190">
        <f t="shared" si="1"/>
        <v>2381</v>
      </c>
    </row>
    <row r="31" spans="1:18" ht="25.5">
      <c r="A31" s="197" t="s">
        <v>486</v>
      </c>
      <c r="B31" s="192"/>
      <c r="C31" s="192"/>
      <c r="D31" s="192"/>
      <c r="E31" s="208"/>
      <c r="F31" s="194"/>
      <c r="G31" s="192">
        <f>D31-'[7]maijs'!D31</f>
        <v>0</v>
      </c>
      <c r="H31" s="198" t="s">
        <v>486</v>
      </c>
      <c r="I31" s="199">
        <f>ROUND(B31/1000,0)</f>
        <v>0</v>
      </c>
      <c r="J31" s="199"/>
      <c r="K31" s="199"/>
      <c r="L31" s="210"/>
      <c r="M31" s="212"/>
      <c r="N31" s="187">
        <f aca="true" t="shared" si="6" ref="N31:N36">ROUND(G31/1000,0)</f>
        <v>0</v>
      </c>
      <c r="P31" s="190"/>
      <c r="R31" s="190">
        <f t="shared" si="1"/>
        <v>0</v>
      </c>
    </row>
    <row r="32" spans="1:18" ht="12.75">
      <c r="A32" s="197" t="s">
        <v>487</v>
      </c>
      <c r="B32" s="192">
        <v>74179712</v>
      </c>
      <c r="C32" s="192">
        <v>38610300</v>
      </c>
      <c r="D32" s="192">
        <v>38391854.32</v>
      </c>
      <c r="E32" s="208" t="s">
        <v>199</v>
      </c>
      <c r="F32" s="194">
        <f>IF(ISERROR(D32/C32)," ",(D32/C32))*100</f>
        <v>99.43422951906615</v>
      </c>
      <c r="G32" s="192">
        <f>D32-'[7]maijs'!D32</f>
        <v>6549533.080000002</v>
      </c>
      <c r="H32" s="198" t="s">
        <v>487</v>
      </c>
      <c r="I32" s="199">
        <f>ROUND(B32/1000,0)</f>
        <v>74180</v>
      </c>
      <c r="J32" s="199">
        <f>ROUND(C32/1000,0)</f>
        <v>38610</v>
      </c>
      <c r="K32" s="199">
        <f>ROUND(D32/1000,0)+1</f>
        <v>38393</v>
      </c>
      <c r="L32" s="196" t="str">
        <f>E32</f>
        <v>x</v>
      </c>
      <c r="M32" s="212">
        <f>F32</f>
        <v>99.43422951906615</v>
      </c>
      <c r="N32" s="199">
        <f t="shared" si="6"/>
        <v>6550</v>
      </c>
      <c r="P32" s="190">
        <v>38392</v>
      </c>
      <c r="Q32">
        <v>31842</v>
      </c>
      <c r="R32" s="190">
        <f t="shared" si="1"/>
        <v>6550</v>
      </c>
    </row>
    <row r="33" spans="1:18" ht="12.75">
      <c r="A33" s="218" t="s">
        <v>488</v>
      </c>
      <c r="B33" s="207" t="s">
        <v>199</v>
      </c>
      <c r="C33" s="207" t="s">
        <v>199</v>
      </c>
      <c r="D33" s="192">
        <v>950645.56</v>
      </c>
      <c r="E33" s="208" t="s">
        <v>199</v>
      </c>
      <c r="F33" s="208" t="s">
        <v>199</v>
      </c>
      <c r="G33" s="192">
        <f>D33-'[7]maijs'!D33</f>
        <v>162598.69000000006</v>
      </c>
      <c r="H33" s="219" t="s">
        <v>324</v>
      </c>
      <c r="I33" s="209" t="s">
        <v>199</v>
      </c>
      <c r="J33" s="209" t="s">
        <v>199</v>
      </c>
      <c r="K33" s="199">
        <f aca="true" t="shared" si="7" ref="K33:K39">ROUND(D33/1000,0)</f>
        <v>951</v>
      </c>
      <c r="L33" s="210" t="s">
        <v>199</v>
      </c>
      <c r="M33" s="210" t="s">
        <v>199</v>
      </c>
      <c r="N33" s="199">
        <f t="shared" si="6"/>
        <v>163</v>
      </c>
      <c r="P33" s="190">
        <v>951</v>
      </c>
      <c r="Q33">
        <v>788</v>
      </c>
      <c r="R33" s="190">
        <f t="shared" si="1"/>
        <v>163</v>
      </c>
    </row>
    <row r="34" spans="1:18" ht="12.75">
      <c r="A34" s="220" t="s">
        <v>489</v>
      </c>
      <c r="B34" s="207" t="s">
        <v>199</v>
      </c>
      <c r="C34" s="207" t="s">
        <v>199</v>
      </c>
      <c r="D34" s="192">
        <v>27812557.13</v>
      </c>
      <c r="E34" s="208" t="s">
        <v>199</v>
      </c>
      <c r="F34" s="208" t="s">
        <v>199</v>
      </c>
      <c r="G34" s="192">
        <f>D34-'[7]maijs'!D34</f>
        <v>4516491.59</v>
      </c>
      <c r="H34" s="221" t="s">
        <v>489</v>
      </c>
      <c r="I34" s="209" t="s">
        <v>199</v>
      </c>
      <c r="J34" s="209" t="s">
        <v>199</v>
      </c>
      <c r="K34" s="199">
        <f t="shared" si="7"/>
        <v>27813</v>
      </c>
      <c r="L34" s="210" t="s">
        <v>199</v>
      </c>
      <c r="M34" s="210" t="s">
        <v>199</v>
      </c>
      <c r="N34" s="199">
        <f>ROUND(G34/1000,0)+1</f>
        <v>4517</v>
      </c>
      <c r="P34" s="190">
        <v>27813</v>
      </c>
      <c r="Q34">
        <v>23296</v>
      </c>
      <c r="R34" s="190">
        <f t="shared" si="1"/>
        <v>4517</v>
      </c>
    </row>
    <row r="35" spans="1:18" ht="12.75">
      <c r="A35" s="220" t="s">
        <v>490</v>
      </c>
      <c r="B35" s="207" t="s">
        <v>199</v>
      </c>
      <c r="C35" s="207" t="s">
        <v>199</v>
      </c>
      <c r="D35" s="192">
        <v>4032027.41</v>
      </c>
      <c r="E35" s="208" t="s">
        <v>199</v>
      </c>
      <c r="F35" s="208" t="s">
        <v>199</v>
      </c>
      <c r="G35" s="192">
        <f>D35-'[7]maijs'!D35</f>
        <v>988006.96</v>
      </c>
      <c r="H35" s="221" t="s">
        <v>490</v>
      </c>
      <c r="I35" s="209" t="s">
        <v>199</v>
      </c>
      <c r="J35" s="209" t="s">
        <v>199</v>
      </c>
      <c r="K35" s="199">
        <f t="shared" si="7"/>
        <v>4032</v>
      </c>
      <c r="L35" s="210" t="s">
        <v>199</v>
      </c>
      <c r="M35" s="210" t="s">
        <v>199</v>
      </c>
      <c r="N35" s="199">
        <f t="shared" si="6"/>
        <v>988</v>
      </c>
      <c r="P35" s="190">
        <v>4032</v>
      </c>
      <c r="Q35">
        <v>3044</v>
      </c>
      <c r="R35" s="190">
        <f t="shared" si="1"/>
        <v>988</v>
      </c>
    </row>
    <row r="36" spans="1:18" ht="12.75">
      <c r="A36" s="220" t="s">
        <v>491</v>
      </c>
      <c r="B36" s="207" t="s">
        <v>199</v>
      </c>
      <c r="C36" s="207" t="s">
        <v>199</v>
      </c>
      <c r="D36" s="192">
        <v>5596624.22</v>
      </c>
      <c r="E36" s="208" t="s">
        <v>199</v>
      </c>
      <c r="F36" s="208" t="s">
        <v>199</v>
      </c>
      <c r="G36" s="192">
        <f>D36-'[7]maijs'!D36</f>
        <v>882435.8399999999</v>
      </c>
      <c r="H36" s="221" t="s">
        <v>491</v>
      </c>
      <c r="I36" s="209" t="s">
        <v>199</v>
      </c>
      <c r="J36" s="209" t="s">
        <v>199</v>
      </c>
      <c r="K36" s="199">
        <f t="shared" si="7"/>
        <v>5597</v>
      </c>
      <c r="L36" s="210" t="s">
        <v>199</v>
      </c>
      <c r="M36" s="210" t="s">
        <v>199</v>
      </c>
      <c r="N36" s="199">
        <f t="shared" si="6"/>
        <v>882</v>
      </c>
      <c r="P36" s="190">
        <v>5597</v>
      </c>
      <c r="Q36">
        <v>4714</v>
      </c>
      <c r="R36" s="190">
        <f t="shared" si="1"/>
        <v>883</v>
      </c>
    </row>
    <row r="37" spans="1:18" ht="25.5">
      <c r="A37" s="197" t="s">
        <v>492</v>
      </c>
      <c r="B37" s="192">
        <v>6586805</v>
      </c>
      <c r="C37" s="192">
        <v>4823287</v>
      </c>
      <c r="D37" s="192">
        <v>3494417.82</v>
      </c>
      <c r="E37" s="193">
        <f>IF(ISERROR(D37/B37)," ",(D37/B37))*100</f>
        <v>53.051787930567244</v>
      </c>
      <c r="F37" s="194">
        <f>IF(ISERROR(D37/C37)," ",(D37/C37))*100</f>
        <v>72.44888848621282</v>
      </c>
      <c r="G37" s="192">
        <f>D37-'[7]maijs'!D37</f>
        <v>122163.1499999999</v>
      </c>
      <c r="H37" s="198" t="s">
        <v>492</v>
      </c>
      <c r="I37" s="199">
        <f>ROUND(B37/1000,0)</f>
        <v>6587</v>
      </c>
      <c r="J37" s="199">
        <f>ROUND(C37/1000,0)+1</f>
        <v>4824</v>
      </c>
      <c r="K37" s="199">
        <f t="shared" si="7"/>
        <v>3494</v>
      </c>
      <c r="L37" s="200">
        <f>E37</f>
        <v>53.051787930567244</v>
      </c>
      <c r="M37" s="212">
        <f>F37</f>
        <v>72.44888848621282</v>
      </c>
      <c r="N37" s="199">
        <f>ROUND(G37/1000,0)</f>
        <v>122</v>
      </c>
      <c r="P37" s="190">
        <v>3494</v>
      </c>
      <c r="Q37">
        <v>3372</v>
      </c>
      <c r="R37" s="190">
        <f t="shared" si="1"/>
        <v>122</v>
      </c>
    </row>
    <row r="38" spans="1:18" ht="12.75">
      <c r="A38" s="222" t="s">
        <v>493</v>
      </c>
      <c r="B38" s="207" t="s">
        <v>199</v>
      </c>
      <c r="C38" s="192">
        <v>109293492</v>
      </c>
      <c r="D38" s="192">
        <v>33153228</v>
      </c>
      <c r="E38" s="208" t="s">
        <v>199</v>
      </c>
      <c r="F38" s="194">
        <f>IF(ISERROR(D38/C38)," ",(D38/C38))*100</f>
        <v>30.334128220553154</v>
      </c>
      <c r="G38" s="192">
        <f>D38-'[7]maijs'!D38</f>
        <v>5299334</v>
      </c>
      <c r="H38" s="223" t="s">
        <v>493</v>
      </c>
      <c r="I38" s="209" t="s">
        <v>199</v>
      </c>
      <c r="J38" s="199">
        <f>ROUND(C38/1000,0)</f>
        <v>109293</v>
      </c>
      <c r="K38" s="199">
        <f t="shared" si="7"/>
        <v>33153</v>
      </c>
      <c r="L38" s="210" t="s">
        <v>199</v>
      </c>
      <c r="M38" s="212">
        <f>F38</f>
        <v>30.334128220553154</v>
      </c>
      <c r="N38" s="199">
        <f>ROUND(G38/1000,0)</f>
        <v>5299</v>
      </c>
      <c r="P38" s="190">
        <v>33153</v>
      </c>
      <c r="Q38">
        <v>27854</v>
      </c>
      <c r="R38" s="190">
        <f t="shared" si="1"/>
        <v>5299</v>
      </c>
    </row>
    <row r="39" spans="1:18" ht="12.75">
      <c r="A39" s="220" t="s">
        <v>494</v>
      </c>
      <c r="B39" s="207" t="s">
        <v>199</v>
      </c>
      <c r="C39" s="207" t="s">
        <v>199</v>
      </c>
      <c r="D39" s="192">
        <v>33153228</v>
      </c>
      <c r="E39" s="208" t="s">
        <v>199</v>
      </c>
      <c r="F39" s="208" t="s">
        <v>199</v>
      </c>
      <c r="G39" s="192">
        <f>D39-'[7]maijs'!D39</f>
        <v>5299334</v>
      </c>
      <c r="H39" s="221" t="s">
        <v>494</v>
      </c>
      <c r="I39" s="209" t="s">
        <v>199</v>
      </c>
      <c r="J39" s="209" t="s">
        <v>199</v>
      </c>
      <c r="K39" s="199">
        <f t="shared" si="7"/>
        <v>33153</v>
      </c>
      <c r="L39" s="210" t="s">
        <v>199</v>
      </c>
      <c r="M39" s="210" t="s">
        <v>199</v>
      </c>
      <c r="N39" s="199">
        <f>ROUND(G39/1000,0)</f>
        <v>5299</v>
      </c>
      <c r="P39" s="190">
        <v>33153</v>
      </c>
      <c r="Q39">
        <v>27854</v>
      </c>
      <c r="R39" s="190">
        <f t="shared" si="1"/>
        <v>5299</v>
      </c>
    </row>
    <row r="40" spans="1:18" ht="25.5">
      <c r="A40" s="222" t="s">
        <v>495</v>
      </c>
      <c r="B40" s="207" t="s">
        <v>199</v>
      </c>
      <c r="C40" s="207" t="s">
        <v>199</v>
      </c>
      <c r="D40" s="207"/>
      <c r="E40" s="208" t="s">
        <v>199</v>
      </c>
      <c r="F40" s="208" t="s">
        <v>199</v>
      </c>
      <c r="G40" s="192">
        <f>D40-'[7]maijs'!D40</f>
        <v>0</v>
      </c>
      <c r="H40" s="223" t="s">
        <v>495</v>
      </c>
      <c r="I40" s="209" t="s">
        <v>199</v>
      </c>
      <c r="J40" s="209" t="s">
        <v>199</v>
      </c>
      <c r="K40" s="209"/>
      <c r="L40" s="210" t="s">
        <v>199</v>
      </c>
      <c r="M40" s="210" t="s">
        <v>199</v>
      </c>
      <c r="N40" s="187">
        <f>ROUND(G40/1000,0)</f>
        <v>0</v>
      </c>
      <c r="P40" s="190"/>
      <c r="R40" s="190">
        <f t="shared" si="1"/>
        <v>0</v>
      </c>
    </row>
    <row r="41" spans="1:18" ht="12.75">
      <c r="A41" s="224" t="s">
        <v>496</v>
      </c>
      <c r="B41" s="184">
        <v>79220109</v>
      </c>
      <c r="C41" s="184">
        <f>C42+C43</f>
        <v>35951490</v>
      </c>
      <c r="D41" s="184">
        <f>D42+D43</f>
        <v>24162853.17</v>
      </c>
      <c r="E41" s="213">
        <f>IF(ISERROR(D41/B41)," ",(D41/B41))*100</f>
        <v>30.50090876547519</v>
      </c>
      <c r="F41" s="225">
        <f>IF(ISERROR(D41/C41)," ",(D41/C41))*100</f>
        <v>67.2096015213834</v>
      </c>
      <c r="G41" s="192">
        <f>D41-'[7]maijs'!D41</f>
        <v>5052678.460000001</v>
      </c>
      <c r="H41" s="226" t="s">
        <v>496</v>
      </c>
      <c r="I41" s="187">
        <f>ROUND(B41/1000,0)</f>
        <v>79220</v>
      </c>
      <c r="J41" s="187">
        <f>ROUND(C41/1000,0)</f>
        <v>35951</v>
      </c>
      <c r="K41" s="187">
        <f>K42+K43</f>
        <v>24163</v>
      </c>
      <c r="L41" s="212">
        <f aca="true" t="shared" si="8" ref="L41:M43">E41</f>
        <v>30.50090876547519</v>
      </c>
      <c r="M41" s="212">
        <f t="shared" si="8"/>
        <v>67.2096015213834</v>
      </c>
      <c r="N41" s="187">
        <f>N42+N43</f>
        <v>5053</v>
      </c>
      <c r="P41" s="190">
        <v>24162</v>
      </c>
      <c r="Q41">
        <v>19110</v>
      </c>
      <c r="R41" s="190">
        <f t="shared" si="1"/>
        <v>5052</v>
      </c>
    </row>
    <row r="42" spans="1:18" ht="12.75">
      <c r="A42" s="227" t="s">
        <v>497</v>
      </c>
      <c r="B42" s="192">
        <v>24674763</v>
      </c>
      <c r="C42" s="192">
        <v>11287496</v>
      </c>
      <c r="D42" s="192">
        <v>8324482.68</v>
      </c>
      <c r="E42" s="193">
        <f>IF(ISERROR(D42/B42)," ",(D42/B42))*100</f>
        <v>33.73682932638502</v>
      </c>
      <c r="F42" s="208">
        <f>IF(ISERROR(D42/C42)," ",(D42/C42))*100</f>
        <v>73.74959583595866</v>
      </c>
      <c r="G42" s="192">
        <f>D42-'[7]maijs'!D42</f>
        <v>1383665.6799999997</v>
      </c>
      <c r="H42" s="228" t="s">
        <v>497</v>
      </c>
      <c r="I42" s="199">
        <f>ROUND(B42/1000,0)</f>
        <v>24675</v>
      </c>
      <c r="J42" s="199">
        <f>ROUND(C42/1000,0)</f>
        <v>11287</v>
      </c>
      <c r="K42" s="199">
        <f>ROUND(D42/1000,0)+1</f>
        <v>8325</v>
      </c>
      <c r="L42" s="212">
        <f t="shared" si="8"/>
        <v>33.73682932638502</v>
      </c>
      <c r="M42" s="212">
        <f t="shared" si="8"/>
        <v>73.74959583595866</v>
      </c>
      <c r="N42" s="199">
        <f>ROUND(G42/1000,0)</f>
        <v>1384</v>
      </c>
      <c r="P42" s="190">
        <v>8325</v>
      </c>
      <c r="Q42">
        <v>6941</v>
      </c>
      <c r="R42" s="190">
        <f t="shared" si="1"/>
        <v>1384</v>
      </c>
    </row>
    <row r="43" spans="1:18" ht="12.75">
      <c r="A43" s="197" t="s">
        <v>498</v>
      </c>
      <c r="B43" s="192">
        <v>54545346</v>
      </c>
      <c r="C43" s="192">
        <v>24663994</v>
      </c>
      <c r="D43" s="192">
        <v>15838370.49</v>
      </c>
      <c r="E43" s="193">
        <f>IF(ISERROR(D43/B43)," ",(D43/B43))*100</f>
        <v>29.037070348769994</v>
      </c>
      <c r="F43" s="208">
        <f>IF(ISERROR(D43/C43)," ",(D43/C43))*100</f>
        <v>64.21656804652159</v>
      </c>
      <c r="G43" s="192">
        <f>D43-'[7]maijs'!D43</f>
        <v>3669012.7799999993</v>
      </c>
      <c r="H43" s="198" t="s">
        <v>498</v>
      </c>
      <c r="I43" s="199">
        <f>ROUND(B43/1000,0)</f>
        <v>54545</v>
      </c>
      <c r="J43" s="199">
        <f>ROUND(C43/1000,0)+1</f>
        <v>24665</v>
      </c>
      <c r="K43" s="199">
        <f aca="true" t="shared" si="9" ref="K43:K50">ROUND(D43/1000,0)</f>
        <v>15838</v>
      </c>
      <c r="L43" s="212">
        <f t="shared" si="8"/>
        <v>29.037070348769994</v>
      </c>
      <c r="M43" s="212">
        <f t="shared" si="8"/>
        <v>64.21656804652159</v>
      </c>
      <c r="N43" s="199">
        <f aca="true" t="shared" si="10" ref="N43:N50">ROUND(G43/1000,0)</f>
        <v>3669</v>
      </c>
      <c r="P43" s="190">
        <v>15838</v>
      </c>
      <c r="Q43">
        <v>12169</v>
      </c>
      <c r="R43" s="190">
        <f t="shared" si="1"/>
        <v>3669</v>
      </c>
    </row>
    <row r="44" spans="1:18" ht="12.75">
      <c r="A44" s="229" t="s">
        <v>499</v>
      </c>
      <c r="B44" s="207" t="s">
        <v>199</v>
      </c>
      <c r="C44" s="207" t="s">
        <v>199</v>
      </c>
      <c r="D44" s="192">
        <v>614680</v>
      </c>
      <c r="E44" s="208" t="s">
        <v>199</v>
      </c>
      <c r="F44" s="208" t="s">
        <v>199</v>
      </c>
      <c r="G44" s="192">
        <f>D44-'[7]maijs'!D44</f>
        <v>124000</v>
      </c>
      <c r="H44" s="230" t="s">
        <v>499</v>
      </c>
      <c r="I44" s="209" t="s">
        <v>199</v>
      </c>
      <c r="J44" s="209" t="s">
        <v>199</v>
      </c>
      <c r="K44" s="199">
        <f t="shared" si="9"/>
        <v>615</v>
      </c>
      <c r="L44" s="210" t="s">
        <v>199</v>
      </c>
      <c r="M44" s="210" t="s">
        <v>199</v>
      </c>
      <c r="N44" s="199">
        <f t="shared" si="10"/>
        <v>124</v>
      </c>
      <c r="P44" s="190">
        <v>615</v>
      </c>
      <c r="Q44">
        <v>491</v>
      </c>
      <c r="R44" s="190">
        <f t="shared" si="1"/>
        <v>124</v>
      </c>
    </row>
    <row r="45" spans="1:18" ht="12.75">
      <c r="A45" s="229" t="s">
        <v>500</v>
      </c>
      <c r="B45" s="207" t="s">
        <v>199</v>
      </c>
      <c r="C45" s="207" t="s">
        <v>199</v>
      </c>
      <c r="D45" s="192">
        <v>2871496.77</v>
      </c>
      <c r="E45" s="208" t="s">
        <v>199</v>
      </c>
      <c r="F45" s="208" t="s">
        <v>199</v>
      </c>
      <c r="G45" s="192">
        <f>D45-'[7]maijs'!D45</f>
        <v>719866.3399999999</v>
      </c>
      <c r="H45" s="230" t="s">
        <v>500</v>
      </c>
      <c r="I45" s="209" t="s">
        <v>199</v>
      </c>
      <c r="J45" s="209" t="s">
        <v>199</v>
      </c>
      <c r="K45" s="199">
        <f t="shared" si="9"/>
        <v>2871</v>
      </c>
      <c r="L45" s="210" t="s">
        <v>199</v>
      </c>
      <c r="M45" s="210" t="s">
        <v>199</v>
      </c>
      <c r="N45" s="199">
        <f>ROUND(G45/1000,0)-1</f>
        <v>719</v>
      </c>
      <c r="P45" s="190">
        <v>2871</v>
      </c>
      <c r="Q45">
        <v>2152</v>
      </c>
      <c r="R45" s="190">
        <f t="shared" si="1"/>
        <v>719</v>
      </c>
    </row>
    <row r="46" spans="1:18" ht="25.5">
      <c r="A46" s="183" t="s">
        <v>501</v>
      </c>
      <c r="B46" s="184">
        <v>48898920</v>
      </c>
      <c r="C46" s="184"/>
      <c r="D46" s="184">
        <v>12770965</v>
      </c>
      <c r="E46" s="193">
        <f>IF(ISERROR(D46/B46)," ",(D46/B46))*100</f>
        <v>26.117069661252234</v>
      </c>
      <c r="F46" s="208"/>
      <c r="G46" s="192">
        <f>D46-'[7]maijs'!D46</f>
        <v>-4443009</v>
      </c>
      <c r="H46" s="186" t="s">
        <v>501</v>
      </c>
      <c r="I46" s="187">
        <f>ROUND(B46/1000,0)</f>
        <v>48899</v>
      </c>
      <c r="J46" s="187"/>
      <c r="K46" s="187">
        <f t="shared" si="9"/>
        <v>12771</v>
      </c>
      <c r="L46" s="200">
        <f>E46</f>
        <v>26.117069661252234</v>
      </c>
      <c r="M46" s="210">
        <f>F46</f>
        <v>0</v>
      </c>
      <c r="N46" s="187">
        <f t="shared" si="10"/>
        <v>-4443</v>
      </c>
      <c r="P46" s="190">
        <v>17726</v>
      </c>
      <c r="Q46">
        <v>17214</v>
      </c>
      <c r="R46" s="190">
        <f t="shared" si="1"/>
        <v>512</v>
      </c>
    </row>
    <row r="47" spans="1:18" ht="12.75">
      <c r="A47" s="205" t="s">
        <v>502</v>
      </c>
      <c r="B47" s="207" t="s">
        <v>199</v>
      </c>
      <c r="C47" s="207" t="s">
        <v>199</v>
      </c>
      <c r="D47" s="192">
        <v>33958902</v>
      </c>
      <c r="E47" s="208" t="s">
        <v>199</v>
      </c>
      <c r="F47" s="208" t="s">
        <v>199</v>
      </c>
      <c r="G47" s="192">
        <f>D47-'[7]maijs'!D47</f>
        <v>3890942</v>
      </c>
      <c r="H47" s="206" t="s">
        <v>502</v>
      </c>
      <c r="I47" s="209" t="s">
        <v>199</v>
      </c>
      <c r="J47" s="209" t="s">
        <v>199</v>
      </c>
      <c r="K47" s="187">
        <f t="shared" si="9"/>
        <v>33959</v>
      </c>
      <c r="L47" s="210" t="s">
        <v>199</v>
      </c>
      <c r="M47" s="210" t="s">
        <v>199</v>
      </c>
      <c r="N47" s="199">
        <f t="shared" si="10"/>
        <v>3891</v>
      </c>
      <c r="P47" s="190">
        <v>33959</v>
      </c>
      <c r="Q47">
        <v>30068</v>
      </c>
      <c r="R47" s="190">
        <f t="shared" si="1"/>
        <v>3891</v>
      </c>
    </row>
    <row r="48" spans="1:18" ht="12.75">
      <c r="A48" s="231" t="s">
        <v>503</v>
      </c>
      <c r="B48" s="207" t="s">
        <v>199</v>
      </c>
      <c r="C48" s="207" t="s">
        <v>199</v>
      </c>
      <c r="D48" s="192">
        <v>22694713</v>
      </c>
      <c r="E48" s="208" t="s">
        <v>199</v>
      </c>
      <c r="F48" s="208" t="s">
        <v>199</v>
      </c>
      <c r="G48" s="192">
        <f>D48-'[7]maijs'!D48</f>
        <v>319667</v>
      </c>
      <c r="H48" s="232" t="s">
        <v>503</v>
      </c>
      <c r="I48" s="209" t="s">
        <v>199</v>
      </c>
      <c r="J48" s="209" t="s">
        <v>199</v>
      </c>
      <c r="K48" s="199">
        <f t="shared" si="9"/>
        <v>22695</v>
      </c>
      <c r="L48" s="210" t="s">
        <v>199</v>
      </c>
      <c r="M48" s="210" t="s">
        <v>199</v>
      </c>
      <c r="N48" s="199">
        <f t="shared" si="10"/>
        <v>320</v>
      </c>
      <c r="P48" s="190">
        <v>22695</v>
      </c>
      <c r="Q48">
        <v>22375</v>
      </c>
      <c r="R48" s="190">
        <f t="shared" si="1"/>
        <v>320</v>
      </c>
    </row>
    <row r="49" spans="1:18" ht="25.5">
      <c r="A49" s="222" t="s">
        <v>504</v>
      </c>
      <c r="B49" s="207" t="s">
        <v>199</v>
      </c>
      <c r="C49" s="207" t="s">
        <v>199</v>
      </c>
      <c r="D49" s="192">
        <v>21187937</v>
      </c>
      <c r="E49" s="208" t="s">
        <v>199</v>
      </c>
      <c r="F49" s="208" t="s">
        <v>199</v>
      </c>
      <c r="G49" s="192">
        <f>D49-'[7]maijs'!D49</f>
        <v>8333951</v>
      </c>
      <c r="H49" s="223" t="s">
        <v>504</v>
      </c>
      <c r="I49" s="209" t="s">
        <v>199</v>
      </c>
      <c r="J49" s="209" t="s">
        <v>199</v>
      </c>
      <c r="K49" s="187">
        <f t="shared" si="9"/>
        <v>21188</v>
      </c>
      <c r="L49" s="210" t="s">
        <v>199</v>
      </c>
      <c r="M49" s="210" t="s">
        <v>199</v>
      </c>
      <c r="N49" s="187">
        <f t="shared" si="10"/>
        <v>8334</v>
      </c>
      <c r="P49" s="190">
        <v>21233</v>
      </c>
      <c r="Q49">
        <v>12854</v>
      </c>
      <c r="R49" s="190">
        <f t="shared" si="1"/>
        <v>8379</v>
      </c>
    </row>
    <row r="50" spans="1:18" ht="12.75">
      <c r="A50" s="231" t="s">
        <v>505</v>
      </c>
      <c r="B50" s="207" t="s">
        <v>199</v>
      </c>
      <c r="C50" s="207" t="s">
        <v>199</v>
      </c>
      <c r="D50" s="192">
        <v>3287816</v>
      </c>
      <c r="E50" s="208" t="s">
        <v>199</v>
      </c>
      <c r="F50" s="208" t="s">
        <v>199</v>
      </c>
      <c r="G50" s="192">
        <f>D50-'[7]maijs'!D50</f>
        <v>476592</v>
      </c>
      <c r="H50" s="232" t="s">
        <v>505</v>
      </c>
      <c r="I50" s="209" t="s">
        <v>199</v>
      </c>
      <c r="J50" s="209" t="s">
        <v>199</v>
      </c>
      <c r="K50" s="199">
        <f t="shared" si="9"/>
        <v>3288</v>
      </c>
      <c r="L50" s="210" t="s">
        <v>199</v>
      </c>
      <c r="M50" s="210" t="s">
        <v>199</v>
      </c>
      <c r="N50" s="199">
        <f t="shared" si="10"/>
        <v>477</v>
      </c>
      <c r="P50" s="190">
        <v>3333</v>
      </c>
      <c r="Q50">
        <v>2811</v>
      </c>
      <c r="R50" s="190">
        <f t="shared" si="1"/>
        <v>522</v>
      </c>
    </row>
    <row r="51" spans="1:18" ht="12.75">
      <c r="A51" s="205" t="s">
        <v>506</v>
      </c>
      <c r="B51" s="192">
        <v>-76079377</v>
      </c>
      <c r="C51" s="207" t="s">
        <v>199</v>
      </c>
      <c r="D51" s="192">
        <v>-28630205</v>
      </c>
      <c r="E51" s="208" t="s">
        <v>199</v>
      </c>
      <c r="F51" s="208" t="s">
        <v>199</v>
      </c>
      <c r="G51" s="192">
        <f>D51-'[7]maijs'!D51</f>
        <v>1480375</v>
      </c>
      <c r="H51" s="206" t="s">
        <v>506</v>
      </c>
      <c r="I51" s="187">
        <f>ROUND(B51/1000,0)</f>
        <v>-76079</v>
      </c>
      <c r="J51" s="209" t="s">
        <v>199</v>
      </c>
      <c r="K51" s="199">
        <f>ROUND(D51/1000,0)</f>
        <v>-28630</v>
      </c>
      <c r="L51" s="210" t="s">
        <v>199</v>
      </c>
      <c r="M51" s="210" t="s">
        <v>199</v>
      </c>
      <c r="N51" s="187">
        <f>N10-N16-N46</f>
        <v>1481</v>
      </c>
      <c r="P51" s="190">
        <v>-28630</v>
      </c>
      <c r="Q51">
        <v>-30112</v>
      </c>
      <c r="R51" s="190">
        <f t="shared" si="1"/>
        <v>1482</v>
      </c>
    </row>
    <row r="52" spans="1:18" ht="12.75">
      <c r="A52" s="110" t="s">
        <v>507</v>
      </c>
      <c r="B52" s="192">
        <f>SUM(B53:B55)</f>
        <v>76079377</v>
      </c>
      <c r="C52" s="207" t="s">
        <v>199</v>
      </c>
      <c r="D52" s="192">
        <v>28630205</v>
      </c>
      <c r="E52" s="208" t="s">
        <v>199</v>
      </c>
      <c r="F52" s="208" t="s">
        <v>199</v>
      </c>
      <c r="G52" s="192">
        <f>D52-'[7]maijs'!D52</f>
        <v>-1480375</v>
      </c>
      <c r="H52" s="233" t="s">
        <v>507</v>
      </c>
      <c r="I52" s="187">
        <f>ROUND(B52/1000,0)</f>
        <v>76079</v>
      </c>
      <c r="J52" s="209" t="s">
        <v>199</v>
      </c>
      <c r="K52" s="187">
        <f>ROUND(D52/1000,0)</f>
        <v>28630</v>
      </c>
      <c r="L52" s="210" t="s">
        <v>199</v>
      </c>
      <c r="M52" s="210" t="s">
        <v>199</v>
      </c>
      <c r="N52" s="187">
        <f>N53+N55+N54</f>
        <v>-1481</v>
      </c>
      <c r="P52" s="190">
        <v>28630</v>
      </c>
      <c r="Q52">
        <v>30112</v>
      </c>
      <c r="R52" s="190">
        <f t="shared" si="1"/>
        <v>-1482</v>
      </c>
    </row>
    <row r="53" spans="1:18" ht="25.5">
      <c r="A53" s="234" t="s">
        <v>508</v>
      </c>
      <c r="B53" s="192">
        <v>15000000</v>
      </c>
      <c r="C53" s="207" t="s">
        <v>199</v>
      </c>
      <c r="D53" s="192">
        <v>3485000</v>
      </c>
      <c r="E53" s="208" t="s">
        <v>199</v>
      </c>
      <c r="F53" s="208" t="s">
        <v>199</v>
      </c>
      <c r="G53" s="192">
        <f>D53-'[7]maijs'!D53</f>
        <v>42000</v>
      </c>
      <c r="H53" s="235" t="s">
        <v>508</v>
      </c>
      <c r="I53" s="199">
        <f>ROUND(B53/1000,0)</f>
        <v>15000</v>
      </c>
      <c r="J53" s="209" t="s">
        <v>199</v>
      </c>
      <c r="K53" s="199">
        <f>ROUND(D53/1000,0)</f>
        <v>3485</v>
      </c>
      <c r="L53" s="210" t="s">
        <v>199</v>
      </c>
      <c r="M53" s="210" t="s">
        <v>199</v>
      </c>
      <c r="N53" s="199">
        <f>ROUND(G53/1000,0)</f>
        <v>42</v>
      </c>
      <c r="P53" s="190">
        <v>3485</v>
      </c>
      <c r="Q53">
        <v>3443</v>
      </c>
      <c r="R53" s="190">
        <f t="shared" si="1"/>
        <v>42</v>
      </c>
    </row>
    <row r="54" spans="1:18" ht="25.5">
      <c r="A54" s="234" t="s">
        <v>512</v>
      </c>
      <c r="B54" s="192">
        <v>300000</v>
      </c>
      <c r="C54" s="207" t="s">
        <v>199</v>
      </c>
      <c r="D54" s="192">
        <v>304893.67</v>
      </c>
      <c r="E54" s="208" t="s">
        <v>199</v>
      </c>
      <c r="F54" s="208" t="s">
        <v>199</v>
      </c>
      <c r="G54" s="192">
        <f>D54-'[7]maijs'!D54</f>
        <v>0</v>
      </c>
      <c r="H54" s="235" t="s">
        <v>513</v>
      </c>
      <c r="I54" s="199">
        <f>ROUND(B54/1000,0)</f>
        <v>300</v>
      </c>
      <c r="J54" s="209" t="s">
        <v>199</v>
      </c>
      <c r="K54" s="199">
        <f>ROUND(D54/1000,0)</f>
        <v>305</v>
      </c>
      <c r="L54" s="210" t="s">
        <v>199</v>
      </c>
      <c r="M54" s="210" t="s">
        <v>199</v>
      </c>
      <c r="N54" s="199">
        <f>ROUND(G54/1000,0)</f>
        <v>0</v>
      </c>
      <c r="P54" s="190">
        <v>305</v>
      </c>
      <c r="Q54">
        <v>305</v>
      </c>
      <c r="R54" s="190">
        <f t="shared" si="1"/>
        <v>0</v>
      </c>
    </row>
    <row r="55" spans="1:18" ht="12.75">
      <c r="A55" s="120" t="s">
        <v>509</v>
      </c>
      <c r="B55" s="192">
        <v>60779377</v>
      </c>
      <c r="C55" s="207" t="s">
        <v>199</v>
      </c>
      <c r="D55" s="192">
        <v>24840311</v>
      </c>
      <c r="E55" s="208" t="s">
        <v>199</v>
      </c>
      <c r="F55" s="208" t="s">
        <v>199</v>
      </c>
      <c r="G55" s="192">
        <f>D55-'[7]maijs'!D55-200</f>
        <v>-1522575</v>
      </c>
      <c r="H55" s="236" t="s">
        <v>509</v>
      </c>
      <c r="I55" s="199">
        <f>ROUND(B55/1000,0)</f>
        <v>60779</v>
      </c>
      <c r="J55" s="209" t="s">
        <v>199</v>
      </c>
      <c r="K55" s="199">
        <f>ROUND(D55/1000,0)</f>
        <v>24840</v>
      </c>
      <c r="L55" s="210" t="s">
        <v>199</v>
      </c>
      <c r="M55" s="210" t="s">
        <v>199</v>
      </c>
      <c r="N55" s="199">
        <f>ROUND(G55/1000,0)</f>
        <v>-1523</v>
      </c>
      <c r="P55" s="190">
        <v>24840</v>
      </c>
      <c r="Q55">
        <v>26364</v>
      </c>
      <c r="R55" s="190">
        <f t="shared" si="1"/>
        <v>-1524</v>
      </c>
    </row>
    <row r="56" spans="5:6" ht="12.75">
      <c r="E56" s="237"/>
      <c r="F56" s="139"/>
    </row>
    <row r="58" spans="1:14" ht="12.75">
      <c r="A58" s="41" t="s">
        <v>510</v>
      </c>
      <c r="B58" s="39"/>
      <c r="C58" s="39"/>
      <c r="D58" s="49"/>
      <c r="E58" s="49"/>
      <c r="F58" s="39" t="s">
        <v>376</v>
      </c>
      <c r="G58" s="49"/>
      <c r="H58" s="41" t="s">
        <v>510</v>
      </c>
      <c r="I58" s="39"/>
      <c r="J58" s="39"/>
      <c r="K58" s="49"/>
      <c r="L58" s="49" t="s">
        <v>376</v>
      </c>
      <c r="M58" s="39"/>
      <c r="N58" s="49"/>
    </row>
    <row r="62" ht="12.75">
      <c r="H62" s="1"/>
    </row>
    <row r="64" ht="12.75">
      <c r="H64" s="1"/>
    </row>
    <row r="65" ht="12.75">
      <c r="H65" s="1"/>
    </row>
    <row r="66" spans="2:5" ht="12.75">
      <c r="B66" s="39"/>
      <c r="C66" s="39"/>
      <c r="D66" s="49"/>
      <c r="E66" s="39"/>
    </row>
    <row r="67" spans="6:8" ht="12.75">
      <c r="F67" s="1"/>
      <c r="H67" s="1"/>
    </row>
    <row r="68" spans="6:8" ht="12.75">
      <c r="F68" s="1"/>
      <c r="H68" s="1"/>
    </row>
    <row r="70" ht="12.75">
      <c r="H70" s="1" t="s">
        <v>377</v>
      </c>
    </row>
    <row r="71" ht="12.75">
      <c r="H71" s="1" t="s">
        <v>530</v>
      </c>
    </row>
    <row r="72" ht="12.75">
      <c r="H72" s="1"/>
    </row>
    <row r="75" ht="12.75">
      <c r="A75" s="1" t="s">
        <v>236</v>
      </c>
    </row>
    <row r="76" ht="12.75">
      <c r="A76" s="88" t="s">
        <v>511</v>
      </c>
    </row>
  </sheetData>
  <mergeCells count="6">
    <mergeCell ref="F7:G7"/>
    <mergeCell ref="M7:N7"/>
    <mergeCell ref="A4:G4"/>
    <mergeCell ref="H4:N4"/>
    <mergeCell ref="A5:F5"/>
    <mergeCell ref="H5:M5"/>
  </mergeCells>
  <printOptions/>
  <pageMargins left="0.75" right="0.27" top="1" bottom="1" header="0.5" footer="0.5"/>
  <pageSetup firstPageNumber="13" useFirstPageNumber="1" horizontalDpi="600" verticalDpi="600" orientation="portrait" paperSize="9" r:id="rId1"/>
  <headerFooter alignWithMargins="0"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07"/>
  <sheetViews>
    <sheetView workbookViewId="0" topLeftCell="H1">
      <selection activeCell="H29" sqref="H29"/>
    </sheetView>
  </sheetViews>
  <sheetFormatPr defaultColWidth="9.140625" defaultRowHeight="12.75"/>
  <cols>
    <col min="1" max="1" width="45.00390625" style="49" hidden="1" customWidth="1"/>
    <col min="2" max="2" width="9.28125" style="49" hidden="1" customWidth="1"/>
    <col min="3" max="3" width="13.140625" style="49" hidden="1" customWidth="1"/>
    <col min="4" max="4" width="12.140625" style="49" hidden="1" customWidth="1"/>
    <col min="5" max="5" width="10.28125" style="49" hidden="1" customWidth="1"/>
    <col min="6" max="6" width="12.140625" style="49" hidden="1" customWidth="1"/>
    <col min="7" max="7" width="7.8515625" style="49" hidden="1" customWidth="1"/>
    <col min="8" max="8" width="47.7109375" style="49" customWidth="1"/>
    <col min="9" max="9" width="9.8515625" style="49" customWidth="1"/>
    <col min="10" max="10" width="11.8515625" style="49" customWidth="1"/>
    <col min="11" max="11" width="8.57421875" style="49" customWidth="1"/>
    <col min="12" max="12" width="7.140625" style="49" customWidth="1"/>
    <col min="13" max="13" width="7.7109375" style="49" customWidth="1"/>
    <col min="14" max="15" width="7.8515625" style="49" customWidth="1"/>
    <col min="16" max="16" width="16.421875" style="49" customWidth="1"/>
    <col min="17" max="17" width="14.00390625" style="0" customWidth="1"/>
    <col min="18" max="18" width="17.421875" style="0" customWidth="1"/>
  </cols>
  <sheetData>
    <row r="1" spans="5:13" ht="12.75">
      <c r="E1" s="88" t="s">
        <v>514</v>
      </c>
      <c r="H1" s="238"/>
      <c r="I1" s="238"/>
      <c r="J1" s="238"/>
      <c r="K1" s="238"/>
      <c r="L1" s="239" t="s">
        <v>514</v>
      </c>
      <c r="M1" s="238"/>
    </row>
    <row r="2" spans="1:13" ht="15">
      <c r="A2" s="840" t="s">
        <v>337</v>
      </c>
      <c r="B2" s="840"/>
      <c r="C2" s="840"/>
      <c r="D2" s="840"/>
      <c r="E2" s="840"/>
      <c r="H2" s="841" t="s">
        <v>337</v>
      </c>
      <c r="I2" s="841"/>
      <c r="J2" s="841"/>
      <c r="K2" s="841"/>
      <c r="L2" s="841"/>
      <c r="M2" s="238"/>
    </row>
    <row r="3" spans="8:13" ht="12.75">
      <c r="H3" s="238"/>
      <c r="I3" s="238"/>
      <c r="J3" s="238"/>
      <c r="K3" s="238"/>
      <c r="L3" s="238"/>
      <c r="M3" s="238"/>
    </row>
    <row r="4" spans="1:13" ht="15.75">
      <c r="A4" s="831" t="s">
        <v>515</v>
      </c>
      <c r="B4" s="831"/>
      <c r="C4" s="831"/>
      <c r="D4" s="831"/>
      <c r="E4" s="831"/>
      <c r="H4" s="832" t="s">
        <v>515</v>
      </c>
      <c r="I4" s="832"/>
      <c r="J4" s="832"/>
      <c r="K4" s="832"/>
      <c r="L4" s="832"/>
      <c r="M4" s="238"/>
    </row>
    <row r="5" spans="1:13" ht="15.75">
      <c r="A5" s="831" t="s">
        <v>516</v>
      </c>
      <c r="B5" s="831"/>
      <c r="C5" s="831"/>
      <c r="D5" s="831"/>
      <c r="E5" s="831"/>
      <c r="H5" s="832" t="s">
        <v>325</v>
      </c>
      <c r="I5" s="832"/>
      <c r="J5" s="832"/>
      <c r="K5" s="832"/>
      <c r="L5" s="832"/>
      <c r="M5" s="238"/>
    </row>
    <row r="6" spans="8:13" ht="12.75">
      <c r="H6" s="238"/>
      <c r="I6" s="238"/>
      <c r="J6" s="238"/>
      <c r="K6" s="238"/>
      <c r="L6" s="238"/>
      <c r="M6" s="238"/>
    </row>
    <row r="7" spans="6:13" ht="12.75">
      <c r="F7" s="41" t="s">
        <v>517</v>
      </c>
      <c r="H7" s="238"/>
      <c r="I7" s="238"/>
      <c r="J7" s="238"/>
      <c r="K7" s="238"/>
      <c r="L7" s="239" t="s">
        <v>517</v>
      </c>
      <c r="M7" s="238"/>
    </row>
    <row r="8" spans="1:16" ht="63.75">
      <c r="A8" s="8" t="s">
        <v>193</v>
      </c>
      <c r="B8" s="9" t="s">
        <v>518</v>
      </c>
      <c r="C8" s="9" t="s">
        <v>241</v>
      </c>
      <c r="D8" s="9" t="s">
        <v>242</v>
      </c>
      <c r="E8" s="9" t="s">
        <v>519</v>
      </c>
      <c r="F8" s="9" t="s">
        <v>464</v>
      </c>
      <c r="G8" s="1"/>
      <c r="H8" s="241" t="s">
        <v>193</v>
      </c>
      <c r="I8" s="242" t="s">
        <v>518</v>
      </c>
      <c r="J8" s="242" t="s">
        <v>241</v>
      </c>
      <c r="K8" s="242" t="s">
        <v>242</v>
      </c>
      <c r="L8" s="242" t="s">
        <v>520</v>
      </c>
      <c r="M8" s="242" t="s">
        <v>527</v>
      </c>
      <c r="N8" s="1"/>
      <c r="O8" s="1"/>
      <c r="P8" s="1"/>
    </row>
    <row r="9" spans="1:13" ht="12.75">
      <c r="A9" s="8">
        <v>1</v>
      </c>
      <c r="B9" s="8">
        <v>2</v>
      </c>
      <c r="C9" s="9">
        <v>3</v>
      </c>
      <c r="D9" s="9">
        <v>4</v>
      </c>
      <c r="E9" s="9">
        <v>5</v>
      </c>
      <c r="F9" s="60"/>
      <c r="H9" s="241">
        <v>1</v>
      </c>
      <c r="I9" s="241">
        <v>2</v>
      </c>
      <c r="J9" s="242">
        <v>3</v>
      </c>
      <c r="K9" s="242">
        <v>4</v>
      </c>
      <c r="L9" s="242">
        <v>5</v>
      </c>
      <c r="M9" s="243"/>
    </row>
    <row r="10" spans="1:18" ht="12.75">
      <c r="A10" s="100" t="s">
        <v>521</v>
      </c>
      <c r="B10" s="244"/>
      <c r="C10" s="245">
        <f>SUM(C11:C24)</f>
        <v>871462409</v>
      </c>
      <c r="D10" s="245">
        <f>SUM(D11:D24)</f>
        <v>396159245.43000007</v>
      </c>
      <c r="E10" s="246">
        <f aca="true" t="shared" si="0" ref="E10:E25">IF(ISERROR(D10/C10)," ",(D10/C10))*100</f>
        <v>45.459131838468096</v>
      </c>
      <c r="F10" s="245">
        <f>SUM(F11:F24)</f>
        <v>68744577.02</v>
      </c>
      <c r="H10" s="247" t="s">
        <v>521</v>
      </c>
      <c r="I10" s="248"/>
      <c r="J10" s="187">
        <f aca="true" t="shared" si="1" ref="J10:K25">ROUND(C10/1000,0)</f>
        <v>871462</v>
      </c>
      <c r="K10" s="245">
        <f>SUM(K11:K24)</f>
        <v>396159</v>
      </c>
      <c r="L10" s="249">
        <f aca="true" t="shared" si="2" ref="L10:L25">E10</f>
        <v>45.459131838468096</v>
      </c>
      <c r="M10" s="187">
        <f>M11+M12+M13+M14+M15+M16+M17+M18+M19+M20+M21+M22+M23+M24</f>
        <v>68744</v>
      </c>
      <c r="P10" s="245">
        <v>396114</v>
      </c>
      <c r="Q10" s="245">
        <v>327415</v>
      </c>
      <c r="R10" s="190">
        <f aca="true" t="shared" si="3" ref="R10:R25">P10-Q10</f>
        <v>68699</v>
      </c>
    </row>
    <row r="11" spans="1:18" ht="12.75">
      <c r="A11" s="250" t="s">
        <v>522</v>
      </c>
      <c r="B11" s="251">
        <v>1</v>
      </c>
      <c r="C11" s="252">
        <f>84377159+1062666+673249+1065604</f>
        <v>87178678</v>
      </c>
      <c r="D11" s="252">
        <v>38456047.8</v>
      </c>
      <c r="E11" s="246">
        <f t="shared" si="0"/>
        <v>44.11175838202088</v>
      </c>
      <c r="F11" s="252">
        <f>D11-'[8]maijs'!D11</f>
        <v>6697972.729999997</v>
      </c>
      <c r="H11" s="253" t="s">
        <v>522</v>
      </c>
      <c r="I11" s="254">
        <v>1</v>
      </c>
      <c r="J11" s="199">
        <f t="shared" si="1"/>
        <v>87179</v>
      </c>
      <c r="K11" s="199">
        <f t="shared" si="1"/>
        <v>38456</v>
      </c>
      <c r="L11" s="212">
        <f t="shared" si="2"/>
        <v>44.11175838202088</v>
      </c>
      <c r="M11" s="199">
        <f aca="true" t="shared" si="4" ref="M11:M16">ROUND(F11/1000,0)</f>
        <v>6698</v>
      </c>
      <c r="P11" s="199">
        <v>38456</v>
      </c>
      <c r="Q11" s="252">
        <v>31758</v>
      </c>
      <c r="R11" s="190">
        <f t="shared" si="3"/>
        <v>6698</v>
      </c>
    </row>
    <row r="12" spans="1:18" ht="12.75">
      <c r="A12" s="60" t="s">
        <v>523</v>
      </c>
      <c r="B12" s="251">
        <v>2</v>
      </c>
      <c r="C12" s="252">
        <v>48368928</v>
      </c>
      <c r="D12" s="252">
        <v>22591004.77</v>
      </c>
      <c r="E12" s="246">
        <f t="shared" si="0"/>
        <v>46.705613922227094</v>
      </c>
      <c r="F12" s="252">
        <f>D12-'[8]maijs'!D12</f>
        <v>3808081.8000000007</v>
      </c>
      <c r="H12" s="243" t="s">
        <v>523</v>
      </c>
      <c r="I12" s="254">
        <v>2</v>
      </c>
      <c r="J12" s="199">
        <f t="shared" si="1"/>
        <v>48369</v>
      </c>
      <c r="K12" s="199">
        <f t="shared" si="1"/>
        <v>22591</v>
      </c>
      <c r="L12" s="212">
        <f t="shared" si="2"/>
        <v>46.705613922227094</v>
      </c>
      <c r="M12" s="199">
        <f t="shared" si="4"/>
        <v>3808</v>
      </c>
      <c r="P12" s="199">
        <v>22591</v>
      </c>
      <c r="Q12" s="252">
        <v>18783</v>
      </c>
      <c r="R12" s="190">
        <f t="shared" si="3"/>
        <v>3808</v>
      </c>
    </row>
    <row r="13" spans="1:18" ht="12.75">
      <c r="A13" s="69" t="s">
        <v>524</v>
      </c>
      <c r="B13" s="251">
        <v>3</v>
      </c>
      <c r="C13" s="252">
        <f>114611597+89862</f>
        <v>114701459</v>
      </c>
      <c r="D13" s="252">
        <v>53174179.01</v>
      </c>
      <c r="E13" s="246">
        <f t="shared" si="0"/>
        <v>46.35876428563999</v>
      </c>
      <c r="F13" s="252">
        <f>D13-'[8]maijs'!D13</f>
        <v>9658344.949999996</v>
      </c>
      <c r="H13" s="211" t="s">
        <v>524</v>
      </c>
      <c r="I13" s="254">
        <v>3</v>
      </c>
      <c r="J13" s="199">
        <f t="shared" si="1"/>
        <v>114701</v>
      </c>
      <c r="K13" s="199">
        <f t="shared" si="1"/>
        <v>53174</v>
      </c>
      <c r="L13" s="212">
        <f t="shared" si="2"/>
        <v>46.35876428563999</v>
      </c>
      <c r="M13" s="199">
        <f t="shared" si="4"/>
        <v>9658</v>
      </c>
      <c r="P13" s="199">
        <v>53174</v>
      </c>
      <c r="Q13" s="252">
        <v>43516</v>
      </c>
      <c r="R13" s="190">
        <f t="shared" si="3"/>
        <v>9658</v>
      </c>
    </row>
    <row r="14" spans="1:18" ht="12.75">
      <c r="A14" s="60" t="s">
        <v>531</v>
      </c>
      <c r="B14" s="251">
        <v>4</v>
      </c>
      <c r="C14" s="252">
        <f>95095099+612420+951120+188894</f>
        <v>96847533</v>
      </c>
      <c r="D14" s="252">
        <v>45355369.92</v>
      </c>
      <c r="E14" s="246">
        <f t="shared" si="0"/>
        <v>46.831724583010285</v>
      </c>
      <c r="F14" s="252">
        <f>D14-'[8]maijs'!D14</f>
        <v>9181178.21</v>
      </c>
      <c r="H14" s="243" t="s">
        <v>531</v>
      </c>
      <c r="I14" s="254">
        <v>4</v>
      </c>
      <c r="J14" s="199">
        <f t="shared" si="1"/>
        <v>96848</v>
      </c>
      <c r="K14" s="199">
        <f t="shared" si="1"/>
        <v>45355</v>
      </c>
      <c r="L14" s="212">
        <f t="shared" si="2"/>
        <v>46.831724583010285</v>
      </c>
      <c r="M14" s="199">
        <f t="shared" si="4"/>
        <v>9181</v>
      </c>
      <c r="P14" s="199">
        <v>45355</v>
      </c>
      <c r="Q14" s="252">
        <v>36174</v>
      </c>
      <c r="R14" s="190">
        <f t="shared" si="3"/>
        <v>9181</v>
      </c>
    </row>
    <row r="15" spans="1:18" ht="12.75">
      <c r="A15" s="60" t="s">
        <v>532</v>
      </c>
      <c r="B15" s="251">
        <v>5</v>
      </c>
      <c r="C15" s="252">
        <f>69612995+109302</f>
        <v>69722297</v>
      </c>
      <c r="D15" s="252">
        <v>35369782.23</v>
      </c>
      <c r="E15" s="246">
        <f t="shared" si="0"/>
        <v>50.72951373073666</v>
      </c>
      <c r="F15" s="252">
        <f>D15-'[8]maijs'!D15</f>
        <v>5865845.679999996</v>
      </c>
      <c r="H15" s="243" t="s">
        <v>532</v>
      </c>
      <c r="I15" s="254">
        <v>5</v>
      </c>
      <c r="J15" s="199">
        <f t="shared" si="1"/>
        <v>69722</v>
      </c>
      <c r="K15" s="199">
        <f>ROUND(D15/1000,0)-1</f>
        <v>35369</v>
      </c>
      <c r="L15" s="212">
        <f t="shared" si="2"/>
        <v>50.72951373073666</v>
      </c>
      <c r="M15" s="199">
        <f>ROUND(F15/1000,0)-1</f>
        <v>5865</v>
      </c>
      <c r="P15" s="199">
        <v>35369</v>
      </c>
      <c r="Q15" s="252">
        <v>29504</v>
      </c>
      <c r="R15" s="190">
        <f t="shared" si="3"/>
        <v>5865</v>
      </c>
    </row>
    <row r="16" spans="1:18" ht="12.75">
      <c r="A16" s="69" t="s">
        <v>533</v>
      </c>
      <c r="B16" s="251">
        <v>6</v>
      </c>
      <c r="C16" s="252">
        <v>81822152</v>
      </c>
      <c r="D16" s="252">
        <v>40854780.64</v>
      </c>
      <c r="E16" s="246">
        <f t="shared" si="0"/>
        <v>49.931197898583754</v>
      </c>
      <c r="F16" s="252">
        <f>D16-'[8]maijs'!D16</f>
        <v>6844218.960000001</v>
      </c>
      <c r="H16" s="211" t="s">
        <v>533</v>
      </c>
      <c r="I16" s="254">
        <v>6</v>
      </c>
      <c r="J16" s="199">
        <f t="shared" si="1"/>
        <v>81822</v>
      </c>
      <c r="K16" s="199">
        <f t="shared" si="1"/>
        <v>40855</v>
      </c>
      <c r="L16" s="212">
        <f t="shared" si="2"/>
        <v>49.931197898583754</v>
      </c>
      <c r="M16" s="199">
        <f t="shared" si="4"/>
        <v>6844</v>
      </c>
      <c r="P16" s="199">
        <v>40855</v>
      </c>
      <c r="Q16" s="252">
        <v>34011</v>
      </c>
      <c r="R16" s="190">
        <f t="shared" si="3"/>
        <v>6844</v>
      </c>
    </row>
    <row r="17" spans="1:18" ht="25.5">
      <c r="A17" s="69" t="s">
        <v>534</v>
      </c>
      <c r="B17" s="251">
        <v>7</v>
      </c>
      <c r="C17" s="252">
        <f>10701593+1353550</f>
        <v>12055143</v>
      </c>
      <c r="D17" s="252">
        <v>3808749.16</v>
      </c>
      <c r="E17" s="246">
        <f t="shared" si="0"/>
        <v>31.594392202564496</v>
      </c>
      <c r="F17" s="252">
        <f>D17-'[8]maijs'!D17</f>
        <v>535280.8700000001</v>
      </c>
      <c r="H17" s="211" t="s">
        <v>534</v>
      </c>
      <c r="I17" s="254">
        <v>7</v>
      </c>
      <c r="J17" s="199">
        <f t="shared" si="1"/>
        <v>12055</v>
      </c>
      <c r="K17" s="199">
        <f t="shared" si="1"/>
        <v>3809</v>
      </c>
      <c r="L17" s="212">
        <f t="shared" si="2"/>
        <v>31.594392202564496</v>
      </c>
      <c r="M17" s="199">
        <f>ROUND(F17/1000,0)+1</f>
        <v>536</v>
      </c>
      <c r="P17" s="199">
        <v>3809</v>
      </c>
      <c r="Q17" s="252">
        <v>3273</v>
      </c>
      <c r="R17" s="190">
        <f t="shared" si="3"/>
        <v>536</v>
      </c>
    </row>
    <row r="18" spans="1:18" ht="12.75">
      <c r="A18" s="60" t="s">
        <v>535</v>
      </c>
      <c r="B18" s="251">
        <v>8</v>
      </c>
      <c r="C18" s="252">
        <v>22888050</v>
      </c>
      <c r="D18" s="252">
        <v>11658413.63</v>
      </c>
      <c r="E18" s="246">
        <f t="shared" si="0"/>
        <v>50.93668368428067</v>
      </c>
      <c r="F18" s="252">
        <f>D18-'[8]maijs'!D18</f>
        <v>2175049.9800000004</v>
      </c>
      <c r="H18" s="243" t="s">
        <v>535</v>
      </c>
      <c r="I18" s="254">
        <v>8</v>
      </c>
      <c r="J18" s="199">
        <f t="shared" si="1"/>
        <v>22888</v>
      </c>
      <c r="K18" s="199">
        <f t="shared" si="1"/>
        <v>11658</v>
      </c>
      <c r="L18" s="212">
        <f t="shared" si="2"/>
        <v>50.93668368428067</v>
      </c>
      <c r="M18" s="199">
        <f>ROUND(F18/1000,0)</f>
        <v>2175</v>
      </c>
      <c r="P18" s="199">
        <v>11658</v>
      </c>
      <c r="Q18" s="252">
        <v>9483</v>
      </c>
      <c r="R18" s="190">
        <f t="shared" si="3"/>
        <v>2175</v>
      </c>
    </row>
    <row r="19" spans="1:18" ht="12.75">
      <c r="A19" s="69" t="s">
        <v>536</v>
      </c>
      <c r="B19" s="251">
        <v>9</v>
      </c>
      <c r="C19" s="252">
        <v>202127</v>
      </c>
      <c r="D19" s="252">
        <v>91649.13</v>
      </c>
      <c r="E19" s="246">
        <f t="shared" si="0"/>
        <v>45.34234911713922</v>
      </c>
      <c r="F19" s="252">
        <f>D19-'[8]maijs'!D19</f>
        <v>18328.34000000001</v>
      </c>
      <c r="H19" s="211" t="s">
        <v>536</v>
      </c>
      <c r="I19" s="254">
        <v>9</v>
      </c>
      <c r="J19" s="199">
        <f t="shared" si="1"/>
        <v>202</v>
      </c>
      <c r="K19" s="199">
        <f t="shared" si="1"/>
        <v>92</v>
      </c>
      <c r="L19" s="212">
        <f t="shared" si="2"/>
        <v>45.34234911713922</v>
      </c>
      <c r="M19" s="199">
        <f>ROUND(F19/1000,0)+1</f>
        <v>19</v>
      </c>
      <c r="P19" s="199">
        <v>92</v>
      </c>
      <c r="Q19" s="252">
        <v>73</v>
      </c>
      <c r="R19" s="190">
        <f t="shared" si="3"/>
        <v>19</v>
      </c>
    </row>
    <row r="20" spans="1:18" ht="25.5">
      <c r="A20" s="69" t="s">
        <v>537</v>
      </c>
      <c r="B20" s="251">
        <v>10</v>
      </c>
      <c r="C20" s="252">
        <f>79963495+713839</f>
        <v>80677334</v>
      </c>
      <c r="D20" s="252">
        <v>28970118.57</v>
      </c>
      <c r="E20" s="246">
        <f t="shared" si="0"/>
        <v>35.90862158385155</v>
      </c>
      <c r="F20" s="252">
        <f>D20-'[8]maijs'!D20</f>
        <v>5121405.240000002</v>
      </c>
      <c r="G20" s="255"/>
      <c r="H20" s="211" t="s">
        <v>537</v>
      </c>
      <c r="I20" s="254">
        <v>10</v>
      </c>
      <c r="J20" s="199">
        <f t="shared" si="1"/>
        <v>80677</v>
      </c>
      <c r="K20" s="199">
        <f t="shared" si="1"/>
        <v>28970</v>
      </c>
      <c r="L20" s="212">
        <f t="shared" si="2"/>
        <v>35.90862158385155</v>
      </c>
      <c r="M20" s="199">
        <f aca="true" t="shared" si="5" ref="M20:M25">ROUND(F20/1000,0)</f>
        <v>5121</v>
      </c>
      <c r="P20" s="199">
        <v>28970</v>
      </c>
      <c r="Q20" s="252">
        <v>23849</v>
      </c>
      <c r="R20" s="190">
        <f t="shared" si="3"/>
        <v>5121</v>
      </c>
    </row>
    <row r="21" spans="1:18" ht="25.5">
      <c r="A21" s="69" t="s">
        <v>538</v>
      </c>
      <c r="B21" s="251">
        <v>11</v>
      </c>
      <c r="C21" s="252">
        <v>866523</v>
      </c>
      <c r="D21" s="252">
        <v>403559.67</v>
      </c>
      <c r="E21" s="246">
        <f t="shared" si="0"/>
        <v>46.57229756163425</v>
      </c>
      <c r="F21" s="252">
        <f>D21-'[8]maijs'!D21</f>
        <v>76494.25</v>
      </c>
      <c r="H21" s="211" t="s">
        <v>538</v>
      </c>
      <c r="I21" s="254">
        <v>11</v>
      </c>
      <c r="J21" s="199">
        <f t="shared" si="1"/>
        <v>867</v>
      </c>
      <c r="K21" s="199">
        <f>ROUND(D21/1000,0)</f>
        <v>404</v>
      </c>
      <c r="L21" s="212">
        <f t="shared" si="2"/>
        <v>46.57229756163425</v>
      </c>
      <c r="M21" s="199">
        <f>ROUND(F21/1000,0)</f>
        <v>76</v>
      </c>
      <c r="P21" s="199">
        <v>404</v>
      </c>
      <c r="Q21" s="252">
        <v>328</v>
      </c>
      <c r="R21" s="190">
        <f t="shared" si="3"/>
        <v>76</v>
      </c>
    </row>
    <row r="22" spans="1:18" ht="12.75">
      <c r="A22" s="60" t="s">
        <v>539</v>
      </c>
      <c r="B22" s="251">
        <v>12</v>
      </c>
      <c r="C22" s="252">
        <f>17685677+158332</f>
        <v>17844009</v>
      </c>
      <c r="D22" s="252">
        <v>4839134.72</v>
      </c>
      <c r="E22" s="246">
        <f t="shared" si="0"/>
        <v>27.11910042188389</v>
      </c>
      <c r="F22" s="252">
        <f>D22-'[8]maijs'!D22</f>
        <v>706175.5599999996</v>
      </c>
      <c r="H22" s="243" t="s">
        <v>539</v>
      </c>
      <c r="I22" s="254">
        <v>12</v>
      </c>
      <c r="J22" s="199">
        <f t="shared" si="1"/>
        <v>17844</v>
      </c>
      <c r="K22" s="199">
        <f>ROUND(D22/1000,0)</f>
        <v>4839</v>
      </c>
      <c r="L22" s="212">
        <f t="shared" si="2"/>
        <v>27.11910042188389</v>
      </c>
      <c r="M22" s="199">
        <f t="shared" si="5"/>
        <v>706</v>
      </c>
      <c r="P22" s="199">
        <v>4839</v>
      </c>
      <c r="Q22" s="252">
        <v>4133</v>
      </c>
      <c r="R22" s="190">
        <f t="shared" si="3"/>
        <v>706</v>
      </c>
    </row>
    <row r="23" spans="1:18" ht="12.75">
      <c r="A23" s="60" t="s">
        <v>540</v>
      </c>
      <c r="B23" s="251">
        <v>13</v>
      </c>
      <c r="C23" s="252">
        <f>24501923+3579879</f>
        <v>28081802</v>
      </c>
      <c r="D23" s="252">
        <v>8673902.18</v>
      </c>
      <c r="E23" s="246">
        <f t="shared" si="0"/>
        <v>30.88798282959192</v>
      </c>
      <c r="F23" s="252">
        <f>D23-'[8]maijs'!D23</f>
        <v>1907847.0999999996</v>
      </c>
      <c r="H23" s="243" t="s">
        <v>540</v>
      </c>
      <c r="I23" s="254">
        <v>13</v>
      </c>
      <c r="J23" s="199">
        <f t="shared" si="1"/>
        <v>28082</v>
      </c>
      <c r="K23" s="199">
        <f>ROUND(D23/1000,0)</f>
        <v>8674</v>
      </c>
      <c r="L23" s="212">
        <f t="shared" si="2"/>
        <v>30.88798282959192</v>
      </c>
      <c r="M23" s="199">
        <f t="shared" si="5"/>
        <v>1908</v>
      </c>
      <c r="P23" s="199">
        <v>8674</v>
      </c>
      <c r="Q23" s="252">
        <v>6766</v>
      </c>
      <c r="R23" s="190">
        <f t="shared" si="3"/>
        <v>1908</v>
      </c>
    </row>
    <row r="24" spans="1:18" ht="12.75">
      <c r="A24" s="69" t="s">
        <v>541</v>
      </c>
      <c r="B24" s="251">
        <v>14</v>
      </c>
      <c r="C24" s="252">
        <v>210206374</v>
      </c>
      <c r="D24" s="252">
        <f>101867554+45000</f>
        <v>101912554</v>
      </c>
      <c r="E24" s="246">
        <f t="shared" si="0"/>
        <v>48.482142601441765</v>
      </c>
      <c r="F24" s="252">
        <f>D24-'[8]maijs'!D24</f>
        <v>16148353.349999994</v>
      </c>
      <c r="H24" s="211" t="s">
        <v>541</v>
      </c>
      <c r="I24" s="254">
        <v>14</v>
      </c>
      <c r="J24" s="199">
        <f t="shared" si="1"/>
        <v>210206</v>
      </c>
      <c r="K24" s="199">
        <f>ROUND(D24/1000,0)</f>
        <v>101913</v>
      </c>
      <c r="L24" s="212">
        <f t="shared" si="2"/>
        <v>48.482142601441765</v>
      </c>
      <c r="M24" s="199">
        <f>ROUND(F24/1000,0)+1</f>
        <v>16149</v>
      </c>
      <c r="P24" s="199">
        <v>101913</v>
      </c>
      <c r="Q24" s="252">
        <v>85764</v>
      </c>
      <c r="R24" s="190">
        <f t="shared" si="3"/>
        <v>16149</v>
      </c>
    </row>
    <row r="25" spans="1:18" ht="12.75">
      <c r="A25" s="60" t="s">
        <v>542</v>
      </c>
      <c r="B25" s="257"/>
      <c r="C25" s="258">
        <v>48898920</v>
      </c>
      <c r="D25" s="258">
        <v>12770965</v>
      </c>
      <c r="E25" s="246">
        <f t="shared" si="0"/>
        <v>26.117069661252234</v>
      </c>
      <c r="F25" s="252">
        <f>D25-'[8]maijs'!D25</f>
        <v>-4443009</v>
      </c>
      <c r="H25" s="243" t="s">
        <v>542</v>
      </c>
      <c r="I25" s="259"/>
      <c r="J25" s="199">
        <f t="shared" si="1"/>
        <v>48899</v>
      </c>
      <c r="K25" s="199">
        <f>ROUND(D25/1000,0)</f>
        <v>12771</v>
      </c>
      <c r="L25" s="212">
        <f t="shared" si="2"/>
        <v>26.117069661252234</v>
      </c>
      <c r="M25" s="199">
        <f t="shared" si="5"/>
        <v>-4443</v>
      </c>
      <c r="P25" s="199">
        <v>12771</v>
      </c>
      <c r="Q25" s="258">
        <v>17214</v>
      </c>
      <c r="R25" s="190">
        <f t="shared" si="3"/>
        <v>-4443</v>
      </c>
    </row>
    <row r="26" spans="2:13" ht="12.75">
      <c r="B26" s="39"/>
      <c r="C26" s="47"/>
      <c r="D26" s="47"/>
      <c r="E26" s="260"/>
      <c r="H26" s="238"/>
      <c r="I26" s="240"/>
      <c r="J26" s="261"/>
      <c r="K26" s="261"/>
      <c r="L26" s="262"/>
      <c r="M26" s="238"/>
    </row>
    <row r="27" spans="2:13" ht="12.75">
      <c r="B27" s="39"/>
      <c r="C27" s="47"/>
      <c r="D27" s="47"/>
      <c r="E27" s="260"/>
      <c r="H27" s="238"/>
      <c r="I27" s="240"/>
      <c r="J27" s="261"/>
      <c r="K27" s="261"/>
      <c r="L27" s="262"/>
      <c r="M27" s="238"/>
    </row>
    <row r="28" spans="2:13" ht="12.75">
      <c r="B28" s="39"/>
      <c r="C28" s="47"/>
      <c r="D28" s="47"/>
      <c r="E28" s="260"/>
      <c r="H28" s="238"/>
      <c r="I28" s="240"/>
      <c r="J28" s="261"/>
      <c r="K28" s="261"/>
      <c r="L28" s="262"/>
      <c r="M28" s="238"/>
    </row>
    <row r="29" spans="1:13" ht="12.75">
      <c r="A29" s="41" t="s">
        <v>543</v>
      </c>
      <c r="B29" s="39"/>
      <c r="C29" s="39"/>
      <c r="D29" s="39"/>
      <c r="E29" s="1"/>
      <c r="F29" s="49" t="s">
        <v>544</v>
      </c>
      <c r="H29" s="239" t="s">
        <v>715</v>
      </c>
      <c r="I29" s="240"/>
      <c r="J29" s="240"/>
      <c r="K29" s="238"/>
      <c r="L29" s="240" t="s">
        <v>376</v>
      </c>
      <c r="M29" s="238"/>
    </row>
    <row r="30" spans="2:13" ht="12.75">
      <c r="B30" s="39"/>
      <c r="C30" s="47"/>
      <c r="D30" s="47"/>
      <c r="E30" s="260"/>
      <c r="H30" s="238"/>
      <c r="I30" s="238"/>
      <c r="J30" s="238"/>
      <c r="K30" s="238"/>
      <c r="L30" s="238"/>
      <c r="M30" s="238"/>
    </row>
    <row r="31" spans="2:13" ht="12.75">
      <c r="B31" s="39"/>
      <c r="C31" s="47"/>
      <c r="D31" s="47"/>
      <c r="E31" s="260"/>
      <c r="H31" s="238"/>
      <c r="I31" s="238"/>
      <c r="J31" s="238"/>
      <c r="K31" s="238"/>
      <c r="L31" s="238"/>
      <c r="M31" s="238"/>
    </row>
    <row r="32" spans="2:13" ht="12.75">
      <c r="B32" s="39"/>
      <c r="D32" s="47"/>
      <c r="E32" s="260"/>
      <c r="G32" s="39"/>
      <c r="H32" s="238"/>
      <c r="I32" s="238"/>
      <c r="J32" s="238"/>
      <c r="K32" s="238"/>
      <c r="L32" s="238"/>
      <c r="M32" s="238"/>
    </row>
    <row r="33" spans="2:13" ht="12.75">
      <c r="B33" s="39"/>
      <c r="C33" s="47"/>
      <c r="D33" s="47"/>
      <c r="E33" s="260"/>
      <c r="H33" s="238"/>
      <c r="I33" s="238"/>
      <c r="J33" s="238"/>
      <c r="K33" s="238"/>
      <c r="L33" s="238"/>
      <c r="M33" s="238"/>
    </row>
    <row r="34" spans="2:13" ht="12.75">
      <c r="B34" s="39"/>
      <c r="C34" s="47"/>
      <c r="D34" s="47"/>
      <c r="E34" s="260"/>
      <c r="H34" s="238"/>
      <c r="I34" s="238"/>
      <c r="J34" s="238"/>
      <c r="K34" s="238"/>
      <c r="L34" s="238"/>
      <c r="M34" s="238"/>
    </row>
    <row r="35" spans="4:13" ht="12.75">
      <c r="D35" s="47"/>
      <c r="E35" s="260"/>
      <c r="H35" s="238"/>
      <c r="I35" s="238"/>
      <c r="J35" s="238"/>
      <c r="K35" s="238"/>
      <c r="L35" s="238"/>
      <c r="M35" s="238"/>
    </row>
    <row r="36" spans="2:13" ht="12.75">
      <c r="B36" s="39"/>
      <c r="C36" s="47"/>
      <c r="D36" s="47"/>
      <c r="E36" s="260"/>
      <c r="H36" s="261" t="s">
        <v>236</v>
      </c>
      <c r="I36" s="238"/>
      <c r="J36" s="238"/>
      <c r="K36" s="238"/>
      <c r="L36" s="238"/>
      <c r="M36" s="238"/>
    </row>
    <row r="37" spans="3:13" ht="12.75">
      <c r="C37" s="47"/>
      <c r="D37" s="47"/>
      <c r="E37" s="260"/>
      <c r="H37" s="238" t="s">
        <v>530</v>
      </c>
      <c r="I37" s="238"/>
      <c r="J37" s="238"/>
      <c r="K37" s="238"/>
      <c r="L37" s="238"/>
      <c r="M37" s="238"/>
    </row>
    <row r="38" spans="3:13" ht="12.75">
      <c r="C38" s="47"/>
      <c r="D38" s="47"/>
      <c r="E38" s="260"/>
      <c r="H38" s="238"/>
      <c r="I38" s="238"/>
      <c r="J38" s="238"/>
      <c r="K38" s="238"/>
      <c r="L38" s="238"/>
      <c r="M38" s="238"/>
    </row>
    <row r="39" spans="3:13" ht="12.75">
      <c r="C39" s="47"/>
      <c r="D39" s="47"/>
      <c r="E39" s="260"/>
      <c r="H39" s="238"/>
      <c r="I39" s="238"/>
      <c r="J39" s="238"/>
      <c r="K39" s="238"/>
      <c r="L39" s="238"/>
      <c r="M39" s="238"/>
    </row>
    <row r="40" spans="1:13" ht="12.75">
      <c r="A40" s="38"/>
      <c r="C40" s="47"/>
      <c r="D40" s="47"/>
      <c r="E40" s="260"/>
      <c r="H40" s="238"/>
      <c r="I40" s="238"/>
      <c r="J40" s="238"/>
      <c r="K40" s="238"/>
      <c r="L40" s="238"/>
      <c r="M40" s="238"/>
    </row>
    <row r="41" spans="1:13" ht="12.75">
      <c r="A41" s="38"/>
      <c r="C41" s="47"/>
      <c r="D41" s="47"/>
      <c r="E41" s="260"/>
      <c r="H41" s="238"/>
      <c r="I41" s="238"/>
      <c r="J41" s="238"/>
      <c r="K41" s="238"/>
      <c r="L41" s="238"/>
      <c r="M41" s="238"/>
    </row>
    <row r="42" spans="3:13" ht="12.75">
      <c r="C42" s="47"/>
      <c r="D42" s="47"/>
      <c r="E42" s="260"/>
      <c r="H42" s="238"/>
      <c r="I42" s="238"/>
      <c r="J42" s="238"/>
      <c r="K42" s="238"/>
      <c r="L42" s="238"/>
      <c r="M42" s="238"/>
    </row>
    <row r="43" spans="3:5" ht="12.75">
      <c r="C43" s="47"/>
      <c r="D43" s="47"/>
      <c r="E43" s="260"/>
    </row>
    <row r="44" spans="3:5" ht="12.75">
      <c r="C44" s="47"/>
      <c r="D44" s="47"/>
      <c r="E44" s="260"/>
    </row>
    <row r="45" spans="3:5" ht="12.75">
      <c r="C45" s="47"/>
      <c r="D45" s="47"/>
      <c r="E45" s="260"/>
    </row>
    <row r="46" spans="2:4" ht="12.75">
      <c r="B46" s="47"/>
      <c r="C46" s="47"/>
      <c r="D46" s="260"/>
    </row>
    <row r="47" spans="2:4" ht="12.75">
      <c r="B47" s="47"/>
      <c r="C47" s="47"/>
      <c r="D47" s="260"/>
    </row>
    <row r="48" spans="2:4" ht="12.75">
      <c r="B48" s="47"/>
      <c r="C48" s="47"/>
      <c r="D48" s="260"/>
    </row>
    <row r="49" spans="2:4" ht="12.75">
      <c r="B49" s="47"/>
      <c r="C49" s="47"/>
      <c r="D49" s="260"/>
    </row>
    <row r="50" spans="2:4" ht="12.75">
      <c r="B50" s="47"/>
      <c r="C50" s="47"/>
      <c r="D50" s="260"/>
    </row>
    <row r="51" spans="2:4" ht="12.75">
      <c r="B51" s="47"/>
      <c r="C51" s="47"/>
      <c r="D51" s="260"/>
    </row>
    <row r="52" spans="2:4" ht="12.75">
      <c r="B52" s="47"/>
      <c r="D52" s="260"/>
    </row>
    <row r="53" spans="2:4" ht="12.75">
      <c r="B53" s="47"/>
      <c r="D53" s="260"/>
    </row>
    <row r="54" spans="2:4" ht="12.75">
      <c r="B54" s="47"/>
      <c r="D54" s="260"/>
    </row>
    <row r="55" spans="2:4" ht="12.75">
      <c r="B55" s="47"/>
      <c r="D55" s="260"/>
    </row>
    <row r="56" spans="2:4" ht="12.75">
      <c r="B56" s="47"/>
      <c r="D56" s="260"/>
    </row>
    <row r="57" spans="2:4" ht="12.75">
      <c r="B57" s="47"/>
      <c r="D57" s="260"/>
    </row>
    <row r="58" spans="2:4" ht="12.75">
      <c r="B58" s="47"/>
      <c r="D58" s="260"/>
    </row>
    <row r="59" spans="2:4" ht="12.75">
      <c r="B59" s="47"/>
      <c r="D59" s="260"/>
    </row>
    <row r="60" spans="2:4" ht="12.75">
      <c r="B60" s="47"/>
      <c r="D60" s="260"/>
    </row>
    <row r="61" spans="2:4" ht="12.75">
      <c r="B61" s="47"/>
      <c r="D61" s="260"/>
    </row>
    <row r="62" spans="2:4" ht="12.75">
      <c r="B62" s="47"/>
      <c r="D62" s="260"/>
    </row>
    <row r="63" spans="2:4" ht="12.75">
      <c r="B63" s="47"/>
      <c r="D63" s="260"/>
    </row>
    <row r="64" spans="2:4" ht="12.75">
      <c r="B64" s="47"/>
      <c r="D64" s="260"/>
    </row>
    <row r="65" spans="2:4" ht="12.75">
      <c r="B65" s="47"/>
      <c r="D65" s="260"/>
    </row>
    <row r="66" spans="2:4" ht="12.75">
      <c r="B66" s="47"/>
      <c r="D66" s="260"/>
    </row>
    <row r="67" spans="2:4" ht="12.75">
      <c r="B67" s="47"/>
      <c r="D67" s="260"/>
    </row>
    <row r="68" spans="2:4" ht="12.75">
      <c r="B68" s="47"/>
      <c r="D68" s="260"/>
    </row>
    <row r="69" spans="2:4" ht="12.75">
      <c r="B69" s="47"/>
      <c r="D69" s="260"/>
    </row>
    <row r="70" spans="2:4" ht="12.75">
      <c r="B70" s="47"/>
      <c r="D70" s="260"/>
    </row>
    <row r="71" spans="2:4" ht="12.75">
      <c r="B71" s="47"/>
      <c r="D71" s="260"/>
    </row>
    <row r="72" spans="2:4" ht="12.75">
      <c r="B72" s="47"/>
      <c r="D72" s="260"/>
    </row>
    <row r="73" spans="2:4" ht="12.75">
      <c r="B73" s="47"/>
      <c r="D73" s="260"/>
    </row>
    <row r="74" spans="2:4" ht="12.75">
      <c r="B74" s="47"/>
      <c r="D74" s="260"/>
    </row>
    <row r="75" spans="2:4" ht="12.75">
      <c r="B75" s="47"/>
      <c r="D75" s="260"/>
    </row>
    <row r="76" spans="2:4" ht="12.75">
      <c r="B76" s="47"/>
      <c r="D76" s="260"/>
    </row>
    <row r="77" spans="2:4" ht="12.75">
      <c r="B77" s="47"/>
      <c r="D77" s="260"/>
    </row>
    <row r="78" spans="2:4" ht="12.75">
      <c r="B78" s="47"/>
      <c r="D78" s="260"/>
    </row>
    <row r="79" spans="2:4" ht="12.75">
      <c r="B79" s="47"/>
      <c r="D79" s="260"/>
    </row>
    <row r="80" spans="2:4" ht="12.75">
      <c r="B80" s="47"/>
      <c r="D80" s="260"/>
    </row>
    <row r="81" spans="2:4" ht="12.75">
      <c r="B81" s="47"/>
      <c r="D81" s="260"/>
    </row>
    <row r="82" spans="2:4" ht="12.75">
      <c r="B82" s="47"/>
      <c r="D82" s="260"/>
    </row>
    <row r="83" spans="2:4" ht="12.75">
      <c r="B83" s="47"/>
      <c r="D83" s="260"/>
    </row>
    <row r="84" spans="2:4" ht="12.75">
      <c r="B84" s="47"/>
      <c r="D84" s="260"/>
    </row>
    <row r="85" spans="2:4" ht="12.75">
      <c r="B85" s="47"/>
      <c r="D85" s="260"/>
    </row>
    <row r="86" spans="2:4" ht="12.75">
      <c r="B86" s="47"/>
      <c r="D86" s="260"/>
    </row>
    <row r="87" spans="2:4" ht="12.75">
      <c r="B87" s="47"/>
      <c r="D87" s="260"/>
    </row>
    <row r="88" spans="2:4" ht="12.75">
      <c r="B88" s="47"/>
      <c r="D88" s="260"/>
    </row>
    <row r="89" spans="2:4" ht="12.75">
      <c r="B89" s="47"/>
      <c r="D89" s="260"/>
    </row>
    <row r="90" spans="2:4" ht="12.75">
      <c r="B90" s="47"/>
      <c r="D90" s="260"/>
    </row>
    <row r="91" spans="2:4" ht="12.75">
      <c r="B91" s="47"/>
      <c r="D91" s="260"/>
    </row>
    <row r="92" spans="2:4" ht="12.75">
      <c r="B92" s="47"/>
      <c r="D92" s="260"/>
    </row>
    <row r="93" spans="2:4" ht="12.75">
      <c r="B93" s="47"/>
      <c r="D93" s="260"/>
    </row>
    <row r="94" spans="2:4" ht="12.75">
      <c r="B94" s="47"/>
      <c r="D94" s="260"/>
    </row>
    <row r="95" spans="2:4" ht="12.75">
      <c r="B95" s="47"/>
      <c r="D95" s="260"/>
    </row>
    <row r="96" spans="2:4" ht="12.75">
      <c r="B96" s="47"/>
      <c r="D96" s="260"/>
    </row>
    <row r="97" spans="2:4" ht="12.75">
      <c r="B97" s="47"/>
      <c r="D97" s="260"/>
    </row>
    <row r="98" spans="2:4" ht="12.75">
      <c r="B98" s="47"/>
      <c r="D98" s="260"/>
    </row>
    <row r="99" ht="12.75">
      <c r="B99" s="47"/>
    </row>
    <row r="100" ht="12.75">
      <c r="B100" s="47"/>
    </row>
    <row r="101" ht="12.75">
      <c r="B101" s="47"/>
    </row>
    <row r="102" ht="12.75">
      <c r="B102" s="47"/>
    </row>
    <row r="103" ht="12.75">
      <c r="B103" s="47"/>
    </row>
    <row r="104" ht="12.75">
      <c r="B104" s="47"/>
    </row>
    <row r="105" ht="12.75">
      <c r="B105" s="47"/>
    </row>
    <row r="106" ht="12.75">
      <c r="B106" s="47"/>
    </row>
    <row r="107" ht="12.75">
      <c r="B107" s="47"/>
    </row>
  </sheetData>
  <mergeCells count="6">
    <mergeCell ref="A5:E5"/>
    <mergeCell ref="H5:L5"/>
    <mergeCell ref="A2:E2"/>
    <mergeCell ref="H2:L2"/>
    <mergeCell ref="A4:E4"/>
    <mergeCell ref="H4:L4"/>
  </mergeCells>
  <printOptions/>
  <pageMargins left="0.75" right="0.27" top="1" bottom="1" header="0.5" footer="0.5"/>
  <pageSetup firstPageNumber="15" useFirstPageNumber="1" horizontalDpi="600" verticalDpi="600" orientation="portrait" paperSize="9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06"/>
  <sheetViews>
    <sheetView workbookViewId="0" topLeftCell="G1">
      <selection activeCell="G8" sqref="G8"/>
    </sheetView>
  </sheetViews>
  <sheetFormatPr defaultColWidth="9.140625" defaultRowHeight="17.25" customHeight="1"/>
  <cols>
    <col min="1" max="1" width="40.57421875" style="49" hidden="1" customWidth="1"/>
    <col min="2" max="2" width="13.421875" style="49" hidden="1" customWidth="1"/>
    <col min="3" max="3" width="15.00390625" style="49" hidden="1" customWidth="1"/>
    <col min="4" max="4" width="13.140625" style="49" hidden="1" customWidth="1"/>
    <col min="5" max="5" width="8.28125" style="263" hidden="1" customWidth="1"/>
    <col min="6" max="6" width="17.00390625" style="49" hidden="1" customWidth="1"/>
    <col min="7" max="7" width="41.421875" style="49" customWidth="1"/>
    <col min="8" max="8" width="15.28125" style="49" customWidth="1"/>
    <col min="9" max="9" width="12.8515625" style="49" customWidth="1"/>
    <col min="10" max="10" width="9.7109375" style="255" customWidth="1"/>
    <col min="11" max="11" width="8.28125" style="265" customWidth="1"/>
    <col min="12" max="12" width="8.57421875" style="49" customWidth="1"/>
    <col min="13" max="13" width="9.140625" style="0" hidden="1" customWidth="1"/>
    <col min="14" max="14" width="2.7109375" style="190" hidden="1" customWidth="1"/>
    <col min="15" max="15" width="10.8515625" style="0" hidden="1" customWidth="1"/>
    <col min="16" max="16" width="1.421875" style="190" hidden="1" customWidth="1"/>
    <col min="17" max="17" width="1.1484375" style="190" hidden="1" customWidth="1"/>
    <col min="18" max="19" width="9.140625" style="190" hidden="1" customWidth="1"/>
    <col min="20" max="20" width="15.421875" style="190" hidden="1" customWidth="1"/>
    <col min="21" max="21" width="1.8515625" style="0" hidden="1" customWidth="1"/>
    <col min="22" max="22" width="13.28125" style="0" hidden="1" customWidth="1"/>
    <col min="23" max="23" width="9.140625" style="0" hidden="1" customWidth="1"/>
    <col min="24" max="24" width="12.421875" style="0" hidden="1" customWidth="1"/>
  </cols>
  <sheetData>
    <row r="1" spans="6:12" ht="17.25" customHeight="1">
      <c r="F1" s="264" t="s">
        <v>545</v>
      </c>
      <c r="L1" s="264" t="s">
        <v>545</v>
      </c>
    </row>
    <row r="2" spans="1:12" ht="17.25" customHeight="1">
      <c r="A2" s="845" t="s">
        <v>546</v>
      </c>
      <c r="B2" s="845"/>
      <c r="C2" s="845"/>
      <c r="D2" s="845"/>
      <c r="E2" s="845"/>
      <c r="F2" s="845"/>
      <c r="G2" s="846" t="s">
        <v>238</v>
      </c>
      <c r="H2" s="846"/>
      <c r="I2" s="846"/>
      <c r="J2" s="846"/>
      <c r="K2" s="846"/>
      <c r="L2" s="846"/>
    </row>
    <row r="4" spans="1:12" ht="17.25" customHeight="1">
      <c r="A4" s="819" t="s">
        <v>547</v>
      </c>
      <c r="B4" s="819"/>
      <c r="C4" s="819"/>
      <c r="D4" s="819"/>
      <c r="E4" s="819"/>
      <c r="F4" s="819"/>
      <c r="G4" s="820" t="s">
        <v>547</v>
      </c>
      <c r="H4" s="820"/>
      <c r="I4" s="820"/>
      <c r="J4" s="820"/>
      <c r="K4" s="820"/>
      <c r="L4" s="820"/>
    </row>
    <row r="5" spans="1:12" ht="17.25" customHeight="1">
      <c r="A5" s="821" t="s">
        <v>525</v>
      </c>
      <c r="B5" s="821"/>
      <c r="C5" s="821"/>
      <c r="D5" s="821"/>
      <c r="E5" s="821"/>
      <c r="F5" s="821"/>
      <c r="G5" s="822" t="s">
        <v>525</v>
      </c>
      <c r="H5" s="822"/>
      <c r="I5" s="822"/>
      <c r="J5" s="822"/>
      <c r="K5" s="822"/>
      <c r="L5" s="822"/>
    </row>
    <row r="6" spans="1:12" ht="7.5" customHeight="1">
      <c r="A6" s="266"/>
      <c r="B6" s="266"/>
      <c r="C6" s="266"/>
      <c r="D6" s="266"/>
      <c r="E6" s="267"/>
      <c r="F6" s="266"/>
      <c r="G6" s="266"/>
      <c r="H6" s="266"/>
      <c r="I6" s="266"/>
      <c r="J6" s="721"/>
      <c r="K6" s="268"/>
      <c r="L6" s="266"/>
    </row>
    <row r="7" spans="6:22" ht="12.75">
      <c r="F7" s="269" t="s">
        <v>548</v>
      </c>
      <c r="L7" s="269" t="s">
        <v>549</v>
      </c>
      <c r="T7" s="190" t="s">
        <v>528</v>
      </c>
      <c r="V7" t="s">
        <v>136</v>
      </c>
    </row>
    <row r="8" spans="1:14" ht="47.25" customHeight="1">
      <c r="A8" s="270" t="s">
        <v>193</v>
      </c>
      <c r="B8" s="270" t="s">
        <v>241</v>
      </c>
      <c r="C8" s="270" t="s">
        <v>550</v>
      </c>
      <c r="D8" s="270" t="s">
        <v>242</v>
      </c>
      <c r="E8" s="271" t="s">
        <v>551</v>
      </c>
      <c r="F8" s="272" t="s">
        <v>464</v>
      </c>
      <c r="G8" s="270" t="s">
        <v>193</v>
      </c>
      <c r="H8" s="270" t="s">
        <v>241</v>
      </c>
      <c r="I8" s="270" t="s">
        <v>550</v>
      </c>
      <c r="J8" s="148" t="s">
        <v>242</v>
      </c>
      <c r="K8" s="273" t="s">
        <v>551</v>
      </c>
      <c r="L8" s="722" t="s">
        <v>317</v>
      </c>
      <c r="N8" s="190" t="s">
        <v>528</v>
      </c>
    </row>
    <row r="9" spans="1:12" ht="12.75">
      <c r="A9" s="274">
        <v>1</v>
      </c>
      <c r="B9" s="257">
        <v>2</v>
      </c>
      <c r="C9" s="275">
        <v>3</v>
      </c>
      <c r="D9" s="275">
        <v>4</v>
      </c>
      <c r="E9" s="276">
        <v>5</v>
      </c>
      <c r="F9" s="274">
        <v>6</v>
      </c>
      <c r="G9" s="274">
        <v>1</v>
      </c>
      <c r="H9" s="257">
        <v>2</v>
      </c>
      <c r="I9" s="275">
        <v>3</v>
      </c>
      <c r="J9" s="723">
        <v>4</v>
      </c>
      <c r="K9" s="275">
        <v>5</v>
      </c>
      <c r="L9" s="274">
        <v>6</v>
      </c>
    </row>
    <row r="10" spans="1:24" ht="12.75" customHeight="1">
      <c r="A10" s="250" t="s">
        <v>553</v>
      </c>
      <c r="B10" s="98">
        <f>SUM(B20,B28,B40,B45,B51,B58,B70,B78,B90,B96,B103,B115,B170,B179,B185)</f>
        <v>725518701</v>
      </c>
      <c r="C10" s="98">
        <f>SUM(C20,C28,C40,C45,C51,C58,C70,C78,C90,C96,C103,C115,C170,C179,C185)</f>
        <v>351257110</v>
      </c>
      <c r="D10" s="98">
        <f>SUM(D20,D28,D40,D45,D51,D58,D70,D78,D90,D96,D103,D115,D170,D179,D185)</f>
        <v>342779059</v>
      </c>
      <c r="E10" s="277">
        <f aca="true" t="shared" si="0" ref="E10:E17">D10/B10*100</f>
        <v>47.24606802382066</v>
      </c>
      <c r="F10" s="98">
        <f>SUM(F20,F28,F40,F45,F51,F58,F70,F78,F90,F96,F103,F115,F170,F179,F185)</f>
        <v>55414415</v>
      </c>
      <c r="G10" s="250" t="s">
        <v>553</v>
      </c>
      <c r="H10" s="98">
        <f>ROUND(B10/1000,0)</f>
        <v>725519</v>
      </c>
      <c r="I10" s="98">
        <f>ROUND(C10/1000,0)</f>
        <v>351257</v>
      </c>
      <c r="J10" s="724">
        <f>SUM(J20,J28,J40,J45,J51,J58,J70,J78,J90,J96,J103,J115,J170,J179,J185)</f>
        <v>342779</v>
      </c>
      <c r="K10" s="278">
        <f aca="true" t="shared" si="1" ref="K10:K17">J10/H10*100</f>
        <v>47.24604042071952</v>
      </c>
      <c r="L10" s="98">
        <f>SUM(L20,L28,L40,L45,L51,L58,L70,L78,L90,L96,L103,L115,L170,L179,L185)</f>
        <v>55416</v>
      </c>
      <c r="N10" s="190">
        <v>343124</v>
      </c>
      <c r="P10" s="190">
        <f>'[9]Maijs'!J10</f>
        <v>287363</v>
      </c>
      <c r="R10" s="190">
        <f>N10-P10</f>
        <v>55761</v>
      </c>
      <c r="T10" s="98">
        <f>SUM(T20,T28,T40,T45,T51,T58,T70,T78,T90,T96,T103,T115,T170,T179,T185)</f>
        <v>343125652</v>
      </c>
      <c r="V10" s="98">
        <f>SUM(V20,V28,V40,V45,V51,V58,V70,V78,V90,V96,V103,V115,V170,V179,V185)</f>
        <v>287364644</v>
      </c>
      <c r="X10" s="190">
        <f>T10-V10</f>
        <v>55761008</v>
      </c>
    </row>
    <row r="11" spans="1:24" ht="12.75" customHeight="1">
      <c r="A11" s="250" t="s">
        <v>521</v>
      </c>
      <c r="B11" s="98">
        <f>B12+B14</f>
        <v>765146600</v>
      </c>
      <c r="C11" s="98">
        <f>C12+C14</f>
        <v>384805366</v>
      </c>
      <c r="D11" s="98">
        <f>D12+D14</f>
        <v>353182625</v>
      </c>
      <c r="E11" s="277">
        <f t="shared" si="0"/>
        <v>46.158817800405835</v>
      </c>
      <c r="F11" s="98">
        <f>F12+F14</f>
        <v>55437328</v>
      </c>
      <c r="G11" s="32" t="s">
        <v>521</v>
      </c>
      <c r="H11" s="98">
        <f>H12+H14</f>
        <v>765147</v>
      </c>
      <c r="I11" s="98">
        <f>ROUND(C11/1000,0)</f>
        <v>384805</v>
      </c>
      <c r="J11" s="725">
        <f>J12+J14</f>
        <v>353183</v>
      </c>
      <c r="K11" s="96">
        <f t="shared" si="1"/>
        <v>46.15884267990334</v>
      </c>
      <c r="L11" s="98">
        <f>L12+L14</f>
        <v>55437</v>
      </c>
      <c r="N11" s="190">
        <v>353186</v>
      </c>
      <c r="P11" s="190">
        <f>'[9]Maijs'!J11</f>
        <v>297746</v>
      </c>
      <c r="R11" s="190">
        <f aca="true" t="shared" si="2" ref="R11:R74">N11-P11</f>
        <v>55440</v>
      </c>
      <c r="T11" s="98">
        <f>T12+T14</f>
        <v>353181633</v>
      </c>
      <c r="V11" s="98">
        <f>V12+V14</f>
        <v>297745297</v>
      </c>
      <c r="X11" s="190">
        <f aca="true" t="shared" si="3" ref="X11:X74">T11-V11</f>
        <v>55436336</v>
      </c>
    </row>
    <row r="12" spans="1:24" ht="12.75" customHeight="1">
      <c r="A12" s="250" t="s">
        <v>554</v>
      </c>
      <c r="B12" s="252">
        <f>SUM(B23,B38,B43,B54,B62,B74,B84,B93,B99,B109,B120,B175,B183,B188)</f>
        <v>731908893</v>
      </c>
      <c r="C12" s="252">
        <f>SUM(C23,C38,C43,C54,C62,C74,C84,C93,C99,C109,C120,C175,C183,C188)</f>
        <v>368983802</v>
      </c>
      <c r="D12" s="252">
        <f>SUM(D23,D38,D43,D54,D62,D74,D84,D93,D99,D109,D120,D175,D183,D188)</f>
        <v>344445587</v>
      </c>
      <c r="E12" s="279">
        <f t="shared" si="0"/>
        <v>47.06126545179169</v>
      </c>
      <c r="F12" s="252">
        <f>SUM(F23,F38,F43,F54,F62,F74,F84,F93,F99,F109,F120,F175,F183,F188)</f>
        <v>53338078</v>
      </c>
      <c r="G12" s="250" t="s">
        <v>554</v>
      </c>
      <c r="H12" s="280">
        <f aca="true" t="shared" si="4" ref="H12:J17">ROUND(B12/1000,0)</f>
        <v>731909</v>
      </c>
      <c r="I12" s="281">
        <f t="shared" si="4"/>
        <v>368984</v>
      </c>
      <c r="J12" s="726">
        <f t="shared" si="4"/>
        <v>344446</v>
      </c>
      <c r="K12" s="283">
        <f t="shared" si="1"/>
        <v>47.06131499954229</v>
      </c>
      <c r="L12" s="252">
        <f>SUM(L23,L38,L43,L54,L62,L74,L84,L93,L99,L109,L120,L175,L183,L188)</f>
        <v>53338</v>
      </c>
      <c r="N12" s="190">
        <v>344450</v>
      </c>
      <c r="P12" s="190">
        <f>'[9]Maijs'!J12</f>
        <v>291108</v>
      </c>
      <c r="R12" s="190">
        <f t="shared" si="2"/>
        <v>53342</v>
      </c>
      <c r="T12" s="252">
        <f>SUM(T23,T38,T43,T54,T62,T74,T84,T93,T99,T109,T120,T175,T183,T188)</f>
        <v>344445587</v>
      </c>
      <c r="V12" s="252">
        <f>SUM(V23,V38,V43,V54,V62,V74,V84,V93,V99,V109,V120,V175,V183,V188)</f>
        <v>291107509</v>
      </c>
      <c r="X12" s="190">
        <f t="shared" si="3"/>
        <v>53338078</v>
      </c>
    </row>
    <row r="13" spans="1:24" ht="12.75" customHeight="1">
      <c r="A13" s="284" t="s">
        <v>555</v>
      </c>
      <c r="B13" s="252">
        <f>SUM(B55,B63,B85,B110,B121,B189)</f>
        <v>5473101</v>
      </c>
      <c r="C13" s="252"/>
      <c r="D13" s="252">
        <f>SUM(D24,D55,D63,D85,D110,D189)</f>
        <v>2677179</v>
      </c>
      <c r="E13" s="279">
        <f t="shared" si="0"/>
        <v>48.91521278339282</v>
      </c>
      <c r="F13" s="252">
        <f>SUM(F24,F55,F63,F85,F110,F121,F189)</f>
        <v>196146</v>
      </c>
      <c r="G13" s="284" t="s">
        <v>555</v>
      </c>
      <c r="H13" s="280">
        <f t="shared" si="4"/>
        <v>5473</v>
      </c>
      <c r="I13" s="280">
        <f t="shared" si="4"/>
        <v>0</v>
      </c>
      <c r="J13" s="727">
        <f t="shared" si="4"/>
        <v>2677</v>
      </c>
      <c r="K13" s="283">
        <f t="shared" si="1"/>
        <v>48.912844874840125</v>
      </c>
      <c r="L13" s="280">
        <f>ROUND(F13/1000,0)</f>
        <v>196</v>
      </c>
      <c r="N13" s="190">
        <v>2007</v>
      </c>
      <c r="P13" s="190">
        <f>'[9]Maijs'!J13</f>
        <v>2481</v>
      </c>
      <c r="R13" s="190">
        <f t="shared" si="2"/>
        <v>-474</v>
      </c>
      <c r="T13" s="252">
        <f>SUM(T24,T55,T63,T85,T110,T189)</f>
        <v>2006812</v>
      </c>
      <c r="V13" s="252">
        <f>SUM(V24,V55,V63,V85,V110,V189)</f>
        <v>2481033</v>
      </c>
      <c r="X13" s="190">
        <f t="shared" si="3"/>
        <v>-474221</v>
      </c>
    </row>
    <row r="14" spans="1:24" ht="12.75" customHeight="1">
      <c r="A14" s="250" t="s">
        <v>556</v>
      </c>
      <c r="B14" s="252">
        <f>SUM(B25,B56,B64,B75,B86,B94,B100,B111,B122,B176,B190)</f>
        <v>33237707</v>
      </c>
      <c r="C14" s="252">
        <f>SUM(C25,C56,C64,C75,C86,C94,C100,C111,C122,C176,C190)</f>
        <v>15821564</v>
      </c>
      <c r="D14" s="252">
        <f>SUM(D25,D56,D64,D75,D86,D94,D100,D111,D122,D176,D190)</f>
        <v>8737038</v>
      </c>
      <c r="E14" s="279">
        <f t="shared" si="0"/>
        <v>26.286524518673925</v>
      </c>
      <c r="F14" s="252">
        <f>SUM(F25,F56,F64,F75,F86,F94,F100,F111,F122,F176,F190)</f>
        <v>2099250</v>
      </c>
      <c r="G14" s="250" t="s">
        <v>556</v>
      </c>
      <c r="H14" s="280">
        <f t="shared" si="4"/>
        <v>33238</v>
      </c>
      <c r="I14" s="281">
        <f>ROUND(C14/1000,0)-1</f>
        <v>15821</v>
      </c>
      <c r="J14" s="726">
        <f t="shared" si="4"/>
        <v>8737</v>
      </c>
      <c r="K14" s="283">
        <f t="shared" si="1"/>
        <v>26.286178470425416</v>
      </c>
      <c r="L14" s="252">
        <f>SUM(L25,L56,L64,L75,L86,L94,L100,L111,L122,L176,L190)</f>
        <v>2099</v>
      </c>
      <c r="N14" s="190">
        <v>8736</v>
      </c>
      <c r="P14" s="190">
        <f>'[9]Maijs'!J14</f>
        <v>6638</v>
      </c>
      <c r="R14" s="190">
        <f t="shared" si="2"/>
        <v>2098</v>
      </c>
      <c r="T14" s="252">
        <f>SUM(T25,T56,T64,T75,T86,T94,T100,T111,T122,T176,T190)</f>
        <v>8736046</v>
      </c>
      <c r="V14" s="252">
        <f>SUM(V25,V56,V64,V75,V86,V94,V100,V111,V122,V176,V190)</f>
        <v>6637788</v>
      </c>
      <c r="X14" s="190">
        <f t="shared" si="3"/>
        <v>2098258</v>
      </c>
    </row>
    <row r="15" spans="1:24" ht="12.75" customHeight="1">
      <c r="A15" s="250" t="s">
        <v>394</v>
      </c>
      <c r="B15" s="98">
        <f>SUM(B65)</f>
        <v>6699203</v>
      </c>
      <c r="C15" s="98">
        <f>SUM(C65)</f>
        <v>3899074</v>
      </c>
      <c r="D15" s="98">
        <f>SUM(D65)</f>
        <v>3503854</v>
      </c>
      <c r="E15" s="277">
        <f t="shared" si="0"/>
        <v>52.302550019756076</v>
      </c>
      <c r="F15" s="98">
        <f>SUM(F65)</f>
        <v>341633</v>
      </c>
      <c r="G15" s="32" t="s">
        <v>394</v>
      </c>
      <c r="H15" s="98">
        <f t="shared" si="4"/>
        <v>6699</v>
      </c>
      <c r="I15" s="98">
        <f t="shared" si="4"/>
        <v>3899</v>
      </c>
      <c r="J15" s="725">
        <f>SUM(J65)</f>
        <v>3504</v>
      </c>
      <c r="K15" s="96">
        <f t="shared" si="1"/>
        <v>52.3063143752799</v>
      </c>
      <c r="L15" s="98">
        <f>SUM(L65)</f>
        <v>342</v>
      </c>
      <c r="N15" s="190">
        <v>3504</v>
      </c>
      <c r="P15" s="190">
        <f>'[9]Maijs'!J15</f>
        <v>3162</v>
      </c>
      <c r="R15" s="190">
        <f t="shared" si="2"/>
        <v>342</v>
      </c>
      <c r="T15" s="98">
        <f>SUM(T65)</f>
        <v>3503854</v>
      </c>
      <c r="V15" s="98">
        <f>SUM(V65)</f>
        <v>3162221</v>
      </c>
      <c r="X15" s="190">
        <f t="shared" si="3"/>
        <v>341633</v>
      </c>
    </row>
    <row r="16" spans="1:24" ht="12.75" customHeight="1">
      <c r="A16" s="250" t="s">
        <v>395</v>
      </c>
      <c r="B16" s="98">
        <f>B10-B11-B15</f>
        <v>-46327102</v>
      </c>
      <c r="C16" s="98">
        <f>C10-C11-C15</f>
        <v>-37447330</v>
      </c>
      <c r="D16" s="98">
        <f>D10-D11-D15</f>
        <v>-13907420</v>
      </c>
      <c r="E16" s="277">
        <f t="shared" si="0"/>
        <v>30.02005176149374</v>
      </c>
      <c r="F16" s="98">
        <f>F10-F11-F15</f>
        <v>-364546</v>
      </c>
      <c r="G16" s="32" t="s">
        <v>395</v>
      </c>
      <c r="H16" s="98">
        <f t="shared" si="4"/>
        <v>-46327</v>
      </c>
      <c r="I16" s="98">
        <f t="shared" si="4"/>
        <v>-37447</v>
      </c>
      <c r="J16" s="724">
        <f>J10-J11-J15</f>
        <v>-13908</v>
      </c>
      <c r="K16" s="96">
        <f t="shared" si="1"/>
        <v>30.021369827530382</v>
      </c>
      <c r="L16" s="98">
        <f>L10-L11-L15</f>
        <v>-363</v>
      </c>
      <c r="N16" s="190">
        <v>-13566</v>
      </c>
      <c r="P16" s="190">
        <f>'[9]Maijs'!J16</f>
        <v>-13545</v>
      </c>
      <c r="R16" s="190">
        <f t="shared" si="2"/>
        <v>-21</v>
      </c>
      <c r="T16" s="98">
        <f>T10-T11-T15</f>
        <v>-13559835</v>
      </c>
      <c r="V16" s="98">
        <f>V10-V11-V15</f>
        <v>-13542874</v>
      </c>
      <c r="X16" s="190">
        <f t="shared" si="3"/>
        <v>-16961</v>
      </c>
    </row>
    <row r="17" spans="1:24" ht="12.75" customHeight="1">
      <c r="A17" s="69" t="s">
        <v>557</v>
      </c>
      <c r="B17" s="98">
        <f>SUM(B67,B88,B113,B124,B192)</f>
        <v>48698241</v>
      </c>
      <c r="C17" s="98">
        <f>SUM(C67,C88,C113,C124,C192)</f>
        <v>35449114</v>
      </c>
      <c r="D17" s="98">
        <f>SUM(D67,D88,D113,D124,D192)</f>
        <v>22049712</v>
      </c>
      <c r="E17" s="277">
        <f t="shared" si="0"/>
        <v>45.27825142596013</v>
      </c>
      <c r="F17" s="98">
        <f>SUM(F67,F88,F113,F124,F192)</f>
        <v>24666</v>
      </c>
      <c r="G17" s="76" t="s">
        <v>557</v>
      </c>
      <c r="H17" s="98">
        <f t="shared" si="4"/>
        <v>48698</v>
      </c>
      <c r="I17" s="98">
        <f t="shared" si="4"/>
        <v>35449</v>
      </c>
      <c r="J17" s="724">
        <f>ROUND(D17/1000,0)</f>
        <v>22050</v>
      </c>
      <c r="K17" s="96">
        <f t="shared" si="1"/>
        <v>45.279066902131504</v>
      </c>
      <c r="L17" s="98">
        <f>SUM(L67,L88,L113,L124,L192)</f>
        <v>25</v>
      </c>
      <c r="N17" s="190">
        <v>22050</v>
      </c>
      <c r="P17" s="190">
        <f>'[9]Maijs'!J17</f>
        <v>22025</v>
      </c>
      <c r="R17" s="190">
        <f t="shared" si="2"/>
        <v>25</v>
      </c>
      <c r="T17" s="98">
        <f>SUM(T67,T88,T113,T124,T192)</f>
        <v>22049712</v>
      </c>
      <c r="V17" s="98">
        <f>SUM(V67,V88,V113,V124,V192)</f>
        <v>22025046</v>
      </c>
      <c r="X17" s="190">
        <f t="shared" si="3"/>
        <v>24666</v>
      </c>
    </row>
    <row r="18" spans="1:24" ht="20.25" customHeight="1">
      <c r="A18" s="32" t="s">
        <v>408</v>
      </c>
      <c r="B18" s="281"/>
      <c r="C18" s="281"/>
      <c r="D18" s="281"/>
      <c r="E18" s="279"/>
      <c r="F18" s="281"/>
      <c r="G18" s="32" t="s">
        <v>408</v>
      </c>
      <c r="H18" s="281"/>
      <c r="I18" s="281"/>
      <c r="J18" s="728"/>
      <c r="K18" s="283"/>
      <c r="L18" s="281"/>
      <c r="P18" s="190">
        <f>'[9]Maijs'!J18</f>
        <v>0</v>
      </c>
      <c r="R18" s="190">
        <f t="shared" si="2"/>
        <v>0</v>
      </c>
      <c r="T18" s="281"/>
      <c r="V18" s="281"/>
      <c r="X18" s="190">
        <f t="shared" si="3"/>
        <v>0</v>
      </c>
    </row>
    <row r="19" spans="1:24" ht="12.75" customHeight="1">
      <c r="A19" s="286" t="s">
        <v>558</v>
      </c>
      <c r="B19" s="281"/>
      <c r="C19" s="281"/>
      <c r="D19" s="281"/>
      <c r="E19" s="279"/>
      <c r="F19" s="281"/>
      <c r="G19" s="286" t="s">
        <v>558</v>
      </c>
      <c r="H19" s="281"/>
      <c r="I19" s="281"/>
      <c r="J19" s="728"/>
      <c r="K19" s="283"/>
      <c r="L19" s="281"/>
      <c r="P19" s="190">
        <f>'[9]Maijs'!J19</f>
        <v>0</v>
      </c>
      <c r="R19" s="190">
        <f t="shared" si="2"/>
        <v>0</v>
      </c>
      <c r="T19" s="281"/>
      <c r="V19" s="281"/>
      <c r="X19" s="190">
        <f t="shared" si="3"/>
        <v>0</v>
      </c>
    </row>
    <row r="20" spans="1:24" ht="12.75" customHeight="1">
      <c r="A20" s="250" t="s">
        <v>559</v>
      </c>
      <c r="B20" s="252">
        <f>B21</f>
        <v>2874300</v>
      </c>
      <c r="C20" s="282">
        <v>1474300</v>
      </c>
      <c r="D20" s="729">
        <f>D21</f>
        <v>1006309</v>
      </c>
      <c r="E20" s="279">
        <f>D20/B20*100</f>
        <v>35.01057648818843</v>
      </c>
      <c r="F20" s="281">
        <f>D20-'[9]Maijs'!D20</f>
        <v>182868</v>
      </c>
      <c r="G20" s="250" t="s">
        <v>559</v>
      </c>
      <c r="H20" s="252">
        <f>ROUND(B20/1000,0)</f>
        <v>2874</v>
      </c>
      <c r="I20" s="252">
        <f>ROUND(C20/1000,0)</f>
        <v>1474</v>
      </c>
      <c r="J20" s="730">
        <f>J21</f>
        <v>1006</v>
      </c>
      <c r="K20" s="283">
        <f>J20/H20*100</f>
        <v>35.00347947112039</v>
      </c>
      <c r="L20" s="281">
        <f>ROUND(F20/1000,0)</f>
        <v>183</v>
      </c>
      <c r="N20" s="190">
        <v>1006</v>
      </c>
      <c r="P20" s="190">
        <f>'[9]Maijs'!J20</f>
        <v>823</v>
      </c>
      <c r="R20" s="190">
        <f t="shared" si="2"/>
        <v>183</v>
      </c>
      <c r="T20" s="252">
        <f>T21</f>
        <v>1006309</v>
      </c>
      <c r="V20" s="252">
        <f>V21</f>
        <v>823441</v>
      </c>
      <c r="X20" s="190">
        <f t="shared" si="3"/>
        <v>182868</v>
      </c>
    </row>
    <row r="21" spans="1:24" ht="12.75" customHeight="1">
      <c r="A21" s="250" t="s">
        <v>560</v>
      </c>
      <c r="B21" s="252">
        <v>2874300</v>
      </c>
      <c r="C21" s="282"/>
      <c r="D21" s="282">
        <f>'[10]Junijs'!$K$6</f>
        <v>1006309</v>
      </c>
      <c r="E21" s="279">
        <f>D21/B21*100</f>
        <v>35.01057648818843</v>
      </c>
      <c r="F21" s="281">
        <f>D21-'[9]Maijs'!D21</f>
        <v>182868</v>
      </c>
      <c r="G21" s="250" t="s">
        <v>560</v>
      </c>
      <c r="H21" s="252">
        <f>ROUND(B21/1000,0)</f>
        <v>2874</v>
      </c>
      <c r="I21" s="252"/>
      <c r="J21" s="730">
        <f>ROUND(D21/1000,0)</f>
        <v>1006</v>
      </c>
      <c r="K21" s="283">
        <f>J21/H21*100</f>
        <v>35.00347947112039</v>
      </c>
      <c r="L21" s="281">
        <f aca="true" t="shared" si="5" ref="L21:L84">ROUND(F21/1000,0)</f>
        <v>183</v>
      </c>
      <c r="N21" s="190">
        <v>1006</v>
      </c>
      <c r="P21" s="190">
        <f>'[9]Maijs'!J21</f>
        <v>823</v>
      </c>
      <c r="R21" s="190">
        <f t="shared" si="2"/>
        <v>183</v>
      </c>
      <c r="T21" s="282">
        <f>'[10]Junijs'!$K$6</f>
        <v>1006309</v>
      </c>
      <c r="V21" s="282">
        <f>'[10]Maijs'!$K$6</f>
        <v>823441</v>
      </c>
      <c r="X21" s="190">
        <f t="shared" si="3"/>
        <v>182868</v>
      </c>
    </row>
    <row r="22" spans="1:24" ht="12.75" customHeight="1">
      <c r="A22" s="250" t="s">
        <v>561</v>
      </c>
      <c r="B22" s="281">
        <f>B23+B25</f>
        <v>2874300</v>
      </c>
      <c r="C22" s="281">
        <f>C23+C25</f>
        <v>1474300</v>
      </c>
      <c r="D22" s="281">
        <f>D23+D25</f>
        <v>891354</v>
      </c>
      <c r="E22" s="279">
        <f>D22/B22*100</f>
        <v>31.011167936541074</v>
      </c>
      <c r="F22" s="281">
        <f>D22-'[9]Maijs'!D22</f>
        <v>137701</v>
      </c>
      <c r="G22" s="250" t="s">
        <v>561</v>
      </c>
      <c r="H22" s="252">
        <f>ROUND(B22/1000,0)</f>
        <v>2874</v>
      </c>
      <c r="I22" s="252">
        <f>SUM(I23:I25)</f>
        <v>1475</v>
      </c>
      <c r="J22" s="730">
        <f>SUM(J23+J25)</f>
        <v>891</v>
      </c>
      <c r="K22" s="283">
        <f>J22/H22*100</f>
        <v>31.002087682672236</v>
      </c>
      <c r="L22" s="281">
        <f t="shared" si="5"/>
        <v>138</v>
      </c>
      <c r="N22" s="190">
        <v>891</v>
      </c>
      <c r="P22" s="190">
        <f>'[9]Maijs'!J22</f>
        <v>754</v>
      </c>
      <c r="R22" s="190">
        <f t="shared" si="2"/>
        <v>137</v>
      </c>
      <c r="T22" s="281">
        <f>T23+T25</f>
        <v>891354</v>
      </c>
      <c r="V22" s="281">
        <f>V23+V25</f>
        <v>753653</v>
      </c>
      <c r="X22" s="190">
        <f t="shared" si="3"/>
        <v>137701</v>
      </c>
    </row>
    <row r="23" spans="1:24" ht="12.75" customHeight="1">
      <c r="A23" s="250" t="s">
        <v>562</v>
      </c>
      <c r="B23" s="252">
        <v>2856700</v>
      </c>
      <c r="C23" s="282">
        <v>1456700</v>
      </c>
      <c r="D23" s="282">
        <f>'[10]Junijs'!$K$8</f>
        <v>878166</v>
      </c>
      <c r="E23" s="279">
        <f>D23/B23*100</f>
        <v>30.740574789092314</v>
      </c>
      <c r="F23" s="281">
        <f>D23-'[9]Maijs'!D23</f>
        <v>131448</v>
      </c>
      <c r="G23" s="250" t="s">
        <v>562</v>
      </c>
      <c r="H23" s="252">
        <f>ROUND(B23/1000,0)</f>
        <v>2857</v>
      </c>
      <c r="I23" s="252">
        <f>ROUND(C23/1000,0)</f>
        <v>1457</v>
      </c>
      <c r="J23" s="730">
        <f>ROUND(D23/1000,0)</f>
        <v>878</v>
      </c>
      <c r="K23" s="283">
        <f>J23/H23*100</f>
        <v>30.731536576828844</v>
      </c>
      <c r="L23" s="281">
        <f t="shared" si="5"/>
        <v>131</v>
      </c>
      <c r="N23" s="190">
        <v>878</v>
      </c>
      <c r="P23" s="190">
        <f>'[9]Maijs'!J23</f>
        <v>747</v>
      </c>
      <c r="R23" s="190">
        <f t="shared" si="2"/>
        <v>131</v>
      </c>
      <c r="T23" s="282">
        <f>'[10]Junijs'!$K$8</f>
        <v>878166</v>
      </c>
      <c r="V23" s="282">
        <f>'[10]Maijs'!$K$8</f>
        <v>746718</v>
      </c>
      <c r="X23" s="190">
        <f t="shared" si="3"/>
        <v>131448</v>
      </c>
    </row>
    <row r="24" spans="1:24" ht="12.75" customHeight="1" hidden="1">
      <c r="A24" s="284" t="s">
        <v>555</v>
      </c>
      <c r="B24" s="252"/>
      <c r="C24" s="282"/>
      <c r="D24" s="282"/>
      <c r="E24" s="279"/>
      <c r="F24" s="281">
        <f>D24-'[9]Maijs'!D24</f>
        <v>0</v>
      </c>
      <c r="G24" s="284" t="s">
        <v>555</v>
      </c>
      <c r="H24" s="252"/>
      <c r="I24" s="252"/>
      <c r="J24" s="730"/>
      <c r="K24" s="283"/>
      <c r="L24" s="281">
        <f t="shared" si="5"/>
        <v>0</v>
      </c>
      <c r="P24" s="190">
        <f>'[9]Maijs'!J24</f>
        <v>0</v>
      </c>
      <c r="R24" s="190">
        <f t="shared" si="2"/>
        <v>0</v>
      </c>
      <c r="T24" s="282"/>
      <c r="V24" s="282"/>
      <c r="X24" s="190">
        <f t="shared" si="3"/>
        <v>0</v>
      </c>
    </row>
    <row r="25" spans="1:24" ht="12.75" customHeight="1">
      <c r="A25" s="250" t="s">
        <v>556</v>
      </c>
      <c r="B25" s="252">
        <v>17600</v>
      </c>
      <c r="C25" s="731">
        <v>17600</v>
      </c>
      <c r="D25" s="282">
        <f>'[10]Junijs'!$K$31</f>
        <v>13188</v>
      </c>
      <c r="E25" s="279">
        <f>D25/B25*100</f>
        <v>74.93181818181817</v>
      </c>
      <c r="F25" s="281">
        <f>D25-'[9]Maijs'!D25</f>
        <v>6253</v>
      </c>
      <c r="G25" s="250" t="s">
        <v>556</v>
      </c>
      <c r="H25" s="252">
        <f>ROUND(B25/1000,0)</f>
        <v>18</v>
      </c>
      <c r="I25" s="252">
        <f>ROUND(C25/1000,0)</f>
        <v>18</v>
      </c>
      <c r="J25" s="730">
        <f>ROUND(D25/1000,0)</f>
        <v>13</v>
      </c>
      <c r="K25" s="283">
        <f>J25/H25*100</f>
        <v>72.22222222222221</v>
      </c>
      <c r="L25" s="281">
        <f t="shared" si="5"/>
        <v>6</v>
      </c>
      <c r="N25" s="190">
        <v>13</v>
      </c>
      <c r="P25" s="190">
        <f>'[9]Maijs'!J25</f>
        <v>7</v>
      </c>
      <c r="R25" s="190">
        <f t="shared" si="2"/>
        <v>6</v>
      </c>
      <c r="T25" s="282">
        <f>'[10]Junijs'!$K$31</f>
        <v>13188</v>
      </c>
      <c r="V25" s="282">
        <f>'[10]Maijs'!$K$31</f>
        <v>6935</v>
      </c>
      <c r="X25" s="190">
        <f t="shared" si="3"/>
        <v>6253</v>
      </c>
    </row>
    <row r="26" spans="1:24" ht="12.75" customHeight="1">
      <c r="A26" s="32" t="s">
        <v>410</v>
      </c>
      <c r="B26" s="281"/>
      <c r="C26" s="281"/>
      <c r="D26" s="281"/>
      <c r="E26" s="279"/>
      <c r="F26" s="281">
        <f>D26-'[9]Maijs'!D26</f>
        <v>0</v>
      </c>
      <c r="G26" s="32" t="s">
        <v>410</v>
      </c>
      <c r="H26" s="252"/>
      <c r="I26" s="252"/>
      <c r="J26" s="730"/>
      <c r="K26" s="283"/>
      <c r="L26" s="281"/>
      <c r="P26" s="190">
        <f>'[9]Maijs'!J26</f>
        <v>0</v>
      </c>
      <c r="R26" s="190">
        <f t="shared" si="2"/>
        <v>0</v>
      </c>
      <c r="T26" s="281"/>
      <c r="V26" s="281"/>
      <c r="X26" s="190">
        <f t="shared" si="3"/>
        <v>0</v>
      </c>
    </row>
    <row r="27" spans="1:24" ht="24" customHeight="1">
      <c r="A27" s="94" t="s">
        <v>563</v>
      </c>
      <c r="B27" s="281"/>
      <c r="C27" s="281"/>
      <c r="D27" s="281"/>
      <c r="E27" s="279"/>
      <c r="F27" s="281">
        <f>D27-'[9]Maijs'!D27</f>
        <v>0</v>
      </c>
      <c r="G27" s="130" t="s">
        <v>563</v>
      </c>
      <c r="H27" s="252"/>
      <c r="I27" s="252"/>
      <c r="J27" s="730"/>
      <c r="K27" s="283"/>
      <c r="L27" s="281"/>
      <c r="P27" s="190">
        <f>'[9]Maijs'!J27</f>
        <v>0</v>
      </c>
      <c r="R27" s="190">
        <f t="shared" si="2"/>
        <v>0</v>
      </c>
      <c r="T27" s="281"/>
      <c r="V27" s="281"/>
      <c r="X27" s="190">
        <f t="shared" si="3"/>
        <v>0</v>
      </c>
    </row>
    <row r="28" spans="1:24" ht="12.75" customHeight="1">
      <c r="A28" s="250" t="s">
        <v>559</v>
      </c>
      <c r="B28" s="281">
        <f>B29+B34+B35+B36</f>
        <v>2820000</v>
      </c>
      <c r="C28" s="285">
        <v>1292250</v>
      </c>
      <c r="D28" s="732">
        <f>D29+D34+D35+D36</f>
        <v>1322017</v>
      </c>
      <c r="E28" s="279">
        <f aca="true" t="shared" si="6" ref="E28:E38">D28/B28*100</f>
        <v>46.88003546099291</v>
      </c>
      <c r="F28" s="281">
        <f>D28-'[9]Maijs'!D28</f>
        <v>177052</v>
      </c>
      <c r="G28" s="250" t="s">
        <v>559</v>
      </c>
      <c r="H28" s="252">
        <f>ROUND(B28/1000,0)</f>
        <v>2820</v>
      </c>
      <c r="I28" s="252">
        <f>ROUND(C28/1000,0)</f>
        <v>1292</v>
      </c>
      <c r="J28" s="726">
        <f>J29+J34+J35+J36</f>
        <v>1322</v>
      </c>
      <c r="K28" s="283">
        <f aca="true" t="shared" si="7" ref="K28:K35">J28/H28*100</f>
        <v>46.87943262411348</v>
      </c>
      <c r="L28" s="281">
        <f t="shared" si="5"/>
        <v>177</v>
      </c>
      <c r="N28" s="190">
        <v>1322</v>
      </c>
      <c r="P28" s="190">
        <f>'[9]Maijs'!J28</f>
        <v>1145</v>
      </c>
      <c r="R28" s="190">
        <f t="shared" si="2"/>
        <v>177</v>
      </c>
      <c r="T28" s="281">
        <f>T29+T34+T35+T36</f>
        <v>1322017</v>
      </c>
      <c r="V28" s="281">
        <f>V29+V34+V35+V36</f>
        <v>1144965</v>
      </c>
      <c r="X28" s="190">
        <f t="shared" si="3"/>
        <v>177052</v>
      </c>
    </row>
    <row r="29" spans="1:24" ht="12.75" customHeight="1">
      <c r="A29" s="69" t="s">
        <v>564</v>
      </c>
      <c r="B29" s="252">
        <f>SUM(B30:B33)</f>
        <v>2555000</v>
      </c>
      <c r="C29" s="282"/>
      <c r="D29" s="252">
        <f>SUM(D30:D33)</f>
        <v>998384</v>
      </c>
      <c r="E29" s="279">
        <f t="shared" si="6"/>
        <v>39.07569471624266</v>
      </c>
      <c r="F29" s="281">
        <f>D29-'[9]Maijs'!D29</f>
        <v>109420</v>
      </c>
      <c r="G29" s="69" t="s">
        <v>564</v>
      </c>
      <c r="H29" s="252">
        <f aca="true" t="shared" si="8" ref="H29:H38">ROUND(B29/1000,0)</f>
        <v>2555</v>
      </c>
      <c r="I29" s="252"/>
      <c r="J29" s="730">
        <f>SUM(J30:J33)</f>
        <v>999</v>
      </c>
      <c r="K29" s="283">
        <f t="shared" si="7"/>
        <v>39.09980430528376</v>
      </c>
      <c r="L29" s="281">
        <f t="shared" si="5"/>
        <v>109</v>
      </c>
      <c r="N29" s="190">
        <v>999</v>
      </c>
      <c r="P29" s="190">
        <f>'[9]Maijs'!J29</f>
        <v>889</v>
      </c>
      <c r="R29" s="190">
        <f t="shared" si="2"/>
        <v>110</v>
      </c>
      <c r="T29" s="252">
        <f>SUM(T30:T33)</f>
        <v>998384</v>
      </c>
      <c r="V29" s="252">
        <f>SUM(V30:V33)</f>
        <v>888964</v>
      </c>
      <c r="X29" s="190">
        <f t="shared" si="3"/>
        <v>109420</v>
      </c>
    </row>
    <row r="30" spans="1:24" ht="51">
      <c r="A30" s="77" t="s">
        <v>565</v>
      </c>
      <c r="B30" s="252">
        <v>2000000</v>
      </c>
      <c r="C30" s="282"/>
      <c r="D30" s="282">
        <v>744571</v>
      </c>
      <c r="E30" s="279">
        <f t="shared" si="6"/>
        <v>37.22855</v>
      </c>
      <c r="F30" s="281">
        <f>D30-'[9]Maijs'!D30</f>
        <v>101482</v>
      </c>
      <c r="G30" s="77" t="s">
        <v>565</v>
      </c>
      <c r="H30" s="252">
        <f t="shared" si="8"/>
        <v>2000</v>
      </c>
      <c r="I30" s="252"/>
      <c r="J30" s="730">
        <f aca="true" t="shared" si="9" ref="J30:J36">ROUND(D30/1000,0)</f>
        <v>745</v>
      </c>
      <c r="K30" s="283">
        <f t="shared" si="7"/>
        <v>37.25</v>
      </c>
      <c r="L30" s="281">
        <f t="shared" si="5"/>
        <v>101</v>
      </c>
      <c r="N30" s="190">
        <v>745</v>
      </c>
      <c r="P30" s="190">
        <f>'[9]Maijs'!J30</f>
        <v>643</v>
      </c>
      <c r="R30" s="190">
        <f t="shared" si="2"/>
        <v>102</v>
      </c>
      <c r="T30" s="282">
        <v>744571</v>
      </c>
      <c r="V30" s="282">
        <v>643089</v>
      </c>
      <c r="X30" s="190">
        <f t="shared" si="3"/>
        <v>101482</v>
      </c>
    </row>
    <row r="31" spans="1:24" ht="38.25">
      <c r="A31" s="77" t="s">
        <v>566</v>
      </c>
      <c r="B31" s="252">
        <v>240000</v>
      </c>
      <c r="C31" s="282"/>
      <c r="D31" s="282">
        <v>104225</v>
      </c>
      <c r="E31" s="279">
        <f t="shared" si="6"/>
        <v>43.427083333333336</v>
      </c>
      <c r="F31" s="281">
        <f>D31-'[9]Maijs'!D31</f>
        <v>0</v>
      </c>
      <c r="G31" s="77" t="s">
        <v>566</v>
      </c>
      <c r="H31" s="252">
        <f t="shared" si="8"/>
        <v>240</v>
      </c>
      <c r="I31" s="252"/>
      <c r="J31" s="730">
        <f t="shared" si="9"/>
        <v>104</v>
      </c>
      <c r="K31" s="283">
        <f t="shared" si="7"/>
        <v>43.333333333333336</v>
      </c>
      <c r="L31" s="281">
        <f t="shared" si="5"/>
        <v>0</v>
      </c>
      <c r="N31" s="190">
        <v>104</v>
      </c>
      <c r="P31" s="190">
        <f>'[9]Maijs'!J31</f>
        <v>104</v>
      </c>
      <c r="R31" s="190">
        <f t="shared" si="2"/>
        <v>0</v>
      </c>
      <c r="T31" s="282">
        <v>104225</v>
      </c>
      <c r="V31" s="282">
        <v>104225</v>
      </c>
      <c r="X31" s="190">
        <f t="shared" si="3"/>
        <v>0</v>
      </c>
    </row>
    <row r="32" spans="1:24" ht="25.5" customHeight="1">
      <c r="A32" s="77" t="s">
        <v>567</v>
      </c>
      <c r="B32" s="252">
        <v>145000</v>
      </c>
      <c r="C32" s="282"/>
      <c r="D32" s="282">
        <v>62970</v>
      </c>
      <c r="E32" s="279">
        <f t="shared" si="6"/>
        <v>43.42758620689655</v>
      </c>
      <c r="F32" s="281">
        <f>D32-'[9]Maijs'!D32</f>
        <v>0</v>
      </c>
      <c r="G32" s="77" t="s">
        <v>567</v>
      </c>
      <c r="H32" s="252">
        <f t="shared" si="8"/>
        <v>145</v>
      </c>
      <c r="I32" s="252"/>
      <c r="J32" s="730">
        <f t="shared" si="9"/>
        <v>63</v>
      </c>
      <c r="K32" s="283">
        <f t="shared" si="7"/>
        <v>43.44827586206896</v>
      </c>
      <c r="L32" s="281">
        <f t="shared" si="5"/>
        <v>0</v>
      </c>
      <c r="N32" s="190">
        <v>63</v>
      </c>
      <c r="P32" s="190">
        <f>'[9]Maijs'!J32</f>
        <v>63</v>
      </c>
      <c r="R32" s="190">
        <f t="shared" si="2"/>
        <v>0</v>
      </c>
      <c r="T32" s="282">
        <v>62970</v>
      </c>
      <c r="V32" s="282">
        <v>62970</v>
      </c>
      <c r="X32" s="190">
        <f t="shared" si="3"/>
        <v>0</v>
      </c>
    </row>
    <row r="33" spans="1:24" ht="38.25">
      <c r="A33" s="77" t="s">
        <v>568</v>
      </c>
      <c r="B33" s="252">
        <v>170000</v>
      </c>
      <c r="C33" s="282">
        <v>170300</v>
      </c>
      <c r="D33" s="282">
        <v>86618</v>
      </c>
      <c r="E33" s="279">
        <f t="shared" si="6"/>
        <v>50.951764705882354</v>
      </c>
      <c r="F33" s="281">
        <f>D33-'[9]Maijs'!D33</f>
        <v>7938</v>
      </c>
      <c r="G33" s="77" t="s">
        <v>568</v>
      </c>
      <c r="H33" s="252">
        <f t="shared" si="8"/>
        <v>170</v>
      </c>
      <c r="I33" s="252"/>
      <c r="J33" s="730">
        <f t="shared" si="9"/>
        <v>87</v>
      </c>
      <c r="K33" s="283">
        <f t="shared" si="7"/>
        <v>51.17647058823529</v>
      </c>
      <c r="L33" s="281">
        <f t="shared" si="5"/>
        <v>8</v>
      </c>
      <c r="N33" s="190">
        <v>87</v>
      </c>
      <c r="P33" s="190">
        <f>'[9]Maijs'!J33</f>
        <v>79</v>
      </c>
      <c r="R33" s="190">
        <f t="shared" si="2"/>
        <v>8</v>
      </c>
      <c r="T33" s="282">
        <v>86618</v>
      </c>
      <c r="V33" s="282">
        <v>78680</v>
      </c>
      <c r="X33" s="190">
        <f t="shared" si="3"/>
        <v>7938</v>
      </c>
    </row>
    <row r="34" spans="1:24" ht="12.75" customHeight="1">
      <c r="A34" s="69" t="s">
        <v>569</v>
      </c>
      <c r="B34" s="252">
        <v>90000</v>
      </c>
      <c r="C34" s="282"/>
      <c r="D34" s="282">
        <v>84239</v>
      </c>
      <c r="E34" s="279">
        <f t="shared" si="6"/>
        <v>93.5988888888889</v>
      </c>
      <c r="F34" s="281">
        <f>D34-'[9]Maijs'!D34</f>
        <v>84239</v>
      </c>
      <c r="G34" s="69" t="s">
        <v>569</v>
      </c>
      <c r="H34" s="252">
        <f t="shared" si="8"/>
        <v>90</v>
      </c>
      <c r="I34" s="252"/>
      <c r="J34" s="730">
        <f t="shared" si="9"/>
        <v>84</v>
      </c>
      <c r="K34" s="283">
        <f t="shared" si="7"/>
        <v>93.33333333333333</v>
      </c>
      <c r="L34" s="281">
        <f t="shared" si="5"/>
        <v>84</v>
      </c>
      <c r="N34" s="190">
        <v>84</v>
      </c>
      <c r="P34" s="190">
        <f>'[9]Maijs'!J34</f>
        <v>0</v>
      </c>
      <c r="R34" s="190">
        <f t="shared" si="2"/>
        <v>84</v>
      </c>
      <c r="T34" s="282">
        <v>84239</v>
      </c>
      <c r="V34" s="282"/>
      <c r="X34" s="190">
        <f t="shared" si="3"/>
        <v>84239</v>
      </c>
    </row>
    <row r="35" spans="1:24" ht="12.75" customHeight="1">
      <c r="A35" s="69" t="s">
        <v>570</v>
      </c>
      <c r="B35" s="252">
        <v>170000</v>
      </c>
      <c r="C35" s="282"/>
      <c r="D35" s="282">
        <v>110008</v>
      </c>
      <c r="E35" s="279">
        <f t="shared" si="6"/>
        <v>64.71058823529413</v>
      </c>
      <c r="F35" s="281">
        <f>D35-'[9]Maijs'!D35</f>
        <v>23575</v>
      </c>
      <c r="G35" s="69" t="s">
        <v>570</v>
      </c>
      <c r="H35" s="252">
        <f t="shared" si="8"/>
        <v>170</v>
      </c>
      <c r="I35" s="252"/>
      <c r="J35" s="730">
        <f t="shared" si="9"/>
        <v>110</v>
      </c>
      <c r="K35" s="283">
        <f t="shared" si="7"/>
        <v>64.70588235294117</v>
      </c>
      <c r="L35" s="281">
        <f t="shared" si="5"/>
        <v>24</v>
      </c>
      <c r="N35" s="190">
        <v>110</v>
      </c>
      <c r="P35" s="190">
        <f>'[9]Maijs'!J35</f>
        <v>86</v>
      </c>
      <c r="R35" s="190">
        <f t="shared" si="2"/>
        <v>24</v>
      </c>
      <c r="T35" s="282">
        <v>110008</v>
      </c>
      <c r="V35" s="282">
        <v>86433</v>
      </c>
      <c r="X35" s="190">
        <f t="shared" si="3"/>
        <v>23575</v>
      </c>
    </row>
    <row r="36" spans="1:24" ht="12.75" customHeight="1">
      <c r="A36" s="287" t="s">
        <v>571</v>
      </c>
      <c r="B36" s="252">
        <v>5000</v>
      </c>
      <c r="C36" s="282"/>
      <c r="D36" s="282">
        <f>129386</f>
        <v>129386</v>
      </c>
      <c r="E36" s="279">
        <f t="shared" si="6"/>
        <v>2587.72</v>
      </c>
      <c r="F36" s="281">
        <f>D36-'[9]Maijs'!D36</f>
        <v>-40182</v>
      </c>
      <c r="G36" s="287" t="s">
        <v>571</v>
      </c>
      <c r="H36" s="252">
        <f t="shared" si="8"/>
        <v>5</v>
      </c>
      <c r="I36" s="252"/>
      <c r="J36" s="730">
        <f t="shared" si="9"/>
        <v>129</v>
      </c>
      <c r="K36" s="283"/>
      <c r="L36" s="281">
        <f t="shared" si="5"/>
        <v>-40</v>
      </c>
      <c r="N36" s="190">
        <v>129</v>
      </c>
      <c r="P36" s="190">
        <f>'[9]Maijs'!J36</f>
        <v>170</v>
      </c>
      <c r="R36" s="190">
        <f t="shared" si="2"/>
        <v>-41</v>
      </c>
      <c r="T36" s="282">
        <f>129386</f>
        <v>129386</v>
      </c>
      <c r="V36" s="282">
        <f>59539+110029</f>
        <v>169568</v>
      </c>
      <c r="X36" s="190">
        <f t="shared" si="3"/>
        <v>-40182</v>
      </c>
    </row>
    <row r="37" spans="1:24" ht="12.75" customHeight="1">
      <c r="A37" s="250" t="s">
        <v>561</v>
      </c>
      <c r="B37" s="281">
        <f>B38</f>
        <v>1205000</v>
      </c>
      <c r="C37" s="281">
        <f>C38</f>
        <v>639560</v>
      </c>
      <c r="D37" s="281">
        <f>D38</f>
        <v>374348</v>
      </c>
      <c r="E37" s="279">
        <f t="shared" si="6"/>
        <v>31.066224066390042</v>
      </c>
      <c r="F37" s="281">
        <f>D37-'[9]Maijs'!D37</f>
        <v>83306</v>
      </c>
      <c r="G37" s="250" t="s">
        <v>561</v>
      </c>
      <c r="H37" s="252">
        <f t="shared" si="8"/>
        <v>1205</v>
      </c>
      <c r="I37" s="252">
        <f>ROUND(C37/1000,0)</f>
        <v>640</v>
      </c>
      <c r="J37" s="730">
        <f>SUM(J38)</f>
        <v>374</v>
      </c>
      <c r="K37" s="283">
        <f>J37/H37*100</f>
        <v>31.03734439834025</v>
      </c>
      <c r="L37" s="281">
        <f t="shared" si="5"/>
        <v>83</v>
      </c>
      <c r="N37" s="190">
        <v>374</v>
      </c>
      <c r="P37" s="190">
        <f>'[9]Maijs'!J37</f>
        <v>291</v>
      </c>
      <c r="R37" s="190">
        <f t="shared" si="2"/>
        <v>83</v>
      </c>
      <c r="T37" s="281">
        <f>T38</f>
        <v>374348</v>
      </c>
      <c r="V37" s="281">
        <f>V38</f>
        <v>291042</v>
      </c>
      <c r="X37" s="190">
        <f t="shared" si="3"/>
        <v>83306</v>
      </c>
    </row>
    <row r="38" spans="1:24" ht="12.75" customHeight="1">
      <c r="A38" s="250" t="s">
        <v>562</v>
      </c>
      <c r="B38" s="252">
        <v>1205000</v>
      </c>
      <c r="C38" s="282">
        <f>639560</f>
        <v>639560</v>
      </c>
      <c r="D38" s="282">
        <f>'[10]Junijs'!$W$8</f>
        <v>374348</v>
      </c>
      <c r="E38" s="279">
        <f t="shared" si="6"/>
        <v>31.066224066390042</v>
      </c>
      <c r="F38" s="281">
        <f>D38-'[9]Maijs'!D38</f>
        <v>83306</v>
      </c>
      <c r="G38" s="250" t="s">
        <v>562</v>
      </c>
      <c r="H38" s="252">
        <f t="shared" si="8"/>
        <v>1205</v>
      </c>
      <c r="I38" s="252">
        <f>ROUND(C38/1000,0)</f>
        <v>640</v>
      </c>
      <c r="J38" s="730">
        <f>ROUND(D38/1000,0)</f>
        <v>374</v>
      </c>
      <c r="K38" s="283">
        <f>J38/H38*100</f>
        <v>31.03734439834025</v>
      </c>
      <c r="L38" s="281">
        <f t="shared" si="5"/>
        <v>83</v>
      </c>
      <c r="N38" s="190">
        <v>374</v>
      </c>
      <c r="P38" s="190">
        <f>'[9]Maijs'!J38</f>
        <v>291</v>
      </c>
      <c r="R38" s="190">
        <f t="shared" si="2"/>
        <v>83</v>
      </c>
      <c r="T38" s="282">
        <f>'[10]Junijs'!$W$8</f>
        <v>374348</v>
      </c>
      <c r="V38" s="282">
        <f>'[10]Maijs'!$W$8</f>
        <v>291042</v>
      </c>
      <c r="X38" s="190">
        <f t="shared" si="3"/>
        <v>83306</v>
      </c>
    </row>
    <row r="39" spans="1:24" ht="24" customHeight="1">
      <c r="A39" s="94" t="s">
        <v>572</v>
      </c>
      <c r="B39" s="114"/>
      <c r="C39" s="114"/>
      <c r="D39" s="114"/>
      <c r="E39" s="279"/>
      <c r="F39" s="281">
        <f>D39-'[9]Maijs'!D39</f>
        <v>0</v>
      </c>
      <c r="G39" s="94" t="s">
        <v>572</v>
      </c>
      <c r="H39" s="252"/>
      <c r="I39" s="252"/>
      <c r="J39" s="730"/>
      <c r="K39" s="283"/>
      <c r="L39" s="281"/>
      <c r="P39" s="190">
        <f>'[9]Maijs'!J39</f>
        <v>0</v>
      </c>
      <c r="R39" s="190">
        <f t="shared" si="2"/>
        <v>0</v>
      </c>
      <c r="T39" s="114"/>
      <c r="V39" s="114"/>
      <c r="X39" s="190">
        <f t="shared" si="3"/>
        <v>0</v>
      </c>
    </row>
    <row r="40" spans="1:24" ht="12.75" customHeight="1">
      <c r="A40" s="250" t="s">
        <v>559</v>
      </c>
      <c r="B40" s="281">
        <f>B41</f>
        <v>500000</v>
      </c>
      <c r="C40" s="285">
        <v>500000</v>
      </c>
      <c r="D40" s="732">
        <f>D41</f>
        <v>815465</v>
      </c>
      <c r="E40" s="279">
        <f>D40/B40*100</f>
        <v>163.093</v>
      </c>
      <c r="F40" s="281">
        <f>D40-'[9]Maijs'!D40</f>
        <v>0</v>
      </c>
      <c r="G40" s="250" t="s">
        <v>559</v>
      </c>
      <c r="H40" s="252">
        <f>ROUND(B40/1000,0)</f>
        <v>500</v>
      </c>
      <c r="I40" s="252">
        <f>ROUND(C40/1000,0)</f>
        <v>500</v>
      </c>
      <c r="J40" s="730">
        <f>J41</f>
        <v>815</v>
      </c>
      <c r="K40" s="283">
        <f>J40/H40*100</f>
        <v>163</v>
      </c>
      <c r="L40" s="281">
        <f t="shared" si="5"/>
        <v>0</v>
      </c>
      <c r="N40" s="190">
        <v>815</v>
      </c>
      <c r="P40" s="190">
        <f>'[9]Maijs'!J40</f>
        <v>815</v>
      </c>
      <c r="R40" s="190">
        <f t="shared" si="2"/>
        <v>0</v>
      </c>
      <c r="T40" s="281">
        <f>T41</f>
        <v>815465</v>
      </c>
      <c r="V40" s="281">
        <f>V41</f>
        <v>815465</v>
      </c>
      <c r="X40" s="190">
        <f t="shared" si="3"/>
        <v>0</v>
      </c>
    </row>
    <row r="41" spans="1:24" ht="12.75" customHeight="1">
      <c r="A41" s="288" t="s">
        <v>573</v>
      </c>
      <c r="B41" s="252">
        <v>500000</v>
      </c>
      <c r="C41" s="282"/>
      <c r="D41" s="282">
        <f>'[10]Junijs'!$X$6</f>
        <v>815465</v>
      </c>
      <c r="E41" s="279">
        <f>D41/B41*100</f>
        <v>163.093</v>
      </c>
      <c r="F41" s="281">
        <f>D41-'[9]Maijs'!D41</f>
        <v>0</v>
      </c>
      <c r="G41" s="288" t="s">
        <v>573</v>
      </c>
      <c r="H41" s="252">
        <f>ROUND(B41/1000,0)</f>
        <v>500</v>
      </c>
      <c r="I41" s="252"/>
      <c r="J41" s="730">
        <f>ROUND(D41/1000,0)</f>
        <v>815</v>
      </c>
      <c r="K41" s="283">
        <f>J41/H41*100</f>
        <v>163</v>
      </c>
      <c r="L41" s="281">
        <f t="shared" si="5"/>
        <v>0</v>
      </c>
      <c r="N41" s="190">
        <v>815</v>
      </c>
      <c r="P41" s="190">
        <f>'[9]Maijs'!J41</f>
        <v>815</v>
      </c>
      <c r="R41" s="190">
        <f t="shared" si="2"/>
        <v>0</v>
      </c>
      <c r="T41" s="282">
        <f>'[10]Junijs'!$X$6</f>
        <v>815465</v>
      </c>
      <c r="V41" s="282">
        <f>'[10]Maijs'!$X$6</f>
        <v>815465</v>
      </c>
      <c r="X41" s="190">
        <f t="shared" si="3"/>
        <v>0</v>
      </c>
    </row>
    <row r="42" spans="1:24" ht="12.75" customHeight="1">
      <c r="A42" s="250" t="s">
        <v>561</v>
      </c>
      <c r="B42" s="281">
        <f>B43</f>
        <v>31300</v>
      </c>
      <c r="C42" s="281">
        <f>C43</f>
        <v>31300</v>
      </c>
      <c r="D42" s="281">
        <f>D43</f>
        <v>29817</v>
      </c>
      <c r="E42" s="279">
        <f>D42/B42*100</f>
        <v>95.26198083067092</v>
      </c>
      <c r="F42" s="281">
        <f>D42-'[9]Maijs'!D42</f>
        <v>12968</v>
      </c>
      <c r="G42" s="250" t="s">
        <v>561</v>
      </c>
      <c r="H42" s="252">
        <f>ROUND(B42/1000,0)</f>
        <v>31</v>
      </c>
      <c r="I42" s="252">
        <f>ROUND(C42/1000,0)</f>
        <v>31</v>
      </c>
      <c r="J42" s="730">
        <f>J43</f>
        <v>30</v>
      </c>
      <c r="K42" s="283">
        <f>J42/H42*100</f>
        <v>96.7741935483871</v>
      </c>
      <c r="L42" s="281">
        <f t="shared" si="5"/>
        <v>13</v>
      </c>
      <c r="N42" s="190">
        <v>30</v>
      </c>
      <c r="P42" s="190">
        <f>'[9]Maijs'!J42</f>
        <v>17</v>
      </c>
      <c r="R42" s="190">
        <f t="shared" si="2"/>
        <v>13</v>
      </c>
      <c r="T42" s="281">
        <f>T43</f>
        <v>29817</v>
      </c>
      <c r="V42" s="281">
        <f>V43</f>
        <v>16849</v>
      </c>
      <c r="X42" s="190">
        <f t="shared" si="3"/>
        <v>12968</v>
      </c>
    </row>
    <row r="43" spans="1:24" ht="12.75" customHeight="1">
      <c r="A43" s="250" t="s">
        <v>574</v>
      </c>
      <c r="B43" s="252">
        <v>31300</v>
      </c>
      <c r="C43" s="282">
        <v>31300</v>
      </c>
      <c r="D43" s="282">
        <f>'[10]Junijs'!$X$7</f>
        <v>29817</v>
      </c>
      <c r="E43" s="279">
        <f>D43/B43*100</f>
        <v>95.26198083067092</v>
      </c>
      <c r="F43" s="281">
        <f>D43-'[9]Maijs'!D43</f>
        <v>12968</v>
      </c>
      <c r="G43" s="250" t="s">
        <v>574</v>
      </c>
      <c r="H43" s="252">
        <f>ROUND(B43/1000,0)</f>
        <v>31</v>
      </c>
      <c r="I43" s="252">
        <f>ROUND(C43/1000,0)</f>
        <v>31</v>
      </c>
      <c r="J43" s="730">
        <f>ROUND(D43/1000,0)</f>
        <v>30</v>
      </c>
      <c r="K43" s="283">
        <f>J43/H43*100</f>
        <v>96.7741935483871</v>
      </c>
      <c r="L43" s="281">
        <f t="shared" si="5"/>
        <v>13</v>
      </c>
      <c r="N43" s="190">
        <v>30</v>
      </c>
      <c r="P43" s="190">
        <f>'[9]Maijs'!J43</f>
        <v>17</v>
      </c>
      <c r="R43" s="190">
        <f t="shared" si="2"/>
        <v>13</v>
      </c>
      <c r="T43" s="282">
        <f>'[10]Junijs'!$X$7</f>
        <v>29817</v>
      </c>
      <c r="V43" s="282">
        <f>'[10]Maijs'!$X$7</f>
        <v>16849</v>
      </c>
      <c r="X43" s="190">
        <f t="shared" si="3"/>
        <v>12968</v>
      </c>
    </row>
    <row r="44" spans="1:24" ht="12.75" customHeight="1">
      <c r="A44" s="94" t="s">
        <v>575</v>
      </c>
      <c r="B44" s="252"/>
      <c r="C44" s="252"/>
      <c r="D44" s="252"/>
      <c r="E44" s="279"/>
      <c r="F44" s="281">
        <f>D44-'[9]Maijs'!D44</f>
        <v>0</v>
      </c>
      <c r="G44" s="94" t="s">
        <v>575</v>
      </c>
      <c r="H44" s="252"/>
      <c r="I44" s="252"/>
      <c r="J44" s="730"/>
      <c r="K44" s="283"/>
      <c r="L44" s="281"/>
      <c r="P44" s="190">
        <f>'[9]Maijs'!J44</f>
        <v>0</v>
      </c>
      <c r="R44" s="190">
        <f t="shared" si="2"/>
        <v>0</v>
      </c>
      <c r="T44" s="252"/>
      <c r="V44" s="252"/>
      <c r="X44" s="190">
        <f t="shared" si="3"/>
        <v>0</v>
      </c>
    </row>
    <row r="45" spans="1:24" ht="12.75" customHeight="1">
      <c r="A45" s="250" t="s">
        <v>559</v>
      </c>
      <c r="B45" s="252">
        <f>B46</f>
        <v>75000</v>
      </c>
      <c r="C45" s="282">
        <v>75000</v>
      </c>
      <c r="D45" s="729">
        <f>D46</f>
        <v>76459</v>
      </c>
      <c r="E45" s="279">
        <f>D45/B45*100</f>
        <v>101.94533333333334</v>
      </c>
      <c r="F45" s="281">
        <f>D45-'[9]Maijs'!D45</f>
        <v>11374</v>
      </c>
      <c r="G45" s="250" t="s">
        <v>559</v>
      </c>
      <c r="H45" s="252">
        <f>ROUND(B45/1000,0)</f>
        <v>75</v>
      </c>
      <c r="I45" s="252">
        <f>ROUND(C45/1000,0)</f>
        <v>75</v>
      </c>
      <c r="J45" s="730">
        <f>ROUND(D45/1000,0)</f>
        <v>76</v>
      </c>
      <c r="K45" s="283">
        <f>J45/H45*100</f>
        <v>101.33333333333334</v>
      </c>
      <c r="L45" s="281">
        <f t="shared" si="5"/>
        <v>11</v>
      </c>
      <c r="N45" s="190">
        <v>76</v>
      </c>
      <c r="P45" s="190">
        <f>'[9]Maijs'!J45</f>
        <v>65</v>
      </c>
      <c r="R45" s="190">
        <f t="shared" si="2"/>
        <v>11</v>
      </c>
      <c r="T45" s="252">
        <f>T46</f>
        <v>76459</v>
      </c>
      <c r="V45" s="252">
        <f>V46</f>
        <v>65085</v>
      </c>
      <c r="X45" s="190">
        <f t="shared" si="3"/>
        <v>11374</v>
      </c>
    </row>
    <row r="46" spans="1:24" ht="12.75" customHeight="1">
      <c r="A46" s="69" t="s">
        <v>564</v>
      </c>
      <c r="B46" s="252">
        <f>SUM(B47:B48)</f>
        <v>75000</v>
      </c>
      <c r="C46" s="282"/>
      <c r="D46" s="282">
        <f>D47+D48</f>
        <v>76459</v>
      </c>
      <c r="E46" s="279">
        <f>D46/B46*100</f>
        <v>101.94533333333334</v>
      </c>
      <c r="F46" s="281">
        <f>D46-'[9]Maijs'!D46</f>
        <v>11374</v>
      </c>
      <c r="G46" s="69" t="s">
        <v>564</v>
      </c>
      <c r="H46" s="252">
        <f>ROUND(B46/1000,0)</f>
        <v>75</v>
      </c>
      <c r="I46" s="252"/>
      <c r="J46" s="730">
        <f>ROUND(D46/1000,0)</f>
        <v>76</v>
      </c>
      <c r="K46" s="283">
        <f>J46/H46*100</f>
        <v>101.33333333333334</v>
      </c>
      <c r="L46" s="281">
        <f t="shared" si="5"/>
        <v>11</v>
      </c>
      <c r="N46" s="190">
        <v>76</v>
      </c>
      <c r="P46" s="190">
        <f>'[9]Maijs'!J46</f>
        <v>65</v>
      </c>
      <c r="R46" s="190">
        <f t="shared" si="2"/>
        <v>11</v>
      </c>
      <c r="T46" s="282">
        <f>T47+T48</f>
        <v>76459</v>
      </c>
      <c r="V46" s="282">
        <f>V47+V48</f>
        <v>65085</v>
      </c>
      <c r="X46" s="190">
        <f t="shared" si="3"/>
        <v>11374</v>
      </c>
    </row>
    <row r="47" spans="1:24" ht="12.75">
      <c r="A47" s="77" t="s">
        <v>576</v>
      </c>
      <c r="B47" s="252">
        <v>15000</v>
      </c>
      <c r="C47" s="282"/>
      <c r="D47" s="282">
        <v>10681</v>
      </c>
      <c r="E47" s="279">
        <f>D47/B47*100</f>
        <v>71.20666666666666</v>
      </c>
      <c r="F47" s="281">
        <f>D47-'[9]Maijs'!D47</f>
        <v>2468</v>
      </c>
      <c r="G47" s="77" t="s">
        <v>576</v>
      </c>
      <c r="H47" s="252">
        <f>ROUND(B47/1000,0)</f>
        <v>15</v>
      </c>
      <c r="I47" s="252"/>
      <c r="J47" s="730">
        <f>ROUND(D47/1000,0)</f>
        <v>11</v>
      </c>
      <c r="K47" s="283">
        <f>J47/H47*100</f>
        <v>73.33333333333333</v>
      </c>
      <c r="L47" s="281">
        <f t="shared" si="5"/>
        <v>2</v>
      </c>
      <c r="N47" s="190">
        <v>11</v>
      </c>
      <c r="P47" s="190">
        <f>'[9]Maijs'!J47</f>
        <v>8</v>
      </c>
      <c r="R47" s="190">
        <f t="shared" si="2"/>
        <v>3</v>
      </c>
      <c r="T47" s="282">
        <v>10681</v>
      </c>
      <c r="V47" s="282">
        <v>8213</v>
      </c>
      <c r="X47" s="190">
        <f t="shared" si="3"/>
        <v>2468</v>
      </c>
    </row>
    <row r="48" spans="1:24" ht="12.75">
      <c r="A48" s="77" t="s">
        <v>577</v>
      </c>
      <c r="B48" s="252">
        <v>60000</v>
      </c>
      <c r="C48" s="282"/>
      <c r="D48" s="282">
        <v>65778</v>
      </c>
      <c r="E48" s="279">
        <f>D48/B48*100</f>
        <v>109.63000000000001</v>
      </c>
      <c r="F48" s="281">
        <f>D48-'[9]Maijs'!D48</f>
        <v>8906</v>
      </c>
      <c r="G48" s="77" t="s">
        <v>577</v>
      </c>
      <c r="H48" s="252">
        <f>ROUND(B48/1000,0)</f>
        <v>60</v>
      </c>
      <c r="I48" s="252"/>
      <c r="J48" s="730">
        <f>ROUND(D48/1000,0)</f>
        <v>66</v>
      </c>
      <c r="K48" s="283">
        <f>J48/H48*100</f>
        <v>110.00000000000001</v>
      </c>
      <c r="L48" s="281">
        <f t="shared" si="5"/>
        <v>9</v>
      </c>
      <c r="N48" s="190">
        <v>66</v>
      </c>
      <c r="P48" s="190">
        <f>'[9]Maijs'!J48</f>
        <v>57</v>
      </c>
      <c r="R48" s="190">
        <f t="shared" si="2"/>
        <v>9</v>
      </c>
      <c r="T48" s="282">
        <v>65778</v>
      </c>
      <c r="V48" s="282">
        <v>56872</v>
      </c>
      <c r="X48" s="190">
        <f t="shared" si="3"/>
        <v>8906</v>
      </c>
    </row>
    <row r="49" spans="1:24" ht="12.75" customHeight="1">
      <c r="A49" s="32" t="s">
        <v>414</v>
      </c>
      <c r="B49" s="281"/>
      <c r="C49" s="281"/>
      <c r="D49" s="281"/>
      <c r="E49" s="279"/>
      <c r="F49" s="281">
        <f>D49-'[9]Maijs'!D49</f>
        <v>0</v>
      </c>
      <c r="G49" s="32" t="s">
        <v>414</v>
      </c>
      <c r="H49" s="252"/>
      <c r="I49" s="252"/>
      <c r="J49" s="730"/>
      <c r="K49" s="283"/>
      <c r="L49" s="281"/>
      <c r="P49" s="190">
        <f>'[9]Maijs'!J49</f>
        <v>0</v>
      </c>
      <c r="R49" s="190">
        <f t="shared" si="2"/>
        <v>0</v>
      </c>
      <c r="T49" s="281"/>
      <c r="V49" s="281"/>
      <c r="X49" s="190">
        <f t="shared" si="3"/>
        <v>0</v>
      </c>
    </row>
    <row r="50" spans="1:24" ht="12.75" customHeight="1">
      <c r="A50" s="244" t="s">
        <v>578</v>
      </c>
      <c r="B50" s="281"/>
      <c r="C50" s="281"/>
      <c r="D50" s="281"/>
      <c r="E50" s="279"/>
      <c r="F50" s="281">
        <f>D50-'[9]Maijs'!D50</f>
        <v>0</v>
      </c>
      <c r="G50" s="244" t="s">
        <v>578</v>
      </c>
      <c r="H50" s="252"/>
      <c r="I50" s="252"/>
      <c r="J50" s="730"/>
      <c r="K50" s="283"/>
      <c r="L50" s="281"/>
      <c r="P50" s="190">
        <f>'[9]Maijs'!J50</f>
        <v>0</v>
      </c>
      <c r="R50" s="190">
        <f t="shared" si="2"/>
        <v>0</v>
      </c>
      <c r="T50" s="281"/>
      <c r="V50" s="281"/>
      <c r="X50" s="190">
        <f t="shared" si="3"/>
        <v>0</v>
      </c>
    </row>
    <row r="51" spans="1:24" ht="12.75" customHeight="1">
      <c r="A51" s="250" t="s">
        <v>559</v>
      </c>
      <c r="B51" s="281">
        <f>B52</f>
        <v>1508663</v>
      </c>
      <c r="C51" s="285">
        <v>991160</v>
      </c>
      <c r="D51" s="732">
        <f>D52</f>
        <v>991160</v>
      </c>
      <c r="E51" s="279">
        <f aca="true" t="shared" si="10" ref="E51:E56">D51/B51*100</f>
        <v>65.69790602672697</v>
      </c>
      <c r="F51" s="281">
        <f>D51-'[9]Maijs'!D51</f>
        <v>124830</v>
      </c>
      <c r="G51" s="250" t="s">
        <v>559</v>
      </c>
      <c r="H51" s="252">
        <f>ROUND(B51/1000,0)</f>
        <v>1509</v>
      </c>
      <c r="I51" s="252">
        <f>ROUND(C51/1000,0)</f>
        <v>991</v>
      </c>
      <c r="J51" s="730">
        <f>J52</f>
        <v>991</v>
      </c>
      <c r="K51" s="283">
        <f aca="true" t="shared" si="11" ref="K51:K56">J51/H51*100</f>
        <v>65.6726308813784</v>
      </c>
      <c r="L51" s="281">
        <f t="shared" si="5"/>
        <v>125</v>
      </c>
      <c r="N51" s="190">
        <v>991</v>
      </c>
      <c r="P51" s="190">
        <f>'[9]Maijs'!J51</f>
        <v>866</v>
      </c>
      <c r="R51" s="190">
        <f t="shared" si="2"/>
        <v>125</v>
      </c>
      <c r="T51" s="281">
        <f>T52</f>
        <v>991160</v>
      </c>
      <c r="V51" s="281">
        <f>V52</f>
        <v>866330</v>
      </c>
      <c r="X51" s="190">
        <f t="shared" si="3"/>
        <v>124830</v>
      </c>
    </row>
    <row r="52" spans="1:24" ht="12.75" customHeight="1">
      <c r="A52" s="69" t="s">
        <v>579</v>
      </c>
      <c r="B52" s="252">
        <v>1508663</v>
      </c>
      <c r="C52" s="282"/>
      <c r="D52" s="282">
        <f>'[10]Junijs'!$N$6</f>
        <v>991160</v>
      </c>
      <c r="E52" s="279">
        <f t="shared" si="10"/>
        <v>65.69790602672697</v>
      </c>
      <c r="F52" s="281">
        <f>D52-'[9]Maijs'!D52</f>
        <v>124830</v>
      </c>
      <c r="G52" s="69" t="s">
        <v>579</v>
      </c>
      <c r="H52" s="252">
        <f>ROUND(B52/1000,0)</f>
        <v>1509</v>
      </c>
      <c r="I52" s="252"/>
      <c r="J52" s="730">
        <f>ROUND(D52/1000,0)</f>
        <v>991</v>
      </c>
      <c r="K52" s="283">
        <f t="shared" si="11"/>
        <v>65.6726308813784</v>
      </c>
      <c r="L52" s="281">
        <f t="shared" si="5"/>
        <v>125</v>
      </c>
      <c r="N52" s="190">
        <v>991</v>
      </c>
      <c r="P52" s="190">
        <f>'[9]Maijs'!J52</f>
        <v>866</v>
      </c>
      <c r="R52" s="190">
        <f t="shared" si="2"/>
        <v>125</v>
      </c>
      <c r="T52" s="282">
        <f>'[10]Junijs'!$N$6</f>
        <v>991160</v>
      </c>
      <c r="V52" s="282">
        <f>'[10]Maijs'!$N$6</f>
        <v>866330</v>
      </c>
      <c r="X52" s="190">
        <f t="shared" si="3"/>
        <v>124830</v>
      </c>
    </row>
    <row r="53" spans="1:24" ht="12.75" customHeight="1">
      <c r="A53" s="250" t="s">
        <v>561</v>
      </c>
      <c r="B53" s="281">
        <f>SUM(B54+B56)</f>
        <v>1508663</v>
      </c>
      <c r="C53" s="281">
        <f>SUM(C54+C56)</f>
        <v>991160</v>
      </c>
      <c r="D53" s="281">
        <f>SUM(D54+D56)</f>
        <v>858126</v>
      </c>
      <c r="E53" s="279">
        <f t="shared" si="10"/>
        <v>56.87989961972952</v>
      </c>
      <c r="F53" s="281">
        <f>D53-'[9]Maijs'!D53</f>
        <v>117976</v>
      </c>
      <c r="G53" s="250" t="s">
        <v>561</v>
      </c>
      <c r="H53" s="252">
        <f>ROUND(B53/1000,0)</f>
        <v>1509</v>
      </c>
      <c r="I53" s="252">
        <f>SUM(I54,I56)</f>
        <v>991</v>
      </c>
      <c r="J53" s="730">
        <f>J54+J56</f>
        <v>859</v>
      </c>
      <c r="K53" s="283">
        <f t="shared" si="11"/>
        <v>56.925115970841624</v>
      </c>
      <c r="L53" s="281">
        <f>ROUND(F53/1000,0)</f>
        <v>118</v>
      </c>
      <c r="N53" s="190">
        <v>859</v>
      </c>
      <c r="P53" s="190">
        <f>'[9]Maijs'!J53</f>
        <v>740</v>
      </c>
      <c r="R53" s="190">
        <f t="shared" si="2"/>
        <v>119</v>
      </c>
      <c r="T53" s="281">
        <f>SUM(T54+T56)</f>
        <v>858126</v>
      </c>
      <c r="V53" s="281">
        <f>SUM(V54+V56)</f>
        <v>740150</v>
      </c>
      <c r="X53" s="190">
        <f t="shared" si="3"/>
        <v>117976</v>
      </c>
    </row>
    <row r="54" spans="1:24" ht="12.75" customHeight="1">
      <c r="A54" s="250" t="s">
        <v>580</v>
      </c>
      <c r="B54" s="252">
        <v>1333663</v>
      </c>
      <c r="C54" s="282">
        <v>816160</v>
      </c>
      <c r="D54" s="282">
        <f>'[10]Junijs'!$N$8</f>
        <v>709624</v>
      </c>
      <c r="E54" s="279">
        <f t="shared" si="10"/>
        <v>53.208644162730764</v>
      </c>
      <c r="F54" s="281">
        <f>D54-'[9]Maijs'!D54</f>
        <v>106903</v>
      </c>
      <c r="G54" s="250" t="s">
        <v>580</v>
      </c>
      <c r="H54" s="252">
        <f>ROUND(B54/1000,0)</f>
        <v>1334</v>
      </c>
      <c r="I54" s="252">
        <f>ROUND(C54/1000,0)</f>
        <v>816</v>
      </c>
      <c r="J54" s="730">
        <f>ROUND(D54/1000,0)</f>
        <v>710</v>
      </c>
      <c r="K54" s="283">
        <f t="shared" si="11"/>
        <v>53.223388305847074</v>
      </c>
      <c r="L54" s="281">
        <f t="shared" si="5"/>
        <v>107</v>
      </c>
      <c r="N54" s="190">
        <v>710</v>
      </c>
      <c r="P54" s="190">
        <f>'[9]Maijs'!J54</f>
        <v>603</v>
      </c>
      <c r="R54" s="190">
        <f t="shared" si="2"/>
        <v>107</v>
      </c>
      <c r="T54" s="282">
        <f>'[10]Junijs'!$N$8</f>
        <v>709624</v>
      </c>
      <c r="V54" s="282">
        <f>'[10]Maijs'!$N$8</f>
        <v>602721</v>
      </c>
      <c r="X54" s="190">
        <f t="shared" si="3"/>
        <v>106903</v>
      </c>
    </row>
    <row r="55" spans="1:24" ht="12.75" customHeight="1">
      <c r="A55" s="284" t="s">
        <v>581</v>
      </c>
      <c r="B55" s="252">
        <v>300000</v>
      </c>
      <c r="C55" s="282"/>
      <c r="D55" s="282">
        <f>'[10]Junijs'!$N$15</f>
        <v>200000</v>
      </c>
      <c r="E55" s="279">
        <f t="shared" si="10"/>
        <v>66.66666666666666</v>
      </c>
      <c r="F55" s="281">
        <f>D55-'[9]Maijs'!D55</f>
        <v>0</v>
      </c>
      <c r="G55" s="284" t="s">
        <v>581</v>
      </c>
      <c r="H55" s="252">
        <f>ROUND(B55/1000,0)</f>
        <v>300</v>
      </c>
      <c r="I55" s="252"/>
      <c r="J55" s="730">
        <f>ROUND(D55/1000,0)</f>
        <v>200</v>
      </c>
      <c r="K55" s="283">
        <f t="shared" si="11"/>
        <v>66.66666666666666</v>
      </c>
      <c r="L55" s="281"/>
      <c r="N55" s="190">
        <v>200</v>
      </c>
      <c r="P55" s="190">
        <f>'[9]Maijs'!J55</f>
        <v>200</v>
      </c>
      <c r="R55" s="190">
        <f t="shared" si="2"/>
        <v>0</v>
      </c>
      <c r="T55" s="282">
        <f>'[10]Junijs'!$N$15</f>
        <v>200000</v>
      </c>
      <c r="V55" s="282">
        <f>'[10]Maijs'!$N$15</f>
        <v>200000</v>
      </c>
      <c r="X55" s="190">
        <f t="shared" si="3"/>
        <v>0</v>
      </c>
    </row>
    <row r="56" spans="1:24" ht="12.75" customHeight="1">
      <c r="A56" s="250" t="s">
        <v>582</v>
      </c>
      <c r="B56" s="252">
        <v>175000</v>
      </c>
      <c r="C56" s="282">
        <v>175000</v>
      </c>
      <c r="D56" s="282">
        <f>'[10]Junijs'!$N$30</f>
        <v>148502</v>
      </c>
      <c r="E56" s="279">
        <f t="shared" si="10"/>
        <v>84.85828571428571</v>
      </c>
      <c r="F56" s="281">
        <f>D56-'[9]Maijs'!D56</f>
        <v>11073</v>
      </c>
      <c r="G56" s="250" t="s">
        <v>582</v>
      </c>
      <c r="H56" s="252">
        <f>ROUND(B56/1000,0)</f>
        <v>175</v>
      </c>
      <c r="I56" s="252">
        <f>ROUND(C56/1000,0)</f>
        <v>175</v>
      </c>
      <c r="J56" s="730">
        <f>ROUND(D56/1000,0)</f>
        <v>149</v>
      </c>
      <c r="K56" s="283">
        <f t="shared" si="11"/>
        <v>85.14285714285714</v>
      </c>
      <c r="L56" s="281">
        <f>ROUND(F56/1000,0)</f>
        <v>11</v>
      </c>
      <c r="N56" s="190">
        <v>149</v>
      </c>
      <c r="P56" s="190">
        <f>'[9]Maijs'!J56</f>
        <v>137</v>
      </c>
      <c r="R56" s="190">
        <f t="shared" si="2"/>
        <v>12</v>
      </c>
      <c r="T56" s="282">
        <f>'[10]Junijs'!$N$30</f>
        <v>148502</v>
      </c>
      <c r="V56" s="282">
        <f>'[10]Maijs'!$N$30</f>
        <v>137429</v>
      </c>
      <c r="X56" s="190">
        <f t="shared" si="3"/>
        <v>11073</v>
      </c>
    </row>
    <row r="57" spans="1:24" ht="12.75" customHeight="1">
      <c r="A57" s="94" t="s">
        <v>583</v>
      </c>
      <c r="B57" s="281"/>
      <c r="C57" s="281"/>
      <c r="D57" s="281"/>
      <c r="E57" s="279"/>
      <c r="F57" s="281">
        <f>D57-'[9]Maijs'!D57</f>
        <v>0</v>
      </c>
      <c r="G57" s="94" t="s">
        <v>583</v>
      </c>
      <c r="H57" s="252"/>
      <c r="I57" s="252"/>
      <c r="J57" s="730"/>
      <c r="K57" s="283"/>
      <c r="L57" s="281"/>
      <c r="P57" s="190">
        <f>'[9]Maijs'!J57</f>
        <v>0</v>
      </c>
      <c r="R57" s="190">
        <f t="shared" si="2"/>
        <v>0</v>
      </c>
      <c r="T57" s="281"/>
      <c r="V57" s="281"/>
      <c r="X57" s="190">
        <f t="shared" si="3"/>
        <v>0</v>
      </c>
    </row>
    <row r="58" spans="1:24" ht="12.75" customHeight="1">
      <c r="A58" s="250" t="s">
        <v>559</v>
      </c>
      <c r="B58" s="281">
        <f>B59</f>
        <v>1181502</v>
      </c>
      <c r="C58" s="285">
        <v>643721</v>
      </c>
      <c r="D58" s="732">
        <f>D59+D60</f>
        <v>643721</v>
      </c>
      <c r="E58" s="279">
        <f>D58/B58*100</f>
        <v>54.48327637194013</v>
      </c>
      <c r="F58" s="281">
        <f>D58-'[9]Maijs'!D58</f>
        <v>8712</v>
      </c>
      <c r="G58" s="250" t="s">
        <v>559</v>
      </c>
      <c r="H58" s="252">
        <f>ROUND(B58/1000,0)</f>
        <v>1182</v>
      </c>
      <c r="I58" s="252">
        <f>ROUND(C58/1000,0)</f>
        <v>644</v>
      </c>
      <c r="J58" s="730">
        <f>J59</f>
        <v>644</v>
      </c>
      <c r="K58" s="283">
        <f>J58/H58*100</f>
        <v>54.483925549915405</v>
      </c>
      <c r="L58" s="281">
        <f t="shared" si="5"/>
        <v>9</v>
      </c>
      <c r="N58" s="190">
        <v>991</v>
      </c>
      <c r="P58" s="190">
        <f>'[9]Maijs'!J58</f>
        <v>635</v>
      </c>
      <c r="R58" s="190">
        <f t="shared" si="2"/>
        <v>356</v>
      </c>
      <c r="T58" s="281">
        <f>T59+T60</f>
        <v>991160</v>
      </c>
      <c r="V58" s="281">
        <f>V59+V60</f>
        <v>635009</v>
      </c>
      <c r="X58" s="190">
        <f t="shared" si="3"/>
        <v>356151</v>
      </c>
    </row>
    <row r="59" spans="1:24" ht="12" customHeight="1">
      <c r="A59" s="69" t="s">
        <v>579</v>
      </c>
      <c r="B59" s="252">
        <v>1181502</v>
      </c>
      <c r="C59" s="282"/>
      <c r="D59" s="282">
        <v>643721</v>
      </c>
      <c r="E59" s="279">
        <f>D59/B59*100</f>
        <v>54.48327637194013</v>
      </c>
      <c r="F59" s="281">
        <f>D59-'[9]Maijs'!D59</f>
        <v>8712</v>
      </c>
      <c r="G59" s="69" t="s">
        <v>579</v>
      </c>
      <c r="H59" s="252">
        <f>ROUND(B59/1000,0)</f>
        <v>1182</v>
      </c>
      <c r="I59" s="252"/>
      <c r="J59" s="730">
        <f>ROUND(D59/1000,0)</f>
        <v>644</v>
      </c>
      <c r="K59" s="283">
        <f>J59/H59*100</f>
        <v>54.483925549915405</v>
      </c>
      <c r="L59" s="281">
        <f t="shared" si="5"/>
        <v>9</v>
      </c>
      <c r="N59" s="190">
        <v>991</v>
      </c>
      <c r="P59" s="190">
        <f>'[9]Maijs'!J59</f>
        <v>635</v>
      </c>
      <c r="R59" s="190">
        <f t="shared" si="2"/>
        <v>356</v>
      </c>
      <c r="T59" s="282">
        <v>991160</v>
      </c>
      <c r="V59" s="282">
        <v>635009</v>
      </c>
      <c r="X59" s="190">
        <f t="shared" si="3"/>
        <v>356151</v>
      </c>
    </row>
    <row r="60" spans="1:24" ht="0.75" customHeight="1" hidden="1">
      <c r="A60" s="69" t="s">
        <v>584</v>
      </c>
      <c r="B60" s="252"/>
      <c r="C60" s="282"/>
      <c r="D60" s="282"/>
      <c r="E60" s="279"/>
      <c r="F60" s="281">
        <f>D60-'[9]Maijs'!D60</f>
        <v>0</v>
      </c>
      <c r="G60" s="69" t="s">
        <v>585</v>
      </c>
      <c r="H60" s="252"/>
      <c r="I60" s="252"/>
      <c r="J60" s="730">
        <f>ROUND(D60/1000,0)</f>
        <v>0</v>
      </c>
      <c r="K60" s="283"/>
      <c r="L60" s="281">
        <f t="shared" si="5"/>
        <v>0</v>
      </c>
      <c r="N60" s="190">
        <v>0</v>
      </c>
      <c r="P60" s="190">
        <f>'[9]Maijs'!J60</f>
        <v>0</v>
      </c>
      <c r="R60" s="190">
        <f t="shared" si="2"/>
        <v>0</v>
      </c>
      <c r="T60" s="282"/>
      <c r="V60" s="282"/>
      <c r="X60" s="190">
        <f t="shared" si="3"/>
        <v>0</v>
      </c>
    </row>
    <row r="61" spans="1:24" ht="12.75" customHeight="1">
      <c r="A61" s="250" t="s">
        <v>561</v>
      </c>
      <c r="B61" s="281">
        <f>B62+B64</f>
        <v>1238299</v>
      </c>
      <c r="C61" s="281">
        <f>C62+C64</f>
        <v>673247</v>
      </c>
      <c r="D61" s="281">
        <f>D62+D64</f>
        <v>589265</v>
      </c>
      <c r="E61" s="279">
        <f>D61/B61*100</f>
        <v>47.586649104941536</v>
      </c>
      <c r="F61" s="281">
        <f>D61-'[9]Maijs'!D61</f>
        <v>19419</v>
      </c>
      <c r="G61" s="250" t="s">
        <v>561</v>
      </c>
      <c r="H61" s="252">
        <f aca="true" t="shared" si="12" ref="H61:H67">ROUND(B61/1000,0)</f>
        <v>1238</v>
      </c>
      <c r="I61" s="252">
        <f>SUM(I62,I64)</f>
        <v>673</v>
      </c>
      <c r="J61" s="730">
        <f>J62+J64</f>
        <v>588</v>
      </c>
      <c r="K61" s="283">
        <f>J61/H61*100</f>
        <v>47.49596122778675</v>
      </c>
      <c r="L61" s="281">
        <f>ROUND(F61/1000,0)</f>
        <v>19</v>
      </c>
      <c r="N61" s="190">
        <v>588</v>
      </c>
      <c r="P61" s="190">
        <f>'[9]Maijs'!J61</f>
        <v>570</v>
      </c>
      <c r="R61" s="190">
        <f t="shared" si="2"/>
        <v>18</v>
      </c>
      <c r="T61" s="281">
        <f>T62+T64</f>
        <v>588273</v>
      </c>
      <c r="V61" s="281">
        <f>V62+V64</f>
        <v>569846</v>
      </c>
      <c r="X61" s="190">
        <f t="shared" si="3"/>
        <v>18427</v>
      </c>
    </row>
    <row r="62" spans="1:24" ht="12.75" customHeight="1">
      <c r="A62" s="250" t="s">
        <v>580</v>
      </c>
      <c r="B62" s="252">
        <v>1235299</v>
      </c>
      <c r="C62" s="282">
        <v>670247</v>
      </c>
      <c r="D62" s="282">
        <f>'[10]Junijs'!$O$8</f>
        <v>588273</v>
      </c>
      <c r="E62" s="279">
        <f>D62/B62*100</f>
        <v>47.621911780062966</v>
      </c>
      <c r="F62" s="281">
        <f>D62-'[9]Maijs'!D62</f>
        <v>18427</v>
      </c>
      <c r="G62" s="250" t="s">
        <v>580</v>
      </c>
      <c r="H62" s="252">
        <f t="shared" si="12"/>
        <v>1235</v>
      </c>
      <c r="I62" s="252">
        <f>ROUND(C62/1000,0)</f>
        <v>670</v>
      </c>
      <c r="J62" s="730">
        <f>ROUND(D62/1000,0)</f>
        <v>588</v>
      </c>
      <c r="K62" s="283">
        <f>J62/H62*100</f>
        <v>47.611336032388664</v>
      </c>
      <c r="L62" s="281">
        <f>ROUND(F62/1000,0)+1</f>
        <v>19</v>
      </c>
      <c r="N62" s="190">
        <v>588</v>
      </c>
      <c r="P62" s="190">
        <f>'[9]Maijs'!J62</f>
        <v>570</v>
      </c>
      <c r="R62" s="190">
        <f t="shared" si="2"/>
        <v>18</v>
      </c>
      <c r="T62" s="282">
        <f>'[10]Junijs'!$O$8</f>
        <v>588273</v>
      </c>
      <c r="V62" s="282">
        <f>'[10]Maijs'!$O$8</f>
        <v>569846</v>
      </c>
      <c r="X62" s="190">
        <f t="shared" si="3"/>
        <v>18427</v>
      </c>
    </row>
    <row r="63" spans="1:24" ht="12.75" customHeight="1">
      <c r="A63" s="284" t="s">
        <v>581</v>
      </c>
      <c r="B63" s="252">
        <f>115807+13080</f>
        <v>128887</v>
      </c>
      <c r="C63" s="282"/>
      <c r="D63" s="282">
        <f>38686+6600</f>
        <v>45286</v>
      </c>
      <c r="E63" s="279">
        <f>D63/B63*100</f>
        <v>35.13620458230854</v>
      </c>
      <c r="F63" s="281">
        <f>D63-'[9]Maijs'!D63</f>
        <v>16715</v>
      </c>
      <c r="G63" s="284" t="s">
        <v>581</v>
      </c>
      <c r="H63" s="252">
        <f t="shared" si="12"/>
        <v>129</v>
      </c>
      <c r="I63" s="252"/>
      <c r="J63" s="730">
        <f>ROUND(D63/1000,0)</f>
        <v>45</v>
      </c>
      <c r="K63" s="283">
        <f>J63/H63*100</f>
        <v>34.883720930232556</v>
      </c>
      <c r="L63" s="281">
        <f t="shared" si="5"/>
        <v>17</v>
      </c>
      <c r="N63" s="190">
        <v>0</v>
      </c>
      <c r="P63" s="190">
        <f>'[9]Maijs'!J63</f>
        <v>29</v>
      </c>
      <c r="R63" s="190">
        <f t="shared" si="2"/>
        <v>-29</v>
      </c>
      <c r="T63" s="282"/>
      <c r="V63" s="282">
        <v>28571</v>
      </c>
      <c r="X63" s="190">
        <f t="shared" si="3"/>
        <v>-28571</v>
      </c>
    </row>
    <row r="64" spans="1:24" ht="12.75" customHeight="1">
      <c r="A64" s="250" t="s">
        <v>582</v>
      </c>
      <c r="B64" s="252">
        <v>3000</v>
      </c>
      <c r="C64" s="282">
        <v>3000</v>
      </c>
      <c r="D64" s="282">
        <v>992</v>
      </c>
      <c r="E64" s="279"/>
      <c r="F64" s="281">
        <f>D64-'[9]Maijs'!D64</f>
        <v>992</v>
      </c>
      <c r="G64" s="250" t="s">
        <v>582</v>
      </c>
      <c r="H64" s="252">
        <f t="shared" si="12"/>
        <v>3</v>
      </c>
      <c r="I64" s="252">
        <f>ROUND(C64/1000,0)</f>
        <v>3</v>
      </c>
      <c r="J64" s="730"/>
      <c r="K64" s="283"/>
      <c r="L64" s="281"/>
      <c r="P64" s="190">
        <f>'[9]Maijs'!J64</f>
        <v>0</v>
      </c>
      <c r="R64" s="190">
        <f t="shared" si="2"/>
        <v>0</v>
      </c>
      <c r="T64" s="282"/>
      <c r="V64" s="282"/>
      <c r="X64" s="190">
        <f t="shared" si="3"/>
        <v>0</v>
      </c>
    </row>
    <row r="65" spans="1:24" ht="12.75" customHeight="1">
      <c r="A65" s="250" t="s">
        <v>394</v>
      </c>
      <c r="B65" s="252">
        <v>6699203</v>
      </c>
      <c r="C65" s="282">
        <f>3928600-29526</f>
        <v>3899074</v>
      </c>
      <c r="D65" s="282">
        <f>'[10]Junijs'!$O$33</f>
        <v>3503854</v>
      </c>
      <c r="E65" s="279">
        <f>D65/B65*100</f>
        <v>52.302550019756076</v>
      </c>
      <c r="F65" s="281">
        <f>D65-'[9]Maijs'!D65</f>
        <v>341633</v>
      </c>
      <c r="G65" s="250" t="s">
        <v>394</v>
      </c>
      <c r="H65" s="252">
        <f t="shared" si="12"/>
        <v>6699</v>
      </c>
      <c r="I65" s="252">
        <f>ROUND(C65/1000,0)</f>
        <v>3899</v>
      </c>
      <c r="J65" s="730">
        <f>ROUND(D65/1000,0)</f>
        <v>3504</v>
      </c>
      <c r="K65" s="283">
        <f>J65/H65*100</f>
        <v>52.3063143752799</v>
      </c>
      <c r="L65" s="281">
        <f t="shared" si="5"/>
        <v>342</v>
      </c>
      <c r="N65" s="190">
        <v>3504</v>
      </c>
      <c r="P65" s="190">
        <f>'[9]Maijs'!J65</f>
        <v>3162</v>
      </c>
      <c r="R65" s="190">
        <f t="shared" si="2"/>
        <v>342</v>
      </c>
      <c r="T65" s="282">
        <f>'[10]Junijs'!$O$33</f>
        <v>3503854</v>
      </c>
      <c r="V65" s="282">
        <f>'[10]Maijs'!$O$33</f>
        <v>3162221</v>
      </c>
      <c r="X65" s="190">
        <f t="shared" si="3"/>
        <v>341633</v>
      </c>
    </row>
    <row r="66" spans="1:24" ht="12.75" customHeight="1">
      <c r="A66" s="250" t="s">
        <v>395</v>
      </c>
      <c r="B66" s="252">
        <f>B58-B61-B65</f>
        <v>-6756000</v>
      </c>
      <c r="C66" s="282">
        <f>C58-C61</f>
        <v>-29526</v>
      </c>
      <c r="D66" s="252">
        <f>D58-D61-D65</f>
        <v>-3449398</v>
      </c>
      <c r="E66" s="279">
        <f>D66/B66*100</f>
        <v>51.056808762581404</v>
      </c>
      <c r="F66" s="281">
        <f>D66-'[9]Maijs'!D66</f>
        <v>-352340</v>
      </c>
      <c r="G66" s="250" t="s">
        <v>395</v>
      </c>
      <c r="H66" s="252">
        <f t="shared" si="12"/>
        <v>-6756</v>
      </c>
      <c r="I66" s="252"/>
      <c r="J66" s="730">
        <f>J58-J61-J65</f>
        <v>-3448</v>
      </c>
      <c r="K66" s="283">
        <f>J66/H66*100</f>
        <v>51.03611604499704</v>
      </c>
      <c r="L66" s="281">
        <f t="shared" si="5"/>
        <v>-352</v>
      </c>
      <c r="N66" s="190">
        <v>-3101</v>
      </c>
      <c r="P66" s="190">
        <f>'[9]Maijs'!J66</f>
        <v>-3097</v>
      </c>
      <c r="R66" s="190">
        <f t="shared" si="2"/>
        <v>-4</v>
      </c>
      <c r="T66" s="252">
        <f>T58-T61-T65</f>
        <v>-3100967</v>
      </c>
      <c r="V66" s="252">
        <f>V58-V61-V65</f>
        <v>-3097058</v>
      </c>
      <c r="X66" s="190">
        <f t="shared" si="3"/>
        <v>-3909</v>
      </c>
    </row>
    <row r="67" spans="1:24" ht="12.75" customHeight="1">
      <c r="A67" s="250" t="s">
        <v>586</v>
      </c>
      <c r="B67" s="252">
        <v>6756000</v>
      </c>
      <c r="C67" s="282">
        <f>538100+848100+1058100+628100+428100</f>
        <v>3500500</v>
      </c>
      <c r="D67" s="282">
        <f>'[10]Junijs'!$O$43</f>
        <v>3622726</v>
      </c>
      <c r="E67" s="279">
        <f>D67/B67*100</f>
        <v>53.622350503256364</v>
      </c>
      <c r="F67" s="281">
        <f>D67-'[9]Maijs'!D67</f>
        <v>371663</v>
      </c>
      <c r="G67" s="250" t="s">
        <v>586</v>
      </c>
      <c r="H67" s="252">
        <f t="shared" si="12"/>
        <v>6756</v>
      </c>
      <c r="I67" s="252">
        <f>ROUND(C67/1000,0)</f>
        <v>3501</v>
      </c>
      <c r="J67" s="730">
        <f>ROUND(D67/1000,0)</f>
        <v>3623</v>
      </c>
      <c r="K67" s="283">
        <f>J67/H67*100</f>
        <v>53.62640615748964</v>
      </c>
      <c r="L67" s="281">
        <f t="shared" si="5"/>
        <v>372</v>
      </c>
      <c r="N67" s="190">
        <v>3623</v>
      </c>
      <c r="P67" s="190">
        <f>'[9]Maijs'!J67</f>
        <v>3251</v>
      </c>
      <c r="R67" s="190">
        <f t="shared" si="2"/>
        <v>372</v>
      </c>
      <c r="T67" s="282">
        <f>'[10]Junijs'!$O$43</f>
        <v>3622726</v>
      </c>
      <c r="V67" s="282">
        <f>'[10]Maijs'!$O$43</f>
        <v>3251063</v>
      </c>
      <c r="X67" s="190">
        <f t="shared" si="3"/>
        <v>371663</v>
      </c>
    </row>
    <row r="68" spans="1:24" ht="12.75" customHeight="1">
      <c r="A68" s="76" t="s">
        <v>416</v>
      </c>
      <c r="B68" s="281"/>
      <c r="C68" s="281"/>
      <c r="D68" s="281"/>
      <c r="E68" s="279"/>
      <c r="F68" s="281">
        <f>D68-'[9]Maijs'!D68</f>
        <v>0</v>
      </c>
      <c r="G68" s="76" t="s">
        <v>416</v>
      </c>
      <c r="H68" s="252"/>
      <c r="I68" s="252"/>
      <c r="J68" s="730"/>
      <c r="K68" s="283"/>
      <c r="L68" s="281"/>
      <c r="P68" s="190">
        <f>'[9]Maijs'!J68</f>
        <v>0</v>
      </c>
      <c r="R68" s="190">
        <f t="shared" si="2"/>
        <v>0</v>
      </c>
      <c r="T68" s="281"/>
      <c r="V68" s="281"/>
      <c r="X68" s="190">
        <f t="shared" si="3"/>
        <v>0</v>
      </c>
    </row>
    <row r="69" spans="1:24" ht="12.75" customHeight="1">
      <c r="A69" s="244" t="s">
        <v>587</v>
      </c>
      <c r="B69" s="281"/>
      <c r="C69" s="281"/>
      <c r="D69" s="281"/>
      <c r="E69" s="279"/>
      <c r="F69" s="281">
        <f>D69-'[9]Maijs'!D69</f>
        <v>0</v>
      </c>
      <c r="G69" s="244" t="s">
        <v>587</v>
      </c>
      <c r="H69" s="252"/>
      <c r="I69" s="252"/>
      <c r="J69" s="730"/>
      <c r="K69" s="283"/>
      <c r="L69" s="281"/>
      <c r="P69" s="190">
        <f>'[9]Maijs'!J69</f>
        <v>0</v>
      </c>
      <c r="R69" s="190">
        <f t="shared" si="2"/>
        <v>0</v>
      </c>
      <c r="T69" s="281"/>
      <c r="V69" s="281"/>
      <c r="X69" s="190">
        <f t="shared" si="3"/>
        <v>0</v>
      </c>
    </row>
    <row r="70" spans="1:24" ht="12.75" customHeight="1">
      <c r="A70" s="250" t="s">
        <v>559</v>
      </c>
      <c r="B70" s="281">
        <f>SUM(B71:B72)</f>
        <v>500000</v>
      </c>
      <c r="C70" s="285">
        <v>332000</v>
      </c>
      <c r="D70" s="281">
        <f>SUM(D71:D72)</f>
        <v>342223</v>
      </c>
      <c r="E70" s="279">
        <f>D70/B70*100</f>
        <v>68.4446</v>
      </c>
      <c r="F70" s="281">
        <f>D70-'[9]Maijs'!D70</f>
        <v>39941</v>
      </c>
      <c r="G70" s="250" t="s">
        <v>559</v>
      </c>
      <c r="H70" s="252">
        <f>ROUND(B70/1000,0)</f>
        <v>500</v>
      </c>
      <c r="I70" s="252">
        <f>ROUND(C70/1000,0)</f>
        <v>332</v>
      </c>
      <c r="J70" s="730">
        <f>SUM(J71:J72)</f>
        <v>342</v>
      </c>
      <c r="K70" s="283">
        <f aca="true" t="shared" si="13" ref="K70:K75">J70/H70*100</f>
        <v>68.4</v>
      </c>
      <c r="L70" s="281">
        <f t="shared" si="5"/>
        <v>40</v>
      </c>
      <c r="N70" s="190">
        <v>342</v>
      </c>
      <c r="P70" s="190">
        <f>'[9]Maijs'!J70</f>
        <v>302</v>
      </c>
      <c r="R70" s="190">
        <f t="shared" si="2"/>
        <v>40</v>
      </c>
      <c r="T70" s="281">
        <f>SUM(T71:T72)</f>
        <v>342223</v>
      </c>
      <c r="V70" s="281">
        <f>SUM(V71:V72)</f>
        <v>302282</v>
      </c>
      <c r="X70" s="190">
        <f t="shared" si="3"/>
        <v>39941</v>
      </c>
    </row>
    <row r="71" spans="1:24" ht="12.75" customHeight="1">
      <c r="A71" s="69" t="s">
        <v>588</v>
      </c>
      <c r="B71" s="252">
        <v>300000</v>
      </c>
      <c r="C71" s="282"/>
      <c r="D71" s="282">
        <v>207954</v>
      </c>
      <c r="E71" s="279">
        <f>D71/B71*100</f>
        <v>69.318</v>
      </c>
      <c r="F71" s="281">
        <f>D71-'[9]Maijs'!D71</f>
        <v>27100</v>
      </c>
      <c r="G71" s="69" t="s">
        <v>588</v>
      </c>
      <c r="H71" s="252">
        <f>ROUND(B71/1000,0)</f>
        <v>300</v>
      </c>
      <c r="I71" s="252"/>
      <c r="J71" s="730">
        <f>ROUND(D71/1000,0)</f>
        <v>208</v>
      </c>
      <c r="K71" s="283">
        <f t="shared" si="13"/>
        <v>69.33333333333334</v>
      </c>
      <c r="L71" s="281">
        <f t="shared" si="5"/>
        <v>27</v>
      </c>
      <c r="N71" s="190">
        <v>208</v>
      </c>
      <c r="P71" s="190">
        <f>'[9]Maijs'!J71</f>
        <v>181</v>
      </c>
      <c r="R71" s="190">
        <f t="shared" si="2"/>
        <v>27</v>
      </c>
      <c r="T71" s="282">
        <v>207954</v>
      </c>
      <c r="V71" s="282">
        <v>180854</v>
      </c>
      <c r="X71" s="190">
        <f t="shared" si="3"/>
        <v>27100</v>
      </c>
    </row>
    <row r="72" spans="1:24" ht="12.75" customHeight="1">
      <c r="A72" s="69" t="s">
        <v>589</v>
      </c>
      <c r="B72" s="252">
        <v>200000</v>
      </c>
      <c r="C72" s="282"/>
      <c r="D72" s="282">
        <f>40+23073+111156</f>
        <v>134269</v>
      </c>
      <c r="E72" s="279">
        <f>D72/B72*100</f>
        <v>67.1345</v>
      </c>
      <c r="F72" s="281">
        <f>D72-'[9]Maijs'!D72</f>
        <v>12841</v>
      </c>
      <c r="G72" s="69" t="s">
        <v>589</v>
      </c>
      <c r="H72" s="252">
        <f>ROUND(B72/1000,0)</f>
        <v>200</v>
      </c>
      <c r="I72" s="252"/>
      <c r="J72" s="730">
        <f>ROUND(D72/1000,0)</f>
        <v>134</v>
      </c>
      <c r="K72" s="283">
        <f t="shared" si="13"/>
        <v>67</v>
      </c>
      <c r="L72" s="281">
        <f t="shared" si="5"/>
        <v>13</v>
      </c>
      <c r="N72" s="190">
        <v>134</v>
      </c>
      <c r="P72" s="190">
        <f>'[9]Maijs'!J72</f>
        <v>121</v>
      </c>
      <c r="R72" s="190">
        <f t="shared" si="2"/>
        <v>13</v>
      </c>
      <c r="T72" s="282">
        <f>40+23073+111156</f>
        <v>134269</v>
      </c>
      <c r="V72" s="282">
        <f>7+11810+109611</f>
        <v>121428</v>
      </c>
      <c r="X72" s="190">
        <f t="shared" si="3"/>
        <v>12841</v>
      </c>
    </row>
    <row r="73" spans="1:24" ht="12.75" customHeight="1">
      <c r="A73" s="250" t="s">
        <v>561</v>
      </c>
      <c r="B73" s="281">
        <f>SUM(B74:B75)</f>
        <v>500000</v>
      </c>
      <c r="C73" s="281">
        <f>SUM(C74:C75)</f>
        <v>332000</v>
      </c>
      <c r="D73" s="281">
        <f>SUM(D74:D75)</f>
        <v>265315</v>
      </c>
      <c r="E73" s="279">
        <f>D73/B73*100</f>
        <v>53.063</v>
      </c>
      <c r="F73" s="281">
        <f>D73-'[9]Maijs'!D73</f>
        <v>55876</v>
      </c>
      <c r="G73" s="250" t="s">
        <v>561</v>
      </c>
      <c r="H73" s="252">
        <f>ROUND(B73/1000,0)</f>
        <v>500</v>
      </c>
      <c r="I73" s="252">
        <f>SUM(I74:I75)</f>
        <v>332</v>
      </c>
      <c r="J73" s="730">
        <f>SUM(J74:J75)</f>
        <v>265</v>
      </c>
      <c r="K73" s="283">
        <f t="shared" si="13"/>
        <v>53</v>
      </c>
      <c r="L73" s="281">
        <f t="shared" si="5"/>
        <v>56</v>
      </c>
      <c r="N73" s="190">
        <v>270</v>
      </c>
      <c r="P73" s="190">
        <f>'[9]Maijs'!J73</f>
        <v>209</v>
      </c>
      <c r="R73" s="190">
        <f t="shared" si="2"/>
        <v>61</v>
      </c>
      <c r="T73" s="281">
        <f>SUM(T74:T75)</f>
        <v>265315</v>
      </c>
      <c r="V73" s="281">
        <f>SUM(V74:V75)</f>
        <v>209439</v>
      </c>
      <c r="X73" s="190">
        <f t="shared" si="3"/>
        <v>55876</v>
      </c>
    </row>
    <row r="74" spans="1:24" ht="12.75" customHeight="1">
      <c r="A74" s="250" t="s">
        <v>562</v>
      </c>
      <c r="B74" s="252">
        <v>413000</v>
      </c>
      <c r="C74" s="282">
        <v>279000</v>
      </c>
      <c r="D74" s="282">
        <v>212316</v>
      </c>
      <c r="E74" s="279">
        <f>D74/B74*100</f>
        <v>51.40823244552058</v>
      </c>
      <c r="F74" s="281">
        <f>D74-'[9]Maijs'!D74</f>
        <v>37267</v>
      </c>
      <c r="G74" s="250" t="s">
        <v>562</v>
      </c>
      <c r="H74" s="252">
        <f>ROUND(B74/1000,0)</f>
        <v>413</v>
      </c>
      <c r="I74" s="252">
        <f>ROUND(C74/1000,0)</f>
        <v>279</v>
      </c>
      <c r="J74" s="730">
        <f>ROUND(D74/1000,0)</f>
        <v>212</v>
      </c>
      <c r="K74" s="283">
        <f t="shared" si="13"/>
        <v>51.3317191283293</v>
      </c>
      <c r="L74" s="281">
        <f t="shared" si="5"/>
        <v>37</v>
      </c>
      <c r="N74" s="190">
        <v>217</v>
      </c>
      <c r="P74" s="190">
        <f>'[9]Maijs'!J74</f>
        <v>175</v>
      </c>
      <c r="R74" s="190">
        <f t="shared" si="2"/>
        <v>42</v>
      </c>
      <c r="T74" s="282">
        <f>'[10]Junijs'!$L$8</f>
        <v>212316</v>
      </c>
      <c r="V74" s="282">
        <f>'[10]Maijs'!$L$8</f>
        <v>175049</v>
      </c>
      <c r="X74" s="190">
        <f t="shared" si="3"/>
        <v>37267</v>
      </c>
    </row>
    <row r="75" spans="1:24" ht="12.75" customHeight="1">
      <c r="A75" s="250" t="s">
        <v>556</v>
      </c>
      <c r="B75" s="252">
        <v>87000</v>
      </c>
      <c r="C75" s="282">
        <v>53000</v>
      </c>
      <c r="D75" s="282">
        <f>'[10]Junijs'!$L$30</f>
        <v>52999</v>
      </c>
      <c r="E75" s="279"/>
      <c r="F75" s="281">
        <f>D75-'[9]Maijs'!D75</f>
        <v>18609</v>
      </c>
      <c r="G75" s="250" t="s">
        <v>556</v>
      </c>
      <c r="H75" s="252">
        <f>ROUND(B75/1000,0)</f>
        <v>87</v>
      </c>
      <c r="I75" s="252">
        <f>ROUND(C75/1000,0)</f>
        <v>53</v>
      </c>
      <c r="J75" s="730">
        <f>ROUND(D75/1000,0)</f>
        <v>53</v>
      </c>
      <c r="K75" s="283">
        <f t="shared" si="13"/>
        <v>60.91954022988506</v>
      </c>
      <c r="L75" s="281">
        <f t="shared" si="5"/>
        <v>19</v>
      </c>
      <c r="N75" s="190">
        <v>53</v>
      </c>
      <c r="P75" s="190">
        <f>'[9]Maijs'!J75</f>
        <v>34</v>
      </c>
      <c r="R75" s="190">
        <f aca="true" t="shared" si="14" ref="R75:R138">N75-P75</f>
        <v>19</v>
      </c>
      <c r="T75" s="282">
        <f>'[10]Junijs'!$L$30</f>
        <v>52999</v>
      </c>
      <c r="V75" s="282">
        <f>'[10]Maijs'!$L$30</f>
        <v>34390</v>
      </c>
      <c r="X75" s="190">
        <f aca="true" t="shared" si="15" ref="X75:X138">T75-V75</f>
        <v>18609</v>
      </c>
    </row>
    <row r="76" spans="1:24" ht="12.75" customHeight="1">
      <c r="A76" s="32" t="s">
        <v>418</v>
      </c>
      <c r="B76" s="252"/>
      <c r="C76" s="252"/>
      <c r="D76" s="252"/>
      <c r="E76" s="279"/>
      <c r="F76" s="281">
        <f>D76-'[9]Maijs'!D76</f>
        <v>0</v>
      </c>
      <c r="G76" s="32" t="s">
        <v>418</v>
      </c>
      <c r="H76" s="252"/>
      <c r="I76" s="252"/>
      <c r="J76" s="730"/>
      <c r="K76" s="283"/>
      <c r="L76" s="281"/>
      <c r="P76" s="190">
        <f>'[9]Maijs'!J76</f>
        <v>0</v>
      </c>
      <c r="R76" s="190">
        <f t="shared" si="14"/>
        <v>0</v>
      </c>
      <c r="T76" s="252"/>
      <c r="V76" s="252"/>
      <c r="X76" s="190">
        <f t="shared" si="15"/>
        <v>0</v>
      </c>
    </row>
    <row r="77" spans="1:24" ht="12.75" customHeight="1">
      <c r="A77" s="244" t="s">
        <v>590</v>
      </c>
      <c r="B77" s="281"/>
      <c r="C77" s="281"/>
      <c r="D77" s="281"/>
      <c r="E77" s="279"/>
      <c r="F77" s="281">
        <f>D77-'[9]Maijs'!D77</f>
        <v>0</v>
      </c>
      <c r="G77" s="244" t="s">
        <v>590</v>
      </c>
      <c r="H77" s="252"/>
      <c r="I77" s="252"/>
      <c r="J77" s="730"/>
      <c r="K77" s="283"/>
      <c r="L77" s="281"/>
      <c r="P77" s="190">
        <f>'[9]Maijs'!J77</f>
        <v>0</v>
      </c>
      <c r="R77" s="190">
        <f t="shared" si="14"/>
        <v>0</v>
      </c>
      <c r="T77" s="281"/>
      <c r="V77" s="281"/>
      <c r="X77" s="190">
        <f t="shared" si="15"/>
        <v>0</v>
      </c>
    </row>
    <row r="78" spans="1:24" ht="12.75" customHeight="1">
      <c r="A78" s="250" t="s">
        <v>559</v>
      </c>
      <c r="B78" s="281">
        <f>SUM(B79:B82)</f>
        <v>59956437</v>
      </c>
      <c r="C78" s="285">
        <v>30362437</v>
      </c>
      <c r="D78" s="281">
        <f>SUM(D79:D82)</f>
        <v>24561384</v>
      </c>
      <c r="E78" s="279">
        <f aca="true" t="shared" si="16" ref="E78:E84">D78/B78*100</f>
        <v>40.96538291626636</v>
      </c>
      <c r="F78" s="281">
        <f>D78-'[9]Maijs'!D78</f>
        <v>3952181</v>
      </c>
      <c r="G78" s="250" t="s">
        <v>559</v>
      </c>
      <c r="H78" s="252">
        <f>ROUND(B78/1000,0)</f>
        <v>59956</v>
      </c>
      <c r="I78" s="252">
        <f>ROUND(C78/1000,0)</f>
        <v>30362</v>
      </c>
      <c r="J78" s="730">
        <f>SUM(J79:J82)</f>
        <v>24562</v>
      </c>
      <c r="K78" s="283">
        <f aca="true" t="shared" si="17" ref="K78:K88">J78/H78*100</f>
        <v>40.96670891987457</v>
      </c>
      <c r="L78" s="281">
        <f>ROUND(F78/1000,0)+2</f>
        <v>3954</v>
      </c>
      <c r="N78" s="190">
        <v>24562</v>
      </c>
      <c r="P78" s="190">
        <f>'[9]Maijs'!J78</f>
        <v>20608</v>
      </c>
      <c r="R78" s="190">
        <f t="shared" si="14"/>
        <v>3954</v>
      </c>
      <c r="T78" s="281">
        <f>SUM(T79:T82)</f>
        <v>24561384</v>
      </c>
      <c r="V78" s="281">
        <f>SUM(V79:V82)</f>
        <v>20609203</v>
      </c>
      <c r="X78" s="190">
        <f t="shared" si="15"/>
        <v>3952181</v>
      </c>
    </row>
    <row r="79" spans="1:24" ht="12.75" customHeight="1">
      <c r="A79" s="250" t="s">
        <v>591</v>
      </c>
      <c r="B79" s="252">
        <v>8300000</v>
      </c>
      <c r="C79" s="282"/>
      <c r="D79" s="282">
        <f>3537043+1350000</f>
        <v>4887043</v>
      </c>
      <c r="E79" s="279">
        <f t="shared" si="16"/>
        <v>58.88003614457832</v>
      </c>
      <c r="F79" s="281">
        <f>D79-'[9]Maijs'!D79</f>
        <v>845677</v>
      </c>
      <c r="G79" s="250" t="s">
        <v>591</v>
      </c>
      <c r="H79" s="252">
        <f aca="true" t="shared" si="18" ref="H79:H88">ROUND(B79/1000,0)</f>
        <v>8300</v>
      </c>
      <c r="I79" s="252"/>
      <c r="J79" s="730">
        <f>ROUND(D79/1000,0)</f>
        <v>4887</v>
      </c>
      <c r="K79" s="283">
        <f t="shared" si="17"/>
        <v>58.87951807228916</v>
      </c>
      <c r="L79" s="281">
        <f t="shared" si="5"/>
        <v>846</v>
      </c>
      <c r="N79" s="190">
        <v>4887</v>
      </c>
      <c r="P79" s="190">
        <f>'[9]Maijs'!J79</f>
        <v>4041</v>
      </c>
      <c r="R79" s="190">
        <f t="shared" si="14"/>
        <v>846</v>
      </c>
      <c r="T79" s="282">
        <f>3537043+1350000</f>
        <v>4887043</v>
      </c>
      <c r="V79" s="282">
        <v>4041366</v>
      </c>
      <c r="X79" s="190">
        <f t="shared" si="15"/>
        <v>845677</v>
      </c>
    </row>
    <row r="80" spans="1:24" ht="12.75" customHeight="1">
      <c r="A80" s="250" t="s">
        <v>592</v>
      </c>
      <c r="B80" s="252">
        <v>49067000</v>
      </c>
      <c r="C80" s="282"/>
      <c r="D80" s="282">
        <v>18600568</v>
      </c>
      <c r="E80" s="279">
        <f t="shared" si="16"/>
        <v>37.90850877371757</v>
      </c>
      <c r="F80" s="281">
        <f>D80-'[9]Maijs'!D80</f>
        <v>2954088</v>
      </c>
      <c r="G80" s="250" t="s">
        <v>592</v>
      </c>
      <c r="H80" s="252">
        <f t="shared" si="18"/>
        <v>49067</v>
      </c>
      <c r="I80" s="252"/>
      <c r="J80" s="730">
        <f>ROUND(D80/1000,0)</f>
        <v>18601</v>
      </c>
      <c r="K80" s="283">
        <f t="shared" si="17"/>
        <v>37.90938920251901</v>
      </c>
      <c r="L80" s="281">
        <f t="shared" si="5"/>
        <v>2954</v>
      </c>
      <c r="N80" s="190">
        <v>18601</v>
      </c>
      <c r="P80" s="190">
        <f>'[9]Maijs'!J80</f>
        <v>15646</v>
      </c>
      <c r="R80" s="190">
        <f t="shared" si="14"/>
        <v>2955</v>
      </c>
      <c r="T80" s="282">
        <v>18600568</v>
      </c>
      <c r="V80" s="282">
        <v>15646480</v>
      </c>
      <c r="X80" s="190">
        <f t="shared" si="15"/>
        <v>2954088</v>
      </c>
    </row>
    <row r="81" spans="1:24" ht="12.75" customHeight="1">
      <c r="A81" s="127" t="s">
        <v>469</v>
      </c>
      <c r="B81" s="252">
        <v>50000</v>
      </c>
      <c r="C81" s="282"/>
      <c r="D81" s="282">
        <f>40128+16</f>
        <v>40144</v>
      </c>
      <c r="E81" s="279">
        <f t="shared" si="16"/>
        <v>80.28800000000001</v>
      </c>
      <c r="F81" s="281">
        <f>D81-'[9]Maijs'!D81</f>
        <v>9724</v>
      </c>
      <c r="G81" s="127" t="s">
        <v>469</v>
      </c>
      <c r="H81" s="252">
        <f t="shared" si="18"/>
        <v>50</v>
      </c>
      <c r="I81" s="252"/>
      <c r="J81" s="730">
        <f>ROUND(D81/1000,0)</f>
        <v>40</v>
      </c>
      <c r="K81" s="283">
        <f t="shared" si="17"/>
        <v>80</v>
      </c>
      <c r="L81" s="281">
        <f t="shared" si="5"/>
        <v>10</v>
      </c>
      <c r="N81" s="190">
        <v>40</v>
      </c>
      <c r="P81" s="190">
        <f>'[9]Maijs'!J81</f>
        <v>30</v>
      </c>
      <c r="R81" s="190">
        <f t="shared" si="14"/>
        <v>10</v>
      </c>
      <c r="T81" s="282">
        <f>40128+16</f>
        <v>40144</v>
      </c>
      <c r="V81" s="282">
        <v>30420</v>
      </c>
      <c r="X81" s="190">
        <f t="shared" si="15"/>
        <v>9724</v>
      </c>
    </row>
    <row r="82" spans="1:24" ht="12.75" customHeight="1">
      <c r="A82" s="250" t="s">
        <v>470</v>
      </c>
      <c r="B82" s="252">
        <v>2539437</v>
      </c>
      <c r="C82" s="282"/>
      <c r="D82" s="282">
        <v>1033629</v>
      </c>
      <c r="E82" s="279">
        <f t="shared" si="16"/>
        <v>40.70307709937281</v>
      </c>
      <c r="F82" s="281">
        <f>D82-'[9]Maijs'!D82</f>
        <v>142692</v>
      </c>
      <c r="G82" s="250" t="s">
        <v>470</v>
      </c>
      <c r="H82" s="252">
        <f t="shared" si="18"/>
        <v>2539</v>
      </c>
      <c r="I82" s="252"/>
      <c r="J82" s="730">
        <f>ROUND(D82/1000,0)</f>
        <v>1034</v>
      </c>
      <c r="K82" s="283">
        <f t="shared" si="17"/>
        <v>40.72469476171721</v>
      </c>
      <c r="L82" s="281">
        <f t="shared" si="5"/>
        <v>143</v>
      </c>
      <c r="N82" s="190">
        <v>1034</v>
      </c>
      <c r="P82" s="190">
        <f>'[9]Maijs'!J82</f>
        <v>891</v>
      </c>
      <c r="R82" s="190">
        <f t="shared" si="14"/>
        <v>143</v>
      </c>
      <c r="T82" s="282">
        <v>1033629</v>
      </c>
      <c r="V82" s="282">
        <v>890937</v>
      </c>
      <c r="X82" s="190">
        <f t="shared" si="15"/>
        <v>142692</v>
      </c>
    </row>
    <row r="83" spans="1:24" ht="12.75" customHeight="1">
      <c r="A83" s="250" t="s">
        <v>561</v>
      </c>
      <c r="B83" s="281">
        <f>B84+B86</f>
        <v>69956437</v>
      </c>
      <c r="C83" s="281">
        <f>C84+C86</f>
        <v>36925437</v>
      </c>
      <c r="D83" s="281">
        <f>D84+D86</f>
        <v>30546023</v>
      </c>
      <c r="E83" s="279">
        <f t="shared" si="16"/>
        <v>43.66434928639948</v>
      </c>
      <c r="F83" s="281">
        <f>D83-'[9]Maijs'!D83</f>
        <v>5548310</v>
      </c>
      <c r="G83" s="250" t="s">
        <v>561</v>
      </c>
      <c r="H83" s="252">
        <f t="shared" si="18"/>
        <v>69956</v>
      </c>
      <c r="I83" s="252">
        <f>SUM(I84,I86)</f>
        <v>36925</v>
      </c>
      <c r="J83" s="730">
        <f>J84+J86</f>
        <v>30546</v>
      </c>
      <c r="K83" s="283">
        <f t="shared" si="17"/>
        <v>43.66458917033564</v>
      </c>
      <c r="L83" s="281">
        <f t="shared" si="5"/>
        <v>5548</v>
      </c>
      <c r="N83" s="190">
        <v>30546</v>
      </c>
      <c r="P83" s="190">
        <f>'[9]Maijs'!J83</f>
        <v>24998</v>
      </c>
      <c r="R83" s="190">
        <f t="shared" si="14"/>
        <v>5548</v>
      </c>
      <c r="T83" s="281">
        <f>T84+T86</f>
        <v>30546023</v>
      </c>
      <c r="V83" s="281">
        <f>V84+V86</f>
        <v>24997713</v>
      </c>
      <c r="X83" s="190">
        <f t="shared" si="15"/>
        <v>5548310</v>
      </c>
    </row>
    <row r="84" spans="1:24" ht="13.5" customHeight="1">
      <c r="A84" s="250" t="s">
        <v>562</v>
      </c>
      <c r="B84" s="252">
        <v>48836071</v>
      </c>
      <c r="C84" s="282">
        <v>26924437</v>
      </c>
      <c r="D84" s="282">
        <f>'[10]Junijs'!$I$8</f>
        <v>23977206</v>
      </c>
      <c r="E84" s="279">
        <f t="shared" si="16"/>
        <v>49.09732807948453</v>
      </c>
      <c r="F84" s="281">
        <f>D84-'[9]Maijs'!D84</f>
        <v>4009492</v>
      </c>
      <c r="G84" s="250" t="s">
        <v>562</v>
      </c>
      <c r="H84" s="252">
        <f t="shared" si="18"/>
        <v>48836</v>
      </c>
      <c r="I84" s="252">
        <f>ROUND(C84/1000,0)</f>
        <v>26924</v>
      </c>
      <c r="J84" s="730">
        <f>ROUND(D84/1000,0)</f>
        <v>23977</v>
      </c>
      <c r="K84" s="283">
        <f t="shared" si="17"/>
        <v>49.09697763944631</v>
      </c>
      <c r="L84" s="281">
        <f t="shared" si="5"/>
        <v>4009</v>
      </c>
      <c r="N84" s="190">
        <v>23977</v>
      </c>
      <c r="P84" s="190">
        <f>'[9]Maijs'!J84</f>
        <v>19968</v>
      </c>
      <c r="R84" s="190">
        <f t="shared" si="14"/>
        <v>4009</v>
      </c>
      <c r="T84" s="282">
        <f>'[10]Junijs'!$I$8</f>
        <v>23977206</v>
      </c>
      <c r="V84" s="282">
        <f>'[10]Maijs'!$I$8</f>
        <v>19967714</v>
      </c>
      <c r="X84" s="190">
        <f t="shared" si="15"/>
        <v>4009492</v>
      </c>
    </row>
    <row r="85" spans="1:24" ht="12.75" customHeight="1">
      <c r="A85" s="284" t="s">
        <v>593</v>
      </c>
      <c r="B85" s="252">
        <v>3724139</v>
      </c>
      <c r="C85" s="282"/>
      <c r="D85" s="282">
        <f>'[10]Junijs'!$I$15</f>
        <v>1801363</v>
      </c>
      <c r="E85" s="279"/>
      <c r="F85" s="281">
        <f>D85-'[9]Maijs'!D85</f>
        <v>65000</v>
      </c>
      <c r="G85" s="284" t="s">
        <v>593</v>
      </c>
      <c r="H85" s="252">
        <f t="shared" si="18"/>
        <v>3724</v>
      </c>
      <c r="I85" s="114"/>
      <c r="J85" s="730">
        <f>ROUND(D85/1000,0)</f>
        <v>1801</v>
      </c>
      <c r="K85" s="283">
        <f t="shared" si="17"/>
        <v>48.36197636949517</v>
      </c>
      <c r="L85" s="281">
        <f aca="true" t="shared" si="19" ref="L85:L141">ROUND(F85/1000,0)</f>
        <v>65</v>
      </c>
      <c r="N85" s="190">
        <v>1801</v>
      </c>
      <c r="P85" s="190">
        <f>'[9]Maijs'!J85</f>
        <v>1736</v>
      </c>
      <c r="R85" s="190">
        <f t="shared" si="14"/>
        <v>65</v>
      </c>
      <c r="T85" s="282">
        <f>'[10]Junijs'!$I$15</f>
        <v>1801363</v>
      </c>
      <c r="V85" s="282">
        <f>'[10]Maijs'!$I$15</f>
        <v>1736363</v>
      </c>
      <c r="X85" s="190">
        <f t="shared" si="15"/>
        <v>65000</v>
      </c>
    </row>
    <row r="86" spans="1:24" ht="12.75" customHeight="1">
      <c r="A86" s="250" t="s">
        <v>556</v>
      </c>
      <c r="B86" s="252">
        <v>21120366</v>
      </c>
      <c r="C86" s="282">
        <v>10001000</v>
      </c>
      <c r="D86" s="282">
        <f>'[10]Junijs'!$I$30</f>
        <v>6568817</v>
      </c>
      <c r="E86" s="279">
        <f>D86/B86*100</f>
        <v>31.101814239393388</v>
      </c>
      <c r="F86" s="281">
        <f>D86-'[9]Maijs'!D86</f>
        <v>1538818</v>
      </c>
      <c r="G86" s="250" t="s">
        <v>556</v>
      </c>
      <c r="H86" s="252">
        <f t="shared" si="18"/>
        <v>21120</v>
      </c>
      <c r="I86" s="252">
        <f>ROUND(C86/1000,0)</f>
        <v>10001</v>
      </c>
      <c r="J86" s="730">
        <f>ROUND(D86/1000,0)</f>
        <v>6569</v>
      </c>
      <c r="K86" s="283">
        <f t="shared" si="17"/>
        <v>31.103219696969695</v>
      </c>
      <c r="L86" s="281">
        <f t="shared" si="19"/>
        <v>1539</v>
      </c>
      <c r="N86" s="190">
        <v>6569</v>
      </c>
      <c r="P86" s="190">
        <f>'[9]Maijs'!J86</f>
        <v>5030</v>
      </c>
      <c r="R86" s="190">
        <f t="shared" si="14"/>
        <v>1539</v>
      </c>
      <c r="T86" s="282">
        <f>'[10]Junijs'!$I$30</f>
        <v>6568817</v>
      </c>
      <c r="V86" s="282">
        <f>'[10]Maijs'!$I$30</f>
        <v>5029999</v>
      </c>
      <c r="X86" s="190">
        <f t="shared" si="15"/>
        <v>1538818</v>
      </c>
    </row>
    <row r="87" spans="1:24" ht="12.75" customHeight="1">
      <c r="A87" s="250" t="s">
        <v>395</v>
      </c>
      <c r="B87" s="281">
        <f>B78-B83</f>
        <v>-10000000</v>
      </c>
      <c r="C87" s="285">
        <f>C78-C83</f>
        <v>-6563000</v>
      </c>
      <c r="D87" s="281">
        <f>D78-D83</f>
        <v>-5984639</v>
      </c>
      <c r="E87" s="279">
        <f>D87/B87*100</f>
        <v>59.84639000000001</v>
      </c>
      <c r="F87" s="281">
        <f>D87-'[9]Maijs'!D87</f>
        <v>-1596129</v>
      </c>
      <c r="G87" s="250" t="s">
        <v>395</v>
      </c>
      <c r="H87" s="252">
        <f t="shared" si="18"/>
        <v>-10000</v>
      </c>
      <c r="I87" s="252">
        <f>ROUND(C87/1000,0)</f>
        <v>-6563</v>
      </c>
      <c r="J87" s="730">
        <f>J78-J83</f>
        <v>-5984</v>
      </c>
      <c r="K87" s="283">
        <f t="shared" si="17"/>
        <v>59.84</v>
      </c>
      <c r="L87" s="281">
        <f t="shared" si="19"/>
        <v>-1596</v>
      </c>
      <c r="N87" s="190">
        <v>-5984</v>
      </c>
      <c r="P87" s="190">
        <f>'[9]Maijs'!J87</f>
        <v>-4390</v>
      </c>
      <c r="R87" s="190">
        <f t="shared" si="14"/>
        <v>-1594</v>
      </c>
      <c r="T87" s="281">
        <f>T78-T83</f>
        <v>-5984639</v>
      </c>
      <c r="V87" s="281">
        <f>V78-V83</f>
        <v>-4388510</v>
      </c>
      <c r="X87" s="190">
        <f t="shared" si="15"/>
        <v>-1596129</v>
      </c>
    </row>
    <row r="88" spans="1:24" ht="12.75" customHeight="1">
      <c r="A88" s="69" t="s">
        <v>557</v>
      </c>
      <c r="B88" s="252">
        <v>10000000</v>
      </c>
      <c r="C88" s="282">
        <f>2365000+745067+659000+1601933+271000+921000</f>
        <v>6563000</v>
      </c>
      <c r="D88" s="282">
        <f>'[10]Junijs'!$I$43</f>
        <v>6066066</v>
      </c>
      <c r="E88" s="279">
        <f>D88/B88*100</f>
        <v>60.66066</v>
      </c>
      <c r="F88" s="281">
        <f>D88-'[9]Maijs'!D88</f>
        <v>684999</v>
      </c>
      <c r="G88" s="69" t="s">
        <v>137</v>
      </c>
      <c r="H88" s="252">
        <f t="shared" si="18"/>
        <v>10000</v>
      </c>
      <c r="I88" s="252">
        <f>ROUND(C88/1000,0)</f>
        <v>6563</v>
      </c>
      <c r="J88" s="730">
        <f>ROUND(D88/1000,0)</f>
        <v>6066</v>
      </c>
      <c r="K88" s="283">
        <f t="shared" si="17"/>
        <v>60.660000000000004</v>
      </c>
      <c r="L88" s="281">
        <f t="shared" si="19"/>
        <v>685</v>
      </c>
      <c r="N88" s="190">
        <v>6066</v>
      </c>
      <c r="P88" s="190">
        <f>'[9]Maijs'!J88</f>
        <v>5381</v>
      </c>
      <c r="R88" s="190">
        <f t="shared" si="14"/>
        <v>685</v>
      </c>
      <c r="T88" s="282">
        <f>'[10]Junijs'!$I$43</f>
        <v>6066066</v>
      </c>
      <c r="V88" s="282">
        <f>'[10]Maijs'!$I$43</f>
        <v>5381067</v>
      </c>
      <c r="X88" s="190">
        <f t="shared" si="15"/>
        <v>684999</v>
      </c>
    </row>
    <row r="89" spans="1:24" ht="12.75" customHeight="1">
      <c r="A89" s="244" t="s">
        <v>594</v>
      </c>
      <c r="B89" s="281"/>
      <c r="C89" s="281"/>
      <c r="D89" s="281"/>
      <c r="E89" s="279"/>
      <c r="F89" s="281">
        <f>D89-'[9]Maijs'!D89</f>
        <v>0</v>
      </c>
      <c r="G89" s="244" t="s">
        <v>594</v>
      </c>
      <c r="H89" s="252"/>
      <c r="I89" s="252"/>
      <c r="J89" s="730"/>
      <c r="K89" s="283"/>
      <c r="L89" s="281"/>
      <c r="P89" s="190">
        <f>'[9]Maijs'!J89</f>
        <v>0</v>
      </c>
      <c r="R89" s="190">
        <f t="shared" si="14"/>
        <v>0</v>
      </c>
      <c r="T89" s="281"/>
      <c r="V89" s="281"/>
      <c r="X89" s="190">
        <f t="shared" si="15"/>
        <v>0</v>
      </c>
    </row>
    <row r="90" spans="1:24" ht="12.75" customHeight="1">
      <c r="A90" s="250" t="s">
        <v>559</v>
      </c>
      <c r="B90" s="281">
        <f>B91</f>
        <v>700000</v>
      </c>
      <c r="C90" s="285">
        <v>188000</v>
      </c>
      <c r="D90" s="281">
        <f>D91</f>
        <v>420668</v>
      </c>
      <c r="E90" s="279">
        <f>D90/B90*100</f>
        <v>60.09542857142856</v>
      </c>
      <c r="F90" s="281">
        <f>D90-'[9]Maijs'!D90</f>
        <v>81976</v>
      </c>
      <c r="G90" s="250" t="s">
        <v>559</v>
      </c>
      <c r="H90" s="252">
        <f>ROUND(B90/1000,0)</f>
        <v>700</v>
      </c>
      <c r="I90" s="252">
        <f>ROUND(C90/1000,0)</f>
        <v>188</v>
      </c>
      <c r="J90" s="730">
        <f>J91</f>
        <v>421</v>
      </c>
      <c r="K90" s="283">
        <f>J90/H90*100</f>
        <v>60.14285714285714</v>
      </c>
      <c r="L90" s="281">
        <f t="shared" si="19"/>
        <v>82</v>
      </c>
      <c r="N90" s="190">
        <v>421</v>
      </c>
      <c r="P90" s="190">
        <f>'[9]Maijs'!J90</f>
        <v>339</v>
      </c>
      <c r="R90" s="190">
        <f t="shared" si="14"/>
        <v>82</v>
      </c>
      <c r="T90" s="281">
        <f>T91</f>
        <v>420668</v>
      </c>
      <c r="V90" s="281">
        <f>V91</f>
        <v>338692</v>
      </c>
      <c r="X90" s="190">
        <f t="shared" si="15"/>
        <v>81976</v>
      </c>
    </row>
    <row r="91" spans="1:24" ht="12.75" customHeight="1">
      <c r="A91" s="250" t="s">
        <v>595</v>
      </c>
      <c r="B91" s="252">
        <v>700000</v>
      </c>
      <c r="C91" s="282"/>
      <c r="D91" s="282">
        <f>'[10]Junijs'!$F$6</f>
        <v>420668</v>
      </c>
      <c r="E91" s="279">
        <f>D91/B91*100</f>
        <v>60.09542857142856</v>
      </c>
      <c r="F91" s="281">
        <f>D91-'[9]Maijs'!D91</f>
        <v>81976</v>
      </c>
      <c r="G91" s="250" t="s">
        <v>595</v>
      </c>
      <c r="H91" s="252">
        <f>ROUND(B91/1000,0)</f>
        <v>700</v>
      </c>
      <c r="I91" s="252"/>
      <c r="J91" s="730">
        <f>ROUND(D91/1000,0)</f>
        <v>421</v>
      </c>
      <c r="K91" s="283">
        <f>J91/H91*100</f>
        <v>60.14285714285714</v>
      </c>
      <c r="L91" s="281">
        <f t="shared" si="19"/>
        <v>82</v>
      </c>
      <c r="N91" s="190">
        <v>421</v>
      </c>
      <c r="P91" s="190">
        <f>'[9]Maijs'!J91</f>
        <v>339</v>
      </c>
      <c r="R91" s="190">
        <f t="shared" si="14"/>
        <v>82</v>
      </c>
      <c r="T91" s="282">
        <f>'[10]Junijs'!$F$6</f>
        <v>420668</v>
      </c>
      <c r="V91" s="282">
        <f>'[10]Maijs'!$F$6</f>
        <v>338692</v>
      </c>
      <c r="X91" s="190">
        <f t="shared" si="15"/>
        <v>81976</v>
      </c>
    </row>
    <row r="92" spans="1:24" ht="12.75" customHeight="1">
      <c r="A92" s="250" t="s">
        <v>561</v>
      </c>
      <c r="B92" s="281">
        <f>SUM(B93:B94)</f>
        <v>700000</v>
      </c>
      <c r="C92" s="281">
        <f>SUM(C93:C94)</f>
        <v>188000</v>
      </c>
      <c r="D92" s="281">
        <f>SUM(D93:D94)</f>
        <v>99524</v>
      </c>
      <c r="E92" s="279">
        <f>D92/B92*100</f>
        <v>14.217714285714287</v>
      </c>
      <c r="F92" s="281">
        <f>D92-'[9]Maijs'!D92</f>
        <v>31860</v>
      </c>
      <c r="G92" s="250" t="s">
        <v>561</v>
      </c>
      <c r="H92" s="252">
        <f>ROUND(B92/1000,0)</f>
        <v>700</v>
      </c>
      <c r="I92" s="252">
        <f>SUM(I93:I94)</f>
        <v>188</v>
      </c>
      <c r="J92" s="730">
        <f>SUM(J93:J94)</f>
        <v>99</v>
      </c>
      <c r="K92" s="283">
        <f>J92/H92*100</f>
        <v>14.142857142857142</v>
      </c>
      <c r="L92" s="281">
        <f t="shared" si="19"/>
        <v>32</v>
      </c>
      <c r="N92" s="190">
        <v>99</v>
      </c>
      <c r="P92" s="190">
        <f>'[9]Maijs'!J92</f>
        <v>67</v>
      </c>
      <c r="R92" s="190">
        <f t="shared" si="14"/>
        <v>32</v>
      </c>
      <c r="T92" s="281">
        <f>SUM(T93:T94)</f>
        <v>99524</v>
      </c>
      <c r="V92" s="281">
        <f>SUM(V93:V94)</f>
        <v>67664</v>
      </c>
      <c r="X92" s="190">
        <f t="shared" si="15"/>
        <v>31860</v>
      </c>
    </row>
    <row r="93" spans="1:24" ht="12.75" customHeight="1">
      <c r="A93" s="250" t="s">
        <v>562</v>
      </c>
      <c r="B93" s="252">
        <v>450000</v>
      </c>
      <c r="C93" s="282">
        <v>178000</v>
      </c>
      <c r="D93" s="282">
        <f>'[10]Junijs'!$F$8</f>
        <v>98065</v>
      </c>
      <c r="E93" s="279">
        <f>D93/B93*100</f>
        <v>21.79222222222222</v>
      </c>
      <c r="F93" s="281">
        <f>D93-'[9]Maijs'!D93</f>
        <v>31860</v>
      </c>
      <c r="G93" s="250" t="s">
        <v>562</v>
      </c>
      <c r="H93" s="252">
        <f>ROUND(B93/1000,0)</f>
        <v>450</v>
      </c>
      <c r="I93" s="252">
        <f>ROUND(C93/1000,0)</f>
        <v>178</v>
      </c>
      <c r="J93" s="730">
        <f>ROUND(D93/1000,0)</f>
        <v>98</v>
      </c>
      <c r="K93" s="283">
        <f>J93/H93*100</f>
        <v>21.777777777777775</v>
      </c>
      <c r="L93" s="281">
        <f t="shared" si="19"/>
        <v>32</v>
      </c>
      <c r="N93" s="190">
        <v>98</v>
      </c>
      <c r="P93" s="190">
        <f>'[9]Maijs'!J93</f>
        <v>66</v>
      </c>
      <c r="R93" s="190">
        <f t="shared" si="14"/>
        <v>32</v>
      </c>
      <c r="T93" s="282">
        <f>'[10]Junijs'!$F$8</f>
        <v>98065</v>
      </c>
      <c r="V93" s="282">
        <f>'[10]Maijs'!$F$8</f>
        <v>66205</v>
      </c>
      <c r="X93" s="190">
        <f t="shared" si="15"/>
        <v>31860</v>
      </c>
    </row>
    <row r="94" spans="1:24" ht="12.75" customHeight="1">
      <c r="A94" s="250" t="s">
        <v>556</v>
      </c>
      <c r="B94" s="252">
        <v>250000</v>
      </c>
      <c r="C94" s="282">
        <v>10000</v>
      </c>
      <c r="D94" s="282">
        <f>'[10]Junijs'!$F$30</f>
        <v>1459</v>
      </c>
      <c r="E94" s="279"/>
      <c r="F94" s="281">
        <f>D94-'[9]Maijs'!D94</f>
        <v>0</v>
      </c>
      <c r="G94" s="250" t="s">
        <v>556</v>
      </c>
      <c r="H94" s="252">
        <f>ROUND(B94/1000,0)</f>
        <v>250</v>
      </c>
      <c r="I94" s="252">
        <f>ROUND(C94/1000,0)</f>
        <v>10</v>
      </c>
      <c r="J94" s="730">
        <f>ROUND(D94/1000,0)</f>
        <v>1</v>
      </c>
      <c r="K94" s="283">
        <f>J94/H94*100</f>
        <v>0.4</v>
      </c>
      <c r="L94" s="281">
        <f t="shared" si="19"/>
        <v>0</v>
      </c>
      <c r="N94" s="190">
        <v>1</v>
      </c>
      <c r="P94" s="190">
        <f>'[9]Maijs'!J94</f>
        <v>1</v>
      </c>
      <c r="R94" s="190">
        <f t="shared" si="14"/>
        <v>0</v>
      </c>
      <c r="T94" s="282">
        <f>'[10]Junijs'!$F$30</f>
        <v>1459</v>
      </c>
      <c r="V94" s="282">
        <f>'[10]Maijs'!$F$30</f>
        <v>1459</v>
      </c>
      <c r="X94" s="190">
        <f t="shared" si="15"/>
        <v>0</v>
      </c>
    </row>
    <row r="95" spans="1:24" ht="12.75" customHeight="1">
      <c r="A95" s="94" t="s">
        <v>596</v>
      </c>
      <c r="B95" s="281"/>
      <c r="C95" s="281"/>
      <c r="D95" s="281"/>
      <c r="E95" s="279"/>
      <c r="F95" s="281">
        <f>D95-'[9]Maijs'!D95</f>
        <v>0</v>
      </c>
      <c r="G95" s="94" t="s">
        <v>596</v>
      </c>
      <c r="H95" s="252"/>
      <c r="I95" s="252"/>
      <c r="J95" s="730"/>
      <c r="K95" s="283"/>
      <c r="L95" s="281"/>
      <c r="P95" s="190">
        <f>'[9]Maijs'!J95</f>
        <v>0</v>
      </c>
      <c r="R95" s="190">
        <f t="shared" si="14"/>
        <v>0</v>
      </c>
      <c r="T95" s="281"/>
      <c r="V95" s="281"/>
      <c r="X95" s="190">
        <f t="shared" si="15"/>
        <v>0</v>
      </c>
    </row>
    <row r="96" spans="1:24" ht="12.75" customHeight="1">
      <c r="A96" s="250" t="s">
        <v>559</v>
      </c>
      <c r="B96" s="252">
        <f>B97</f>
        <v>2000000</v>
      </c>
      <c r="C96" s="282">
        <v>567000</v>
      </c>
      <c r="D96" s="252">
        <f>D97</f>
        <v>1018800</v>
      </c>
      <c r="E96" s="279">
        <f>D96/B96*100</f>
        <v>50.94</v>
      </c>
      <c r="F96" s="281">
        <f>D96-'[9]Maijs'!D96</f>
        <v>221217</v>
      </c>
      <c r="G96" s="250" t="s">
        <v>559</v>
      </c>
      <c r="H96" s="252">
        <f>ROUND(B96/1000,0)</f>
        <v>2000</v>
      </c>
      <c r="I96" s="252">
        <f>ROUND(C96/1000,0)</f>
        <v>567</v>
      </c>
      <c r="J96" s="730">
        <f>J97</f>
        <v>1019</v>
      </c>
      <c r="K96" s="283">
        <f>J96/H96*100</f>
        <v>50.949999999999996</v>
      </c>
      <c r="L96" s="281">
        <f t="shared" si="19"/>
        <v>221</v>
      </c>
      <c r="N96" s="190">
        <v>1019</v>
      </c>
      <c r="P96" s="190">
        <f>'[9]Maijs'!J96</f>
        <v>798</v>
      </c>
      <c r="R96" s="190">
        <f t="shared" si="14"/>
        <v>221</v>
      </c>
      <c r="T96" s="252">
        <f>T97</f>
        <v>1018800</v>
      </c>
      <c r="V96" s="252">
        <f>V97</f>
        <v>797583</v>
      </c>
      <c r="X96" s="190">
        <f t="shared" si="15"/>
        <v>221217</v>
      </c>
    </row>
    <row r="97" spans="1:24" ht="12.75" customHeight="1">
      <c r="A97" s="250" t="s">
        <v>597</v>
      </c>
      <c r="B97" s="252">
        <v>2000000</v>
      </c>
      <c r="C97" s="282"/>
      <c r="D97" s="282">
        <f>'[10]Junijs'!$G$6</f>
        <v>1018800</v>
      </c>
      <c r="E97" s="279">
        <f>D97/B97*100</f>
        <v>50.94</v>
      </c>
      <c r="F97" s="281">
        <f>D97-'[9]Maijs'!D97</f>
        <v>221217</v>
      </c>
      <c r="G97" s="250" t="s">
        <v>597</v>
      </c>
      <c r="H97" s="252">
        <f>ROUND(B97/1000,0)</f>
        <v>2000</v>
      </c>
      <c r="I97" s="252"/>
      <c r="J97" s="730">
        <f>ROUND(D97/1000,0)</f>
        <v>1019</v>
      </c>
      <c r="K97" s="283">
        <f>J97/H97*100</f>
        <v>50.949999999999996</v>
      </c>
      <c r="L97" s="281">
        <f t="shared" si="19"/>
        <v>221</v>
      </c>
      <c r="N97" s="190">
        <v>1019</v>
      </c>
      <c r="P97" s="190">
        <f>'[9]Maijs'!J97</f>
        <v>798</v>
      </c>
      <c r="R97" s="190">
        <f t="shared" si="14"/>
        <v>221</v>
      </c>
      <c r="T97" s="282">
        <f>'[10]Junijs'!$G$6</f>
        <v>1018800</v>
      </c>
      <c r="V97" s="282">
        <f>'[10]Maijs'!$G$6</f>
        <v>797583</v>
      </c>
      <c r="X97" s="190">
        <f t="shared" si="15"/>
        <v>221217</v>
      </c>
    </row>
    <row r="98" spans="1:24" ht="12.75" customHeight="1">
      <c r="A98" s="250" t="s">
        <v>561</v>
      </c>
      <c r="B98" s="281">
        <f>SUM(B99:B100)</f>
        <v>2000000</v>
      </c>
      <c r="C98" s="281">
        <f>SUM(C99:C100)</f>
        <v>567000</v>
      </c>
      <c r="D98" s="281">
        <f>SUM(D99:D100)</f>
        <v>71395</v>
      </c>
      <c r="E98" s="279">
        <f>D98/B98*100</f>
        <v>3.56975</v>
      </c>
      <c r="F98" s="281">
        <f>D98-'[9]Maijs'!D98</f>
        <v>24962</v>
      </c>
      <c r="G98" s="250" t="s">
        <v>561</v>
      </c>
      <c r="H98" s="252">
        <f>ROUND(B98/1000,0)</f>
        <v>2000</v>
      </c>
      <c r="I98" s="282">
        <f>SUM(I99:I100)</f>
        <v>567</v>
      </c>
      <c r="J98" s="730">
        <f>SUM(J99:J100)</f>
        <v>71</v>
      </c>
      <c r="K98" s="283">
        <f>J98/H98*100</f>
        <v>3.55</v>
      </c>
      <c r="L98" s="281">
        <f t="shared" si="19"/>
        <v>25</v>
      </c>
      <c r="N98" s="190">
        <v>71</v>
      </c>
      <c r="P98" s="190">
        <f>'[9]Maijs'!J98</f>
        <v>46</v>
      </c>
      <c r="R98" s="190">
        <f t="shared" si="14"/>
        <v>25</v>
      </c>
      <c r="T98" s="281">
        <f>SUM(T99:T100)</f>
        <v>71395</v>
      </c>
      <c r="V98" s="281">
        <f>SUM(V99:V100)</f>
        <v>46433</v>
      </c>
      <c r="X98" s="190">
        <f t="shared" si="15"/>
        <v>24962</v>
      </c>
    </row>
    <row r="99" spans="1:24" ht="12.75" customHeight="1">
      <c r="A99" s="250" t="s">
        <v>562</v>
      </c>
      <c r="B99" s="252">
        <v>1000000</v>
      </c>
      <c r="C99" s="282">
        <v>447000</v>
      </c>
      <c r="D99" s="282"/>
      <c r="E99" s="279"/>
      <c r="F99" s="281">
        <f>D99-'[9]Maijs'!D99</f>
        <v>0</v>
      </c>
      <c r="G99" s="250" t="s">
        <v>562</v>
      </c>
      <c r="H99" s="252">
        <f>ROUND(B99/1000,0)</f>
        <v>1000</v>
      </c>
      <c r="I99" s="252">
        <f>ROUND(C99/1000,0)</f>
        <v>447</v>
      </c>
      <c r="J99" s="730"/>
      <c r="K99" s="283"/>
      <c r="L99" s="281">
        <f t="shared" si="19"/>
        <v>0</v>
      </c>
      <c r="P99" s="190">
        <f>'[9]Maijs'!J99</f>
        <v>0</v>
      </c>
      <c r="R99" s="190">
        <f t="shared" si="14"/>
        <v>0</v>
      </c>
      <c r="T99" s="282"/>
      <c r="V99" s="282"/>
      <c r="X99" s="190">
        <f t="shared" si="15"/>
        <v>0</v>
      </c>
    </row>
    <row r="100" spans="1:24" ht="12.75" customHeight="1">
      <c r="A100" s="250" t="s">
        <v>556</v>
      </c>
      <c r="B100" s="252">
        <v>1000000</v>
      </c>
      <c r="C100" s="282">
        <v>120000</v>
      </c>
      <c r="D100" s="282">
        <f>'[10]Junijs'!$G$30</f>
        <v>71395</v>
      </c>
      <c r="E100" s="279">
        <f>D100/B100*100</f>
        <v>7.1395</v>
      </c>
      <c r="F100" s="281">
        <f>D100-'[9]Maijs'!D100</f>
        <v>24962</v>
      </c>
      <c r="G100" s="250" t="s">
        <v>556</v>
      </c>
      <c r="H100" s="252">
        <f>ROUND(B100/1000,0)</f>
        <v>1000</v>
      </c>
      <c r="I100" s="252">
        <f>ROUND(C100/1000,0)</f>
        <v>120</v>
      </c>
      <c r="J100" s="730">
        <f>ROUND(D100/1000,0)</f>
        <v>71</v>
      </c>
      <c r="K100" s="283">
        <f>J100/H100*100</f>
        <v>7.1</v>
      </c>
      <c r="L100" s="281">
        <f t="shared" si="19"/>
        <v>25</v>
      </c>
      <c r="M100" s="139"/>
      <c r="N100" s="733">
        <v>71</v>
      </c>
      <c r="O100" s="139"/>
      <c r="P100" s="190">
        <f>'[9]Maijs'!J100</f>
        <v>46</v>
      </c>
      <c r="R100" s="190">
        <f t="shared" si="14"/>
        <v>25</v>
      </c>
      <c r="T100" s="282">
        <f>'[10]Junijs'!$G$30</f>
        <v>71395</v>
      </c>
      <c r="V100" s="282">
        <f>'[10]Maijs'!$G$30</f>
        <v>46433</v>
      </c>
      <c r="X100" s="190">
        <f t="shared" si="15"/>
        <v>24962</v>
      </c>
    </row>
    <row r="101" spans="1:24" ht="12.75" customHeight="1">
      <c r="A101" s="32" t="s">
        <v>420</v>
      </c>
      <c r="B101" s="281"/>
      <c r="C101" s="281"/>
      <c r="D101" s="250"/>
      <c r="E101" s="279"/>
      <c r="F101" s="281">
        <f>D101-'[9]Maijs'!D101</f>
        <v>0</v>
      </c>
      <c r="G101" s="32" t="s">
        <v>420</v>
      </c>
      <c r="H101" s="250"/>
      <c r="I101" s="250"/>
      <c r="J101" s="734"/>
      <c r="K101" s="283"/>
      <c r="L101" s="281"/>
      <c r="M101" s="86"/>
      <c r="N101" s="438"/>
      <c r="O101" s="86"/>
      <c r="P101" s="190">
        <f>'[9]Maijs'!J101</f>
        <v>0</v>
      </c>
      <c r="R101" s="190">
        <f t="shared" si="14"/>
        <v>0</v>
      </c>
      <c r="T101" s="250"/>
      <c r="V101" s="250"/>
      <c r="X101" s="190">
        <f t="shared" si="15"/>
        <v>0</v>
      </c>
    </row>
    <row r="102" spans="1:24" ht="12.75" customHeight="1">
      <c r="A102" s="286" t="s">
        <v>598</v>
      </c>
      <c r="B102" s="281"/>
      <c r="C102" s="281"/>
      <c r="D102" s="250"/>
      <c r="E102" s="279"/>
      <c r="F102" s="281">
        <f>D102-'[9]Maijs'!D102</f>
        <v>0</v>
      </c>
      <c r="G102" s="32" t="s">
        <v>598</v>
      </c>
      <c r="H102" s="250"/>
      <c r="I102" s="250"/>
      <c r="J102" s="734"/>
      <c r="K102" s="283"/>
      <c r="L102" s="281"/>
      <c r="M102" s="86"/>
      <c r="N102" s="438"/>
      <c r="O102" s="86"/>
      <c r="P102" s="190">
        <f>'[9]Maijs'!J102</f>
        <v>0</v>
      </c>
      <c r="R102" s="190">
        <f t="shared" si="14"/>
        <v>0</v>
      </c>
      <c r="T102" s="250"/>
      <c r="V102" s="250"/>
      <c r="X102" s="190">
        <f t="shared" si="15"/>
        <v>0</v>
      </c>
    </row>
    <row r="103" spans="1:24" ht="12.75" customHeight="1">
      <c r="A103" s="250" t="s">
        <v>559</v>
      </c>
      <c r="B103" s="281">
        <f>SUM(B104:B107)</f>
        <v>138355904</v>
      </c>
      <c r="C103" s="285">
        <f>59225328+7003474+1312332+310284+769360+267535+402331+66606+13000+35400</f>
        <v>69405650</v>
      </c>
      <c r="D103" s="281">
        <f>SUM(D104:D107)</f>
        <v>68486616</v>
      </c>
      <c r="E103" s="279">
        <f aca="true" t="shared" si="20" ref="E103:E113">D103/B103*100</f>
        <v>49.500320564563694</v>
      </c>
      <c r="F103" s="281">
        <f>D103-'[9]Maijs'!D103</f>
        <v>11552088</v>
      </c>
      <c r="G103" s="250" t="s">
        <v>559</v>
      </c>
      <c r="H103" s="252">
        <f>ROUND(B103/1000,0)</f>
        <v>138356</v>
      </c>
      <c r="I103" s="252">
        <f>ROUND(C103/1000,0)</f>
        <v>69406</v>
      </c>
      <c r="J103" s="730">
        <f>SUM(J104:J107)</f>
        <v>68487</v>
      </c>
      <c r="K103" s="283">
        <f>J103/H103*100</f>
        <v>49.50056376304606</v>
      </c>
      <c r="L103" s="281">
        <f t="shared" si="19"/>
        <v>11552</v>
      </c>
      <c r="N103" s="190">
        <v>68486</v>
      </c>
      <c r="P103" s="190">
        <f>'[9]Maijs'!J103</f>
        <v>56935</v>
      </c>
      <c r="R103" s="190">
        <f t="shared" si="14"/>
        <v>11551</v>
      </c>
      <c r="T103" s="281">
        <f>SUM(T104:T107)</f>
        <v>68485770</v>
      </c>
      <c r="V103" s="281">
        <f>SUM(V104:V107)</f>
        <v>56934528</v>
      </c>
      <c r="X103" s="190">
        <f t="shared" si="15"/>
        <v>11551242</v>
      </c>
    </row>
    <row r="104" spans="1:24" ht="12.75" customHeight="1">
      <c r="A104" s="250" t="s">
        <v>599</v>
      </c>
      <c r="B104" s="281">
        <v>80619197</v>
      </c>
      <c r="C104" s="285"/>
      <c r="D104" s="285">
        <v>38064351</v>
      </c>
      <c r="E104" s="279">
        <f t="shared" si="20"/>
        <v>47.21499644805442</v>
      </c>
      <c r="F104" s="281">
        <f>D104-'[9]Maijs'!D104</f>
        <v>6622873</v>
      </c>
      <c r="G104" s="250" t="s">
        <v>599</v>
      </c>
      <c r="H104" s="252">
        <f aca="true" t="shared" si="21" ref="H104:H113">ROUND(B104/1000,0)</f>
        <v>80619</v>
      </c>
      <c r="I104" s="252"/>
      <c r="J104" s="730">
        <f>ROUND(D104/1000,0)</f>
        <v>38064</v>
      </c>
      <c r="K104" s="283">
        <f>J104/H104*100</f>
        <v>47.214676441037476</v>
      </c>
      <c r="L104" s="281">
        <f t="shared" si="19"/>
        <v>6623</v>
      </c>
      <c r="N104" s="190">
        <v>38065</v>
      </c>
      <c r="P104" s="190">
        <f>'[9]Maijs'!J104</f>
        <v>31442</v>
      </c>
      <c r="R104" s="190">
        <f t="shared" si="14"/>
        <v>6623</v>
      </c>
      <c r="T104" s="285">
        <v>38064351</v>
      </c>
      <c r="V104" s="285">
        <v>31441478</v>
      </c>
      <c r="X104" s="190">
        <f t="shared" si="15"/>
        <v>6622873</v>
      </c>
    </row>
    <row r="105" spans="1:24" ht="12.75" customHeight="1">
      <c r="A105" s="250" t="s">
        <v>600</v>
      </c>
      <c r="B105" s="281">
        <v>54461193</v>
      </c>
      <c r="C105" s="285"/>
      <c r="D105" s="285">
        <v>28958831</v>
      </c>
      <c r="E105" s="279">
        <f t="shared" si="20"/>
        <v>53.17333206417274</v>
      </c>
      <c r="F105" s="281">
        <f>D105-'[9]Maijs'!D105</f>
        <v>4693953</v>
      </c>
      <c r="G105" s="250" t="s">
        <v>600</v>
      </c>
      <c r="H105" s="252">
        <f t="shared" si="21"/>
        <v>54461</v>
      </c>
      <c r="I105" s="252"/>
      <c r="J105" s="730">
        <f>ROUND(D105/1000,0)</f>
        <v>28959</v>
      </c>
      <c r="K105" s="283">
        <f>J105/H105*100</f>
        <v>53.173830814711444</v>
      </c>
      <c r="L105" s="281">
        <f t="shared" si="19"/>
        <v>4694</v>
      </c>
      <c r="N105" s="190">
        <v>28958</v>
      </c>
      <c r="P105" s="190">
        <f>'[9]Maijs'!J105</f>
        <v>24265</v>
      </c>
      <c r="R105" s="190">
        <f t="shared" si="14"/>
        <v>4693</v>
      </c>
      <c r="T105" s="285">
        <v>28957986</v>
      </c>
      <c r="V105" s="285">
        <f>24966425-701547</f>
        <v>24264878</v>
      </c>
      <c r="X105" s="190">
        <f t="shared" si="15"/>
        <v>4693108</v>
      </c>
    </row>
    <row r="106" spans="1:24" ht="12.75" customHeight="1">
      <c r="A106" s="290" t="s">
        <v>469</v>
      </c>
      <c r="B106" s="281">
        <v>3209846</v>
      </c>
      <c r="C106" s="285"/>
      <c r="D106" s="285">
        <v>1463434</v>
      </c>
      <c r="E106" s="279">
        <f t="shared" si="20"/>
        <v>45.592031518022985</v>
      </c>
      <c r="F106" s="281">
        <f>D106-'[9]Maijs'!D106</f>
        <v>235262</v>
      </c>
      <c r="G106" s="127" t="s">
        <v>469</v>
      </c>
      <c r="H106" s="252">
        <f t="shared" si="21"/>
        <v>3210</v>
      </c>
      <c r="I106" s="252"/>
      <c r="J106" s="730">
        <f>ROUND(D106/1000,0)+1</f>
        <v>1464</v>
      </c>
      <c r="K106" s="283">
        <f>J106/H106*100</f>
        <v>45.60747663551402</v>
      </c>
      <c r="L106" s="281">
        <f t="shared" si="19"/>
        <v>235</v>
      </c>
      <c r="N106" s="190">
        <v>1463</v>
      </c>
      <c r="P106" s="190">
        <f>'[9]Maijs'!J106</f>
        <v>1228</v>
      </c>
      <c r="R106" s="190">
        <f t="shared" si="14"/>
        <v>235</v>
      </c>
      <c r="T106" s="285">
        <v>1463433</v>
      </c>
      <c r="V106" s="285">
        <v>1228172</v>
      </c>
      <c r="X106" s="190">
        <f t="shared" si="15"/>
        <v>235261</v>
      </c>
    </row>
    <row r="107" spans="1:24" ht="12.75" customHeight="1">
      <c r="A107" s="250" t="s">
        <v>470</v>
      </c>
      <c r="B107" s="281">
        <v>65668</v>
      </c>
      <c r="C107" s="285"/>
      <c r="D107" s="285"/>
      <c r="E107" s="279">
        <f t="shared" si="20"/>
        <v>0</v>
      </c>
      <c r="F107" s="281">
        <f>D107-'[9]Maijs'!D107</f>
        <v>0</v>
      </c>
      <c r="G107" s="250" t="s">
        <v>470</v>
      </c>
      <c r="H107" s="252">
        <f t="shared" si="21"/>
        <v>66</v>
      </c>
      <c r="I107" s="252"/>
      <c r="J107" s="730"/>
      <c r="K107" s="283"/>
      <c r="L107" s="281"/>
      <c r="P107" s="190">
        <f>'[9]Maijs'!J107</f>
        <v>0</v>
      </c>
      <c r="R107" s="190">
        <f t="shared" si="14"/>
        <v>0</v>
      </c>
      <c r="T107" s="285"/>
      <c r="V107" s="285"/>
      <c r="X107" s="190">
        <f t="shared" si="15"/>
        <v>0</v>
      </c>
    </row>
    <row r="108" spans="1:24" ht="12.75" customHeight="1">
      <c r="A108" s="250" t="s">
        <v>561</v>
      </c>
      <c r="B108" s="281">
        <f>B109+B111</f>
        <v>141458002</v>
      </c>
      <c r="C108" s="281">
        <f>C109+C111</f>
        <v>73168332</v>
      </c>
      <c r="D108" s="281">
        <f>D109+D111</f>
        <v>70181744</v>
      </c>
      <c r="E108" s="279">
        <f t="shared" si="20"/>
        <v>49.613131111522414</v>
      </c>
      <c r="F108" s="281">
        <f>D108-'[9]Maijs'!D108</f>
        <v>11737731</v>
      </c>
      <c r="G108" s="250" t="s">
        <v>561</v>
      </c>
      <c r="H108" s="252">
        <f t="shared" si="21"/>
        <v>141458</v>
      </c>
      <c r="I108" s="282">
        <f>SUM(I109,I111)</f>
        <v>73168</v>
      </c>
      <c r="J108" s="730">
        <f>SUM(J109,J111)</f>
        <v>70181</v>
      </c>
      <c r="K108" s="283">
        <f aca="true" t="shared" si="22" ref="K108:K113">J108/H108*100</f>
        <v>49.61260586181057</v>
      </c>
      <c r="L108" s="281">
        <f t="shared" si="19"/>
        <v>11738</v>
      </c>
      <c r="N108" s="190">
        <v>70181</v>
      </c>
      <c r="P108" s="190">
        <f>'[9]Maijs'!J108</f>
        <v>58444</v>
      </c>
      <c r="R108" s="190">
        <f t="shared" si="14"/>
        <v>11737</v>
      </c>
      <c r="T108" s="281">
        <f>T109+T111</f>
        <v>70181744</v>
      </c>
      <c r="V108" s="281">
        <f>V109+V111</f>
        <v>58444013</v>
      </c>
      <c r="X108" s="190">
        <f t="shared" si="15"/>
        <v>11737731</v>
      </c>
    </row>
    <row r="109" spans="1:24" ht="12.75" customHeight="1">
      <c r="A109" s="250" t="s">
        <v>562</v>
      </c>
      <c r="B109" s="281">
        <v>137124381</v>
      </c>
      <c r="C109" s="282">
        <v>70483228</v>
      </c>
      <c r="D109" s="285">
        <f>'[10]Junijs'!$D$8</f>
        <v>68893468</v>
      </c>
      <c r="E109" s="279">
        <f t="shared" si="20"/>
        <v>50.241589057747504</v>
      </c>
      <c r="F109" s="281">
        <f>D109-'[9]Maijs'!D109</f>
        <v>11503299</v>
      </c>
      <c r="G109" s="250" t="s">
        <v>562</v>
      </c>
      <c r="H109" s="252">
        <f t="shared" si="21"/>
        <v>137124</v>
      </c>
      <c r="I109" s="252">
        <f>ROUND(C109/1000,0)</f>
        <v>70483</v>
      </c>
      <c r="J109" s="730">
        <f>ROUND(D109/1000,0)</f>
        <v>68893</v>
      </c>
      <c r="K109" s="283">
        <f t="shared" si="22"/>
        <v>50.241387357428316</v>
      </c>
      <c r="L109" s="281">
        <f t="shared" si="19"/>
        <v>11503</v>
      </c>
      <c r="N109" s="190">
        <v>68893</v>
      </c>
      <c r="P109" s="190">
        <f>'[9]Maijs'!J109</f>
        <v>57390</v>
      </c>
      <c r="R109" s="190">
        <f t="shared" si="14"/>
        <v>11503</v>
      </c>
      <c r="T109" s="285">
        <f>'[10]Junijs'!$D$8</f>
        <v>68893468</v>
      </c>
      <c r="V109" s="285">
        <f>'[10]Maijs'!$D$8</f>
        <v>57390169</v>
      </c>
      <c r="X109" s="190">
        <f t="shared" si="15"/>
        <v>11503299</v>
      </c>
    </row>
    <row r="110" spans="1:24" ht="12.75" customHeight="1">
      <c r="A110" s="284" t="s">
        <v>593</v>
      </c>
      <c r="B110" s="281">
        <v>1288396</v>
      </c>
      <c r="C110" s="285"/>
      <c r="D110" s="735">
        <v>625081</v>
      </c>
      <c r="E110" s="279">
        <f t="shared" si="20"/>
        <v>48.51621706369781</v>
      </c>
      <c r="F110" s="281">
        <f>D110-'[9]Maijs'!D110</f>
        <v>114431</v>
      </c>
      <c r="G110" s="284" t="s">
        <v>593</v>
      </c>
      <c r="H110" s="252">
        <f t="shared" si="21"/>
        <v>1288</v>
      </c>
      <c r="I110" s="252"/>
      <c r="J110" s="730">
        <f>ROUND(D110/1000,0)</f>
        <v>625</v>
      </c>
      <c r="K110" s="283">
        <f t="shared" si="22"/>
        <v>48.524844720496894</v>
      </c>
      <c r="L110" s="281">
        <f t="shared" si="19"/>
        <v>114</v>
      </c>
      <c r="N110" s="190">
        <v>0</v>
      </c>
      <c r="P110" s="190">
        <f>'[9]Maijs'!J110</f>
        <v>511</v>
      </c>
      <c r="R110" s="190">
        <f t="shared" si="14"/>
        <v>-511</v>
      </c>
      <c r="T110" s="285"/>
      <c r="V110" s="285">
        <v>510650</v>
      </c>
      <c r="X110" s="190">
        <f t="shared" si="15"/>
        <v>-510650</v>
      </c>
    </row>
    <row r="111" spans="1:24" ht="12.75" customHeight="1">
      <c r="A111" s="250" t="s">
        <v>556</v>
      </c>
      <c r="B111" s="281">
        <v>4333621</v>
      </c>
      <c r="C111" s="282">
        <v>2685104</v>
      </c>
      <c r="D111" s="285">
        <f>'[10]Junijs'!$D$30</f>
        <v>1288276</v>
      </c>
      <c r="E111" s="279">
        <f t="shared" si="20"/>
        <v>29.727472707004143</v>
      </c>
      <c r="F111" s="281">
        <f>D111-'[9]Maijs'!D111</f>
        <v>234432</v>
      </c>
      <c r="G111" s="250" t="s">
        <v>556</v>
      </c>
      <c r="H111" s="252">
        <f t="shared" si="21"/>
        <v>4334</v>
      </c>
      <c r="I111" s="252">
        <f>ROUND(C111/1000,0)</f>
        <v>2685</v>
      </c>
      <c r="J111" s="730">
        <f>ROUND(D111/1000,0)</f>
        <v>1288</v>
      </c>
      <c r="K111" s="283">
        <f t="shared" si="22"/>
        <v>29.7185048454084</v>
      </c>
      <c r="L111" s="281">
        <f t="shared" si="19"/>
        <v>234</v>
      </c>
      <c r="N111" s="190">
        <v>1288</v>
      </c>
      <c r="P111" s="190">
        <f>'[9]Maijs'!J111</f>
        <v>1054</v>
      </c>
      <c r="R111" s="190">
        <f t="shared" si="14"/>
        <v>234</v>
      </c>
      <c r="T111" s="285">
        <f>'[10]Junijs'!$D$30</f>
        <v>1288276</v>
      </c>
      <c r="V111" s="285">
        <f>'[10]Maijs'!$D$30</f>
        <v>1053844</v>
      </c>
      <c r="X111" s="190">
        <f t="shared" si="15"/>
        <v>234432</v>
      </c>
    </row>
    <row r="112" spans="1:24" ht="12.75" customHeight="1">
      <c r="A112" s="250" t="s">
        <v>395</v>
      </c>
      <c r="B112" s="281">
        <f>B103-B108</f>
        <v>-3102098</v>
      </c>
      <c r="C112" s="281">
        <f>C103-C108</f>
        <v>-3762682</v>
      </c>
      <c r="D112" s="281">
        <f>D103-D108</f>
        <v>-1695128</v>
      </c>
      <c r="E112" s="279">
        <f t="shared" si="20"/>
        <v>54.64456635477022</v>
      </c>
      <c r="F112" s="281">
        <f>D112-'[9]Maijs'!D112</f>
        <v>-185643</v>
      </c>
      <c r="G112" s="250" t="s">
        <v>395</v>
      </c>
      <c r="H112" s="252">
        <f t="shared" si="21"/>
        <v>-3102</v>
      </c>
      <c r="I112" s="252">
        <f>ROUND(C112/1000,0)</f>
        <v>-3763</v>
      </c>
      <c r="J112" s="730">
        <f>J103-J108</f>
        <v>-1694</v>
      </c>
      <c r="K112" s="283">
        <f t="shared" si="22"/>
        <v>54.60992907801418</v>
      </c>
      <c r="L112" s="281">
        <f t="shared" si="19"/>
        <v>-186</v>
      </c>
      <c r="N112" s="190">
        <v>-1695</v>
      </c>
      <c r="P112" s="190">
        <f>'[9]Maijs'!J112</f>
        <v>-1509</v>
      </c>
      <c r="R112" s="190">
        <f t="shared" si="14"/>
        <v>-186</v>
      </c>
      <c r="T112" s="281">
        <f>T103-T108</f>
        <v>-1695974</v>
      </c>
      <c r="V112" s="281">
        <f>V103-V108</f>
        <v>-1509485</v>
      </c>
      <c r="X112" s="190">
        <f t="shared" si="15"/>
        <v>-186489</v>
      </c>
    </row>
    <row r="113" spans="1:24" ht="12.75" customHeight="1">
      <c r="A113" s="290" t="s">
        <v>586</v>
      </c>
      <c r="B113" s="281">
        <v>3102098</v>
      </c>
      <c r="C113" s="285">
        <f>80000+383300+157298+90000+96500+95000</f>
        <v>902098</v>
      </c>
      <c r="D113" s="285">
        <f>'[10]Junijs'!$D$43</f>
        <v>830208</v>
      </c>
      <c r="E113" s="279">
        <f t="shared" si="20"/>
        <v>26.76279085960534</v>
      </c>
      <c r="F113" s="281">
        <f>D113-'[9]Maijs'!D113</f>
        <v>128661</v>
      </c>
      <c r="G113" s="250" t="s">
        <v>586</v>
      </c>
      <c r="H113" s="252">
        <f t="shared" si="21"/>
        <v>3102</v>
      </c>
      <c r="I113" s="252">
        <f>ROUND(C113/1000,0)</f>
        <v>902</v>
      </c>
      <c r="J113" s="730">
        <f>ROUND(D113/1000,0)</f>
        <v>830</v>
      </c>
      <c r="K113" s="283">
        <f t="shared" si="22"/>
        <v>26.756931012250163</v>
      </c>
      <c r="L113" s="281">
        <f t="shared" si="19"/>
        <v>129</v>
      </c>
      <c r="N113" s="190">
        <v>830</v>
      </c>
      <c r="P113" s="190">
        <f>'[9]Maijs'!J113</f>
        <v>702</v>
      </c>
      <c r="R113" s="190">
        <f t="shared" si="14"/>
        <v>128</v>
      </c>
      <c r="T113" s="285">
        <f>'[10]Junijs'!$D$43</f>
        <v>830208</v>
      </c>
      <c r="V113" s="285">
        <f>'[10]Maijs'!$D$43</f>
        <v>701547</v>
      </c>
      <c r="X113" s="190">
        <f t="shared" si="15"/>
        <v>128661</v>
      </c>
    </row>
    <row r="114" spans="1:24" ht="12.75" customHeight="1">
      <c r="A114" s="244" t="s">
        <v>601</v>
      </c>
      <c r="B114" s="281"/>
      <c r="C114" s="281"/>
      <c r="D114" s="281"/>
      <c r="E114" s="279"/>
      <c r="F114" s="281">
        <f>D114-'[9]Maijs'!D114</f>
        <v>0</v>
      </c>
      <c r="G114" s="244" t="s">
        <v>601</v>
      </c>
      <c r="H114" s="252"/>
      <c r="I114" s="252"/>
      <c r="J114" s="730"/>
      <c r="K114" s="283"/>
      <c r="L114" s="281"/>
      <c r="P114" s="190">
        <f>'[9]Maijs'!J114</f>
        <v>0</v>
      </c>
      <c r="R114" s="190">
        <f t="shared" si="14"/>
        <v>0</v>
      </c>
      <c r="T114" s="281"/>
      <c r="V114" s="281"/>
      <c r="X114" s="190">
        <f t="shared" si="15"/>
        <v>0</v>
      </c>
    </row>
    <row r="115" spans="1:24" ht="12.75" customHeight="1">
      <c r="A115" s="250" t="s">
        <v>559</v>
      </c>
      <c r="B115" s="281">
        <f>SUM(B116:B118)</f>
        <v>503125370</v>
      </c>
      <c r="C115" s="285">
        <f>37020270+37889203+39825423+40449323+42619883+42381558</f>
        <v>240185660</v>
      </c>
      <c r="D115" s="281">
        <f>SUM(D116:D118)</f>
        <v>238334608</v>
      </c>
      <c r="E115" s="279">
        <f aca="true" t="shared" si="23" ref="E115:E120">D115/B115*100</f>
        <v>47.37081892729838</v>
      </c>
      <c r="F115" s="281">
        <f>D115-'[9]Maijs'!D115</f>
        <v>38306233</v>
      </c>
      <c r="G115" s="250" t="s">
        <v>559</v>
      </c>
      <c r="H115" s="252">
        <f aca="true" t="shared" si="24" ref="H115:I124">ROUND(B115/1000,0)</f>
        <v>503125</v>
      </c>
      <c r="I115" s="252">
        <f t="shared" si="24"/>
        <v>240186</v>
      </c>
      <c r="J115" s="730">
        <f>SUM(J116:J118)</f>
        <v>238335</v>
      </c>
      <c r="K115" s="283">
        <f aca="true" t="shared" si="25" ref="K115:K120">J115/H115*100</f>
        <v>47.37093167701863</v>
      </c>
      <c r="L115" s="281">
        <f t="shared" si="19"/>
        <v>38306</v>
      </c>
      <c r="N115" s="190">
        <v>238334</v>
      </c>
      <c r="P115" s="190">
        <f>'[9]Maijs'!J115</f>
        <v>200028</v>
      </c>
      <c r="R115" s="190">
        <f t="shared" si="14"/>
        <v>38306</v>
      </c>
      <c r="T115" s="281">
        <f>SUM(T116:T118)</f>
        <v>238334608</v>
      </c>
      <c r="V115" s="281">
        <f>SUM(V116:V118)</f>
        <v>200028375</v>
      </c>
      <c r="X115" s="190">
        <f t="shared" si="15"/>
        <v>38306233</v>
      </c>
    </row>
    <row r="116" spans="1:24" ht="12.75" customHeight="1">
      <c r="A116" s="250" t="s">
        <v>602</v>
      </c>
      <c r="B116" s="252">
        <v>495585390</v>
      </c>
      <c r="C116" s="282"/>
      <c r="D116" s="282">
        <v>234079494</v>
      </c>
      <c r="E116" s="279">
        <f t="shared" si="23"/>
        <v>47.232928718903516</v>
      </c>
      <c r="F116" s="281">
        <f>D116-'[9]Maijs'!D116</f>
        <v>37669179</v>
      </c>
      <c r="G116" s="250" t="s">
        <v>602</v>
      </c>
      <c r="H116" s="252">
        <f t="shared" si="24"/>
        <v>495585</v>
      </c>
      <c r="I116" s="252">
        <f t="shared" si="24"/>
        <v>0</v>
      </c>
      <c r="J116" s="730">
        <f>ROUND(D116/1000,0)+1</f>
        <v>234080</v>
      </c>
      <c r="K116" s="283">
        <f t="shared" si="25"/>
        <v>47.23306799035483</v>
      </c>
      <c r="L116" s="281">
        <f t="shared" si="19"/>
        <v>37669</v>
      </c>
      <c r="N116" s="190">
        <v>234079</v>
      </c>
      <c r="P116" s="190">
        <f>'[9]Maijs'!J116</f>
        <v>196410</v>
      </c>
      <c r="R116" s="190">
        <f t="shared" si="14"/>
        <v>37669</v>
      </c>
      <c r="T116" s="282">
        <v>234079494</v>
      </c>
      <c r="V116" s="282">
        <v>196410315</v>
      </c>
      <c r="X116" s="190">
        <f t="shared" si="15"/>
        <v>37669179</v>
      </c>
    </row>
    <row r="117" spans="1:24" ht="12.75" customHeight="1">
      <c r="A117" s="250" t="s">
        <v>603</v>
      </c>
      <c r="B117" s="252">
        <v>6592694</v>
      </c>
      <c r="C117" s="282"/>
      <c r="D117" s="282">
        <v>3174196</v>
      </c>
      <c r="E117" s="279">
        <f t="shared" si="23"/>
        <v>48.1471762529855</v>
      </c>
      <c r="F117" s="281">
        <f>D117-'[9]Maijs'!D117</f>
        <v>596433</v>
      </c>
      <c r="G117" s="250" t="s">
        <v>603</v>
      </c>
      <c r="H117" s="252">
        <f t="shared" si="24"/>
        <v>6593</v>
      </c>
      <c r="I117" s="252">
        <f t="shared" si="24"/>
        <v>0</v>
      </c>
      <c r="J117" s="730">
        <f>ROUND(D117/1000,0)</f>
        <v>3174</v>
      </c>
      <c r="K117" s="283">
        <f t="shared" si="25"/>
        <v>48.14196875473988</v>
      </c>
      <c r="L117" s="281">
        <f t="shared" si="19"/>
        <v>596</v>
      </c>
      <c r="N117" s="190">
        <v>3174</v>
      </c>
      <c r="P117" s="190">
        <f>'[9]Maijs'!J117</f>
        <v>2578</v>
      </c>
      <c r="R117" s="190">
        <f t="shared" si="14"/>
        <v>596</v>
      </c>
      <c r="T117" s="282">
        <v>3174196</v>
      </c>
      <c r="V117" s="282">
        <v>2577763</v>
      </c>
      <c r="X117" s="190">
        <f t="shared" si="15"/>
        <v>596433</v>
      </c>
    </row>
    <row r="118" spans="1:24" ht="12.75" customHeight="1">
      <c r="A118" s="250" t="s">
        <v>604</v>
      </c>
      <c r="B118" s="252">
        <f>7539980-B117</f>
        <v>947286</v>
      </c>
      <c r="C118" s="282"/>
      <c r="D118" s="282">
        <f>4255114-3174196</f>
        <v>1080918</v>
      </c>
      <c r="E118" s="279">
        <f t="shared" si="23"/>
        <v>114.10682729397456</v>
      </c>
      <c r="F118" s="281">
        <f>D118-'[9]Maijs'!D118</f>
        <v>40621</v>
      </c>
      <c r="G118" s="250" t="s">
        <v>604</v>
      </c>
      <c r="H118" s="252">
        <f t="shared" si="24"/>
        <v>947</v>
      </c>
      <c r="I118" s="252">
        <f t="shared" si="24"/>
        <v>0</v>
      </c>
      <c r="J118" s="730">
        <f>ROUND(D118/1000,0)</f>
        <v>1081</v>
      </c>
      <c r="K118" s="283">
        <f t="shared" si="25"/>
        <v>114.14994720168954</v>
      </c>
      <c r="L118" s="281">
        <f t="shared" si="19"/>
        <v>41</v>
      </c>
      <c r="N118" s="190">
        <v>1081</v>
      </c>
      <c r="P118" s="190">
        <f>'[9]Maijs'!J118</f>
        <v>1040</v>
      </c>
      <c r="R118" s="190">
        <f t="shared" si="14"/>
        <v>41</v>
      </c>
      <c r="T118" s="282">
        <f>4255114-3174196</f>
        <v>1080918</v>
      </c>
      <c r="V118" s="282">
        <f>3618060-V117</f>
        <v>1040297</v>
      </c>
      <c r="X118" s="190">
        <f t="shared" si="15"/>
        <v>40621</v>
      </c>
    </row>
    <row r="119" spans="1:24" ht="12.75" customHeight="1">
      <c r="A119" s="250" t="s">
        <v>605</v>
      </c>
      <c r="B119" s="281">
        <f>B120+B122</f>
        <v>531273828</v>
      </c>
      <c r="C119" s="281">
        <f>C120+C122</f>
        <v>264553399</v>
      </c>
      <c r="D119" s="281">
        <f>D120+D122</f>
        <v>246684241</v>
      </c>
      <c r="E119" s="279">
        <f t="shared" si="23"/>
        <v>46.43259803116068</v>
      </c>
      <c r="F119" s="281">
        <f>D119-'[9]Maijs'!D119</f>
        <v>37134978</v>
      </c>
      <c r="G119" s="250" t="s">
        <v>138</v>
      </c>
      <c r="H119" s="252">
        <f t="shared" si="24"/>
        <v>531274</v>
      </c>
      <c r="I119" s="282">
        <f>I120+I122</f>
        <v>264553</v>
      </c>
      <c r="J119" s="730">
        <f>J120+J122</f>
        <v>246684</v>
      </c>
      <c r="K119" s="283">
        <f t="shared" si="25"/>
        <v>46.4325376359468</v>
      </c>
      <c r="L119" s="281">
        <f>ROUND(F119/1000,0)+1</f>
        <v>37136</v>
      </c>
      <c r="N119" s="190">
        <v>246684</v>
      </c>
      <c r="P119" s="190">
        <f>'[9]Maijs'!J119</f>
        <v>209549</v>
      </c>
      <c r="R119" s="190">
        <f t="shared" si="14"/>
        <v>37135</v>
      </c>
      <c r="T119" s="281">
        <f>T120+T122</f>
        <v>246684241</v>
      </c>
      <c r="V119" s="281">
        <f>V120+V122</f>
        <v>209549263</v>
      </c>
      <c r="X119" s="190">
        <f t="shared" si="15"/>
        <v>37134978</v>
      </c>
    </row>
    <row r="120" spans="1:24" ht="12.75" customHeight="1">
      <c r="A120" s="250" t="s">
        <v>562</v>
      </c>
      <c r="B120" s="252">
        <v>527848828</v>
      </c>
      <c r="C120" s="282">
        <f>45260560+43818270+42609997+44770545+44388715+42191312</f>
        <v>263039399</v>
      </c>
      <c r="D120" s="282">
        <f>'[10]Junijs'!$C$8</f>
        <v>246189774</v>
      </c>
      <c r="E120" s="279">
        <f t="shared" si="23"/>
        <v>46.64020472164428</v>
      </c>
      <c r="F120" s="281">
        <f>D120-'[9]Maijs'!D120</f>
        <v>36936468</v>
      </c>
      <c r="G120" s="250" t="s">
        <v>562</v>
      </c>
      <c r="H120" s="252">
        <f t="shared" si="24"/>
        <v>527849</v>
      </c>
      <c r="I120" s="252">
        <f>ROUND(C120/1000,0)</f>
        <v>263039</v>
      </c>
      <c r="J120" s="730">
        <f>ROUND(D120/1000,0)</f>
        <v>246190</v>
      </c>
      <c r="K120" s="283">
        <f t="shared" si="25"/>
        <v>46.640232339172755</v>
      </c>
      <c r="L120" s="281">
        <f>ROUND(F120/1000,0)+1</f>
        <v>36937</v>
      </c>
      <c r="N120" s="190">
        <v>246190</v>
      </c>
      <c r="P120" s="190">
        <f>'[9]Maijs'!J120</f>
        <v>209253</v>
      </c>
      <c r="R120" s="190">
        <f t="shared" si="14"/>
        <v>36937</v>
      </c>
      <c r="T120" s="282">
        <f>'[10]Junijs'!$C$8</f>
        <v>246189774</v>
      </c>
      <c r="V120" s="282">
        <f>'[10]Maijs'!$C$8</f>
        <v>209253306</v>
      </c>
      <c r="X120" s="190">
        <f t="shared" si="15"/>
        <v>36936468</v>
      </c>
    </row>
    <row r="121" spans="1:24" ht="12.75" customHeight="1">
      <c r="A121" s="284" t="s">
        <v>593</v>
      </c>
      <c r="B121" s="252">
        <v>10782</v>
      </c>
      <c r="C121" s="282"/>
      <c r="D121" s="282">
        <f>'[10]Junijs'!$C$15</f>
        <v>0</v>
      </c>
      <c r="E121" s="279"/>
      <c r="F121" s="281">
        <f>D121-'[9]Maijs'!D121</f>
        <v>0</v>
      </c>
      <c r="G121" s="284" t="s">
        <v>593</v>
      </c>
      <c r="H121" s="252">
        <f t="shared" si="24"/>
        <v>11</v>
      </c>
      <c r="I121" s="252"/>
      <c r="J121" s="730"/>
      <c r="K121" s="283"/>
      <c r="L121" s="281"/>
      <c r="P121" s="190">
        <f>'[9]Maijs'!J121</f>
        <v>0</v>
      </c>
      <c r="R121" s="190">
        <f t="shared" si="14"/>
        <v>0</v>
      </c>
      <c r="T121" s="282">
        <f>'[10]Junijs'!$C$15</f>
        <v>0</v>
      </c>
      <c r="V121" s="282">
        <f>'[10]Maijs'!$C$15</f>
        <v>0</v>
      </c>
      <c r="X121" s="190">
        <f t="shared" si="15"/>
        <v>0</v>
      </c>
    </row>
    <row r="122" spans="1:24" ht="12.75" customHeight="1">
      <c r="A122" s="250" t="s">
        <v>556</v>
      </c>
      <c r="B122" s="252">
        <v>3425000</v>
      </c>
      <c r="C122" s="282">
        <f>234780+215420+194320+168470+222820+478190</f>
        <v>1514000</v>
      </c>
      <c r="D122" s="282">
        <f>'[10]Junijs'!$C$30</f>
        <v>494467</v>
      </c>
      <c r="E122" s="279">
        <f>D122/B122*100</f>
        <v>14.436992700729927</v>
      </c>
      <c r="F122" s="281">
        <f>D122-'[9]Maijs'!D122</f>
        <v>198510</v>
      </c>
      <c r="G122" s="250" t="s">
        <v>556</v>
      </c>
      <c r="H122" s="252">
        <f t="shared" si="24"/>
        <v>3425</v>
      </c>
      <c r="I122" s="252">
        <f>ROUND(C122/1000,0)</f>
        <v>1514</v>
      </c>
      <c r="J122" s="730">
        <f>ROUND(D122/1000,0)</f>
        <v>494</v>
      </c>
      <c r="K122" s="283">
        <f>J122/H122*100</f>
        <v>14.423357664233578</v>
      </c>
      <c r="L122" s="281">
        <f t="shared" si="19"/>
        <v>199</v>
      </c>
      <c r="N122" s="190">
        <v>494</v>
      </c>
      <c r="P122" s="190">
        <f>'[9]Maijs'!J122</f>
        <v>296</v>
      </c>
      <c r="R122" s="190">
        <f t="shared" si="14"/>
        <v>198</v>
      </c>
      <c r="T122" s="282">
        <f>'[10]Junijs'!$C$30</f>
        <v>494467</v>
      </c>
      <c r="V122" s="282">
        <f>'[10]Maijs'!$C$30</f>
        <v>295957</v>
      </c>
      <c r="X122" s="190">
        <f t="shared" si="15"/>
        <v>198510</v>
      </c>
    </row>
    <row r="123" spans="1:24" ht="12.75" customHeight="1">
      <c r="A123" s="250" t="s">
        <v>395</v>
      </c>
      <c r="B123" s="252">
        <f>B115-B119</f>
        <v>-28148458</v>
      </c>
      <c r="C123" s="252">
        <f>C115-C119</f>
        <v>-24367739</v>
      </c>
      <c r="D123" s="252">
        <f>D115-D119</f>
        <v>-8349633</v>
      </c>
      <c r="E123" s="279">
        <f>D123/B123*100</f>
        <v>29.66284334296394</v>
      </c>
      <c r="F123" s="281">
        <f>D123-'[9]Maijs'!D123</f>
        <v>1171255</v>
      </c>
      <c r="G123" s="250" t="s">
        <v>395</v>
      </c>
      <c r="H123" s="252">
        <f t="shared" si="24"/>
        <v>-28148</v>
      </c>
      <c r="I123" s="252"/>
      <c r="J123" s="730">
        <f>J115-J119</f>
        <v>-8349</v>
      </c>
      <c r="K123" s="283"/>
      <c r="L123" s="281">
        <f t="shared" si="19"/>
        <v>1171</v>
      </c>
      <c r="N123" s="190">
        <v>-8350</v>
      </c>
      <c r="P123" s="190">
        <f>'[9]Maijs'!J123</f>
        <v>-9521</v>
      </c>
      <c r="R123" s="190">
        <f t="shared" si="14"/>
        <v>1171</v>
      </c>
      <c r="T123" s="252">
        <f>T115-T119</f>
        <v>-8349633</v>
      </c>
      <c r="V123" s="252">
        <f>V115-V119</f>
        <v>-9520888</v>
      </c>
      <c r="X123" s="190">
        <f t="shared" si="15"/>
        <v>1171255</v>
      </c>
    </row>
    <row r="124" spans="1:24" ht="12.75" customHeight="1">
      <c r="A124" s="250" t="s">
        <v>586</v>
      </c>
      <c r="B124" s="252">
        <v>28211768</v>
      </c>
      <c r="C124" s="282">
        <f>C133+C142+C157+C167</f>
        <v>24455141</v>
      </c>
      <c r="D124" s="282">
        <f>'[10]Junijs'!$C$39+'[10]Junijs'!$C$43</f>
        <v>11503277</v>
      </c>
      <c r="E124" s="279">
        <f>D124/B124*100</f>
        <v>40.77474690703539</v>
      </c>
      <c r="F124" s="281">
        <f>D124-'[9]Maijs'!D124</f>
        <v>-1164446</v>
      </c>
      <c r="G124" s="250" t="s">
        <v>586</v>
      </c>
      <c r="H124" s="252">
        <f t="shared" si="24"/>
        <v>28212</v>
      </c>
      <c r="I124" s="252"/>
      <c r="J124" s="730">
        <f>ROUND(D124/1000,0)</f>
        <v>11503</v>
      </c>
      <c r="K124" s="283">
        <f>J124/H124*100</f>
        <v>40.77342974620729</v>
      </c>
      <c r="L124" s="281">
        <f t="shared" si="19"/>
        <v>-1164</v>
      </c>
      <c r="N124" s="190">
        <v>11503</v>
      </c>
      <c r="P124" s="190">
        <f>'[9]Maijs'!J124</f>
        <v>12668</v>
      </c>
      <c r="R124" s="190">
        <f t="shared" si="14"/>
        <v>-1165</v>
      </c>
      <c r="T124" s="282">
        <f>'[10]Junijs'!$C$39+'[10]Junijs'!$C$43</f>
        <v>11503277</v>
      </c>
      <c r="V124" s="282">
        <f>'[10]Maijs'!$C$39+'[10]Maijs'!$C$43</f>
        <v>12667723</v>
      </c>
      <c r="X124" s="190">
        <f t="shared" si="15"/>
        <v>-1164446</v>
      </c>
    </row>
    <row r="125" spans="1:24" ht="12.75" customHeight="1">
      <c r="A125" s="244" t="s">
        <v>606</v>
      </c>
      <c r="B125" s="281"/>
      <c r="C125" s="281"/>
      <c r="D125" s="281"/>
      <c r="E125" s="279"/>
      <c r="F125" s="281">
        <f>D125-'[9]Maijs'!D125</f>
        <v>0</v>
      </c>
      <c r="G125" s="244" t="s">
        <v>606</v>
      </c>
      <c r="H125" s="252"/>
      <c r="I125" s="252"/>
      <c r="J125" s="730"/>
      <c r="K125" s="283"/>
      <c r="L125" s="281"/>
      <c r="P125" s="190">
        <f>'[9]Maijs'!J125</f>
        <v>0</v>
      </c>
      <c r="R125" s="190">
        <f t="shared" si="14"/>
        <v>0</v>
      </c>
      <c r="T125" s="281"/>
      <c r="V125" s="281"/>
      <c r="X125" s="190">
        <f t="shared" si="15"/>
        <v>0</v>
      </c>
    </row>
    <row r="126" spans="1:24" ht="12.75" customHeight="1">
      <c r="A126" s="250" t="s">
        <v>559</v>
      </c>
      <c r="B126" s="281">
        <f>SUM(B127:B129)</f>
        <v>404005990</v>
      </c>
      <c r="C126" s="285">
        <f>29912540+30602264+32086097+32550828+34175954+33983068</f>
        <v>193310751</v>
      </c>
      <c r="D126" s="281">
        <f>SUM(D127:D129)</f>
        <v>192541149</v>
      </c>
      <c r="E126" s="279">
        <f aca="true" t="shared" si="26" ref="E126:E133">D126/B126*100</f>
        <v>47.65799363519338</v>
      </c>
      <c r="F126" s="281">
        <f>D126-'[9]Maijs'!D126</f>
        <v>30949849</v>
      </c>
      <c r="G126" s="250" t="s">
        <v>559</v>
      </c>
      <c r="H126" s="252">
        <f>ROUND(B126/1000,0)</f>
        <v>404006</v>
      </c>
      <c r="I126" s="252">
        <f>ROUND(C126/1000,0)</f>
        <v>193311</v>
      </c>
      <c r="J126" s="730">
        <f>SUM(J127:J129)</f>
        <v>192541</v>
      </c>
      <c r="K126" s="283">
        <f aca="true" t="shared" si="27" ref="K126:K131">J126/H126*100</f>
        <v>47.6579555749172</v>
      </c>
      <c r="L126" s="281">
        <f t="shared" si="19"/>
        <v>30950</v>
      </c>
      <c r="N126" s="190">
        <v>192541</v>
      </c>
      <c r="P126" s="190">
        <f>'[9]Maijs'!J126</f>
        <v>161592</v>
      </c>
      <c r="R126" s="190">
        <f t="shared" si="14"/>
        <v>30949</v>
      </c>
      <c r="T126" s="281">
        <f>SUM(T127:T129)</f>
        <v>192541149</v>
      </c>
      <c r="V126" s="281">
        <f>SUM(V127:V129)</f>
        <v>161591300</v>
      </c>
      <c r="X126" s="190">
        <f t="shared" si="15"/>
        <v>30949849</v>
      </c>
    </row>
    <row r="127" spans="1:24" ht="12.75" customHeight="1">
      <c r="A127" s="284" t="s">
        <v>602</v>
      </c>
      <c r="B127" s="291">
        <v>381116067</v>
      </c>
      <c r="C127" s="292"/>
      <c r="D127" s="292">
        <v>180620227</v>
      </c>
      <c r="E127" s="279">
        <f t="shared" si="26"/>
        <v>47.39244619671204</v>
      </c>
      <c r="F127" s="281">
        <f>D127-'[9]Maijs'!D127</f>
        <v>29065544</v>
      </c>
      <c r="G127" s="284" t="s">
        <v>602</v>
      </c>
      <c r="H127" s="252">
        <f aca="true" t="shared" si="28" ref="H127:H133">ROUND(B127/1000,0)</f>
        <v>381116</v>
      </c>
      <c r="I127" s="252"/>
      <c r="J127" s="730">
        <f>ROUND(D127/1000,0)</f>
        <v>180620</v>
      </c>
      <c r="K127" s="283">
        <f t="shared" si="27"/>
        <v>47.39239496636195</v>
      </c>
      <c r="L127" s="281">
        <f t="shared" si="19"/>
        <v>29066</v>
      </c>
      <c r="N127" s="190">
        <v>180620</v>
      </c>
      <c r="P127" s="190">
        <f>'[9]Maijs'!J127</f>
        <v>151555</v>
      </c>
      <c r="R127" s="190">
        <f t="shared" si="14"/>
        <v>29065</v>
      </c>
      <c r="T127" s="292">
        <v>180620227</v>
      </c>
      <c r="V127" s="292">
        <v>151554683</v>
      </c>
      <c r="X127" s="190">
        <f t="shared" si="15"/>
        <v>29065544</v>
      </c>
    </row>
    <row r="128" spans="1:24" ht="12.75" customHeight="1">
      <c r="A128" s="284" t="s">
        <v>603</v>
      </c>
      <c r="B128" s="291">
        <v>3958763</v>
      </c>
      <c r="C128" s="292"/>
      <c r="D128" s="292">
        <v>1873963</v>
      </c>
      <c r="E128" s="279">
        <f t="shared" si="26"/>
        <v>47.337084841906425</v>
      </c>
      <c r="F128" s="281">
        <f>D128-'[9]Maijs'!D128</f>
        <v>346178</v>
      </c>
      <c r="G128" s="284" t="s">
        <v>603</v>
      </c>
      <c r="H128" s="252">
        <f t="shared" si="28"/>
        <v>3959</v>
      </c>
      <c r="I128" s="252"/>
      <c r="J128" s="730">
        <f>ROUND(D128/1000,0)</f>
        <v>1874</v>
      </c>
      <c r="K128" s="283">
        <f t="shared" si="27"/>
        <v>47.33518565294266</v>
      </c>
      <c r="L128" s="281">
        <f t="shared" si="19"/>
        <v>346</v>
      </c>
      <c r="N128" s="190">
        <v>1874</v>
      </c>
      <c r="P128" s="190">
        <f>'[9]Maijs'!J128</f>
        <v>1528</v>
      </c>
      <c r="R128" s="190">
        <f t="shared" si="14"/>
        <v>346</v>
      </c>
      <c r="T128" s="292">
        <v>1873963</v>
      </c>
      <c r="V128" s="292">
        <v>1527785</v>
      </c>
      <c r="X128" s="190">
        <f t="shared" si="15"/>
        <v>346178</v>
      </c>
    </row>
    <row r="129" spans="1:24" ht="12.75" customHeight="1">
      <c r="A129" s="284" t="s">
        <v>604</v>
      </c>
      <c r="B129" s="291">
        <f>22889923-B128</f>
        <v>18931160</v>
      </c>
      <c r="C129" s="292"/>
      <c r="D129" s="292">
        <f>11920922-D128</f>
        <v>10046959</v>
      </c>
      <c r="E129" s="279">
        <f t="shared" si="26"/>
        <v>53.071016250456914</v>
      </c>
      <c r="F129" s="281">
        <f>D129-'[9]Maijs'!D129</f>
        <v>1538127</v>
      </c>
      <c r="G129" s="284" t="s">
        <v>604</v>
      </c>
      <c r="H129" s="252">
        <f t="shared" si="28"/>
        <v>18931</v>
      </c>
      <c r="I129" s="252"/>
      <c r="J129" s="730">
        <f>ROUND(D129/1000,0)</f>
        <v>10047</v>
      </c>
      <c r="K129" s="283">
        <f t="shared" si="27"/>
        <v>53.07168136918282</v>
      </c>
      <c r="L129" s="281">
        <f t="shared" si="19"/>
        <v>1538</v>
      </c>
      <c r="N129" s="190">
        <v>10047</v>
      </c>
      <c r="P129" s="190">
        <f>'[9]Maijs'!J129</f>
        <v>8509</v>
      </c>
      <c r="R129" s="190">
        <f t="shared" si="14"/>
        <v>1538</v>
      </c>
      <c r="T129" s="292">
        <f>11920922-T128</f>
        <v>10046959</v>
      </c>
      <c r="V129" s="292">
        <f>10036617-V128</f>
        <v>8508832</v>
      </c>
      <c r="X129" s="190">
        <f t="shared" si="15"/>
        <v>1538127</v>
      </c>
    </row>
    <row r="130" spans="1:24" ht="12.75" customHeight="1">
      <c r="A130" s="250" t="s">
        <v>561</v>
      </c>
      <c r="B130" s="281">
        <f>B131</f>
        <v>420523274</v>
      </c>
      <c r="C130" s="281">
        <f>C131</f>
        <v>210098672</v>
      </c>
      <c r="D130" s="281">
        <f>D131</f>
        <v>199194122</v>
      </c>
      <c r="E130" s="279">
        <f t="shared" si="26"/>
        <v>47.368156369865986</v>
      </c>
      <c r="F130" s="281">
        <f>D130-'[9]Maijs'!D130</f>
        <v>29510896</v>
      </c>
      <c r="G130" s="250" t="s">
        <v>561</v>
      </c>
      <c r="H130" s="252">
        <f t="shared" si="28"/>
        <v>420523</v>
      </c>
      <c r="I130" s="282">
        <f>I131</f>
        <v>210099</v>
      </c>
      <c r="J130" s="730">
        <f>J131</f>
        <v>199194</v>
      </c>
      <c r="K130" s="283">
        <f t="shared" si="27"/>
        <v>47.368158222023524</v>
      </c>
      <c r="L130" s="281">
        <f t="shared" si="19"/>
        <v>29511</v>
      </c>
      <c r="N130" s="190">
        <v>199194</v>
      </c>
      <c r="P130" s="190">
        <f>'[9]Maijs'!J130</f>
        <v>169683</v>
      </c>
      <c r="R130" s="190">
        <f t="shared" si="14"/>
        <v>29511</v>
      </c>
      <c r="T130" s="281">
        <f>T131</f>
        <v>199194122</v>
      </c>
      <c r="V130" s="281">
        <f>V131</f>
        <v>169683226</v>
      </c>
      <c r="X130" s="190">
        <f t="shared" si="15"/>
        <v>29510896</v>
      </c>
    </row>
    <row r="131" spans="1:24" ht="12.75" customHeight="1">
      <c r="A131" s="284" t="s">
        <v>607</v>
      </c>
      <c r="B131" s="291">
        <v>420523274</v>
      </c>
      <c r="C131" s="292">
        <f>37274115+35396966+33400791+35356641+35354519+33315640</f>
        <v>210098672</v>
      </c>
      <c r="D131" s="292">
        <v>199194122</v>
      </c>
      <c r="E131" s="279">
        <f t="shared" si="26"/>
        <v>47.368156369865986</v>
      </c>
      <c r="F131" s="281">
        <f>D131-'[9]Maijs'!D131</f>
        <v>29510896</v>
      </c>
      <c r="G131" s="284" t="s">
        <v>607</v>
      </c>
      <c r="H131" s="252">
        <f t="shared" si="28"/>
        <v>420523</v>
      </c>
      <c r="I131" s="252">
        <f>ROUND(C131/1000,0)</f>
        <v>210099</v>
      </c>
      <c r="J131" s="730">
        <f>ROUND(D131/1000,0)</f>
        <v>199194</v>
      </c>
      <c r="K131" s="283">
        <f t="shared" si="27"/>
        <v>47.368158222023524</v>
      </c>
      <c r="L131" s="281">
        <f t="shared" si="19"/>
        <v>29511</v>
      </c>
      <c r="N131" s="190">
        <v>199194</v>
      </c>
      <c r="P131" s="190">
        <f>'[9]Maijs'!J131</f>
        <v>169683</v>
      </c>
      <c r="R131" s="190">
        <f t="shared" si="14"/>
        <v>29511</v>
      </c>
      <c r="T131" s="292">
        <v>199194122</v>
      </c>
      <c r="V131" s="292">
        <v>169683226</v>
      </c>
      <c r="X131" s="190">
        <f t="shared" si="15"/>
        <v>29510896</v>
      </c>
    </row>
    <row r="132" spans="1:24" ht="12.75" customHeight="1">
      <c r="A132" s="250" t="s">
        <v>395</v>
      </c>
      <c r="B132" s="252">
        <f>B126-B130</f>
        <v>-16517284</v>
      </c>
      <c r="C132" s="252">
        <f>C126-C130</f>
        <v>-16787921</v>
      </c>
      <c r="D132" s="252">
        <f>D126-D130</f>
        <v>-6652973</v>
      </c>
      <c r="E132" s="279">
        <f t="shared" si="26"/>
        <v>40.27885577314043</v>
      </c>
      <c r="F132" s="281">
        <f>D132-'[9]Maijs'!D132</f>
        <v>1438953</v>
      </c>
      <c r="G132" s="250" t="s">
        <v>395</v>
      </c>
      <c r="H132" s="252">
        <f t="shared" si="28"/>
        <v>-16517</v>
      </c>
      <c r="I132" s="252">
        <f>ROUND(C132/1000,0)</f>
        <v>-16788</v>
      </c>
      <c r="J132" s="730">
        <f>J126-J130</f>
        <v>-6653</v>
      </c>
      <c r="K132" s="283"/>
      <c r="L132" s="281">
        <f t="shared" si="19"/>
        <v>1439</v>
      </c>
      <c r="N132" s="190">
        <v>-6653</v>
      </c>
      <c r="P132" s="190">
        <f>'[9]Maijs'!J132</f>
        <v>-8091</v>
      </c>
      <c r="R132" s="190">
        <f t="shared" si="14"/>
        <v>1438</v>
      </c>
      <c r="T132" s="252">
        <f>T126-T130</f>
        <v>-6652973</v>
      </c>
      <c r="V132" s="252">
        <f>V126-V130</f>
        <v>-8091926</v>
      </c>
      <c r="X132" s="190">
        <f t="shared" si="15"/>
        <v>1438953</v>
      </c>
    </row>
    <row r="133" spans="1:24" ht="12.75" customHeight="1">
      <c r="A133" s="250" t="s">
        <v>586</v>
      </c>
      <c r="B133" s="252">
        <v>16517284</v>
      </c>
      <c r="C133" s="282">
        <f>7361575+4794702+1314694+2805813+1178565-667428</f>
        <v>16787921</v>
      </c>
      <c r="D133" s="282">
        <v>6657169</v>
      </c>
      <c r="E133" s="279">
        <f t="shared" si="26"/>
        <v>40.30425946541816</v>
      </c>
      <c r="F133" s="281">
        <f>D133-'[9]Maijs'!D133</f>
        <v>-1448099</v>
      </c>
      <c r="G133" s="250" t="s">
        <v>586</v>
      </c>
      <c r="H133" s="252">
        <f t="shared" si="28"/>
        <v>16517</v>
      </c>
      <c r="I133" s="252">
        <f>ROUND(C133/1000,0)</f>
        <v>16788</v>
      </c>
      <c r="J133" s="730">
        <f>ROUND(D133/1000,0)</f>
        <v>6657</v>
      </c>
      <c r="K133" s="283">
        <f>J133/H133*100</f>
        <v>40.30392928497911</v>
      </c>
      <c r="L133" s="281">
        <f t="shared" si="19"/>
        <v>-1448</v>
      </c>
      <c r="N133" s="190">
        <v>6657</v>
      </c>
      <c r="P133" s="190">
        <f>'[9]Maijs'!J133</f>
        <v>8105</v>
      </c>
      <c r="R133" s="190">
        <f t="shared" si="14"/>
        <v>-1448</v>
      </c>
      <c r="T133" s="282">
        <v>6657169</v>
      </c>
      <c r="V133" s="282">
        <v>8105268</v>
      </c>
      <c r="X133" s="190">
        <f t="shared" si="15"/>
        <v>-1448099</v>
      </c>
    </row>
    <row r="134" spans="1:24" ht="12.75" customHeight="1">
      <c r="A134" s="244" t="s">
        <v>608</v>
      </c>
      <c r="B134" s="281"/>
      <c r="C134" s="281"/>
      <c r="D134" s="281"/>
      <c r="E134" s="279"/>
      <c r="F134" s="281">
        <f>D134-'[9]Maijs'!D134</f>
        <v>0</v>
      </c>
      <c r="G134" s="244" t="s">
        <v>608</v>
      </c>
      <c r="H134" s="252"/>
      <c r="I134" s="252"/>
      <c r="J134" s="730"/>
      <c r="K134" s="283"/>
      <c r="L134" s="281"/>
      <c r="P134" s="190">
        <f>'[9]Maijs'!J134</f>
        <v>0</v>
      </c>
      <c r="R134" s="190">
        <f t="shared" si="14"/>
        <v>0</v>
      </c>
      <c r="T134" s="281"/>
      <c r="V134" s="281"/>
      <c r="X134" s="190">
        <f t="shared" si="15"/>
        <v>0</v>
      </c>
    </row>
    <row r="135" spans="1:24" ht="12.75" customHeight="1">
      <c r="A135" s="250" t="s">
        <v>559</v>
      </c>
      <c r="B135" s="281">
        <f>SUM(B136:B138)</f>
        <v>33701584</v>
      </c>
      <c r="C135" s="285">
        <f>3339472+3396859+2514169+2553669+2682912+2666825</f>
        <v>17153906</v>
      </c>
      <c r="D135" s="281">
        <f>SUM(D136:D138)</f>
        <v>16795088</v>
      </c>
      <c r="E135" s="279">
        <f aca="true" t="shared" si="29" ref="E135:E140">D135/B135*100</f>
        <v>49.83471400038645</v>
      </c>
      <c r="F135" s="281">
        <f>D135-'[9]Maijs'!D135</f>
        <v>2379140</v>
      </c>
      <c r="G135" s="250" t="s">
        <v>559</v>
      </c>
      <c r="H135" s="252">
        <f>ROUND(B135/1000,0)</f>
        <v>33702</v>
      </c>
      <c r="I135" s="252">
        <f>ROUND(C135/1000,0)</f>
        <v>17154</v>
      </c>
      <c r="J135" s="730">
        <f>SUM(J136:J138)</f>
        <v>16795</v>
      </c>
      <c r="K135" s="283">
        <f aca="true" t="shared" si="30" ref="K135:K140">J135/H135*100</f>
        <v>49.83383775443594</v>
      </c>
      <c r="L135" s="281">
        <f t="shared" si="19"/>
        <v>2379</v>
      </c>
      <c r="N135" s="190">
        <v>16795</v>
      </c>
      <c r="P135" s="190">
        <f>'[9]Maijs'!J135</f>
        <v>14415</v>
      </c>
      <c r="R135" s="190">
        <f t="shared" si="14"/>
        <v>2380</v>
      </c>
      <c r="T135" s="281">
        <f>SUM(T136:T138)</f>
        <v>16795088</v>
      </c>
      <c r="V135" s="281">
        <f>SUM(V136:V138)</f>
        <v>14415948</v>
      </c>
      <c r="X135" s="190">
        <f t="shared" si="15"/>
        <v>2379140</v>
      </c>
    </row>
    <row r="136" spans="1:24" ht="12.75" customHeight="1">
      <c r="A136" s="284" t="s">
        <v>602</v>
      </c>
      <c r="B136" s="291">
        <v>30619372</v>
      </c>
      <c r="C136" s="292"/>
      <c r="D136" s="292">
        <v>14301056</v>
      </c>
      <c r="E136" s="279">
        <f t="shared" si="29"/>
        <v>46.705908925891755</v>
      </c>
      <c r="F136" s="281">
        <f>D136-'[9]Maijs'!D136</f>
        <v>2301585</v>
      </c>
      <c r="G136" s="284" t="s">
        <v>602</v>
      </c>
      <c r="H136" s="252">
        <f aca="true" t="shared" si="31" ref="H136:H142">ROUND(B136/1000,0)</f>
        <v>30619</v>
      </c>
      <c r="I136" s="252"/>
      <c r="J136" s="730">
        <f>ROUND(D136/1000,0)</f>
        <v>14301</v>
      </c>
      <c r="K136" s="283">
        <f t="shared" si="30"/>
        <v>46.706293477905874</v>
      </c>
      <c r="L136" s="281">
        <f t="shared" si="19"/>
        <v>2302</v>
      </c>
      <c r="N136" s="190">
        <v>14301</v>
      </c>
      <c r="P136" s="190">
        <f>'[9]Maijs'!J136</f>
        <v>11999</v>
      </c>
      <c r="R136" s="190">
        <f t="shared" si="14"/>
        <v>2302</v>
      </c>
      <c r="T136" s="292">
        <v>14301056</v>
      </c>
      <c r="V136" s="292">
        <v>11999471</v>
      </c>
      <c r="X136" s="190">
        <f t="shared" si="15"/>
        <v>2301585</v>
      </c>
    </row>
    <row r="137" spans="1:24" ht="12.75" customHeight="1">
      <c r="A137" s="284" t="s">
        <v>603</v>
      </c>
      <c r="B137" s="291">
        <v>443931</v>
      </c>
      <c r="C137" s="292"/>
      <c r="D137" s="292">
        <v>202433</v>
      </c>
      <c r="E137" s="279">
        <f t="shared" si="29"/>
        <v>45.60010452074759</v>
      </c>
      <c r="F137" s="281">
        <f>D137-'[9]Maijs'!D137</f>
        <v>38935</v>
      </c>
      <c r="G137" s="284" t="s">
        <v>603</v>
      </c>
      <c r="H137" s="252">
        <f t="shared" si="31"/>
        <v>444</v>
      </c>
      <c r="I137" s="252"/>
      <c r="J137" s="730">
        <f>ROUND(D137/1000,0)</f>
        <v>202</v>
      </c>
      <c r="K137" s="283">
        <f t="shared" si="30"/>
        <v>45.4954954954955</v>
      </c>
      <c r="L137" s="281">
        <f t="shared" si="19"/>
        <v>39</v>
      </c>
      <c r="N137" s="190">
        <v>202</v>
      </c>
      <c r="P137" s="190">
        <f>'[9]Maijs'!J137</f>
        <v>163</v>
      </c>
      <c r="R137" s="190">
        <f t="shared" si="14"/>
        <v>39</v>
      </c>
      <c r="T137" s="292">
        <v>202433</v>
      </c>
      <c r="V137" s="292">
        <v>163498</v>
      </c>
      <c r="X137" s="190">
        <f t="shared" si="15"/>
        <v>38935</v>
      </c>
    </row>
    <row r="138" spans="1:24" ht="12.75" customHeight="1">
      <c r="A138" s="284" t="s">
        <v>604</v>
      </c>
      <c r="B138" s="291">
        <f>3082212-B137</f>
        <v>2638281</v>
      </c>
      <c r="C138" s="292"/>
      <c r="D138" s="292">
        <f>2494032-202433</f>
        <v>2291599</v>
      </c>
      <c r="E138" s="279">
        <f t="shared" si="29"/>
        <v>86.85954983566951</v>
      </c>
      <c r="F138" s="281">
        <f>D138-'[9]Maijs'!D138</f>
        <v>38620</v>
      </c>
      <c r="G138" s="284" t="s">
        <v>604</v>
      </c>
      <c r="H138" s="252">
        <f t="shared" si="31"/>
        <v>2638</v>
      </c>
      <c r="I138" s="252"/>
      <c r="J138" s="730">
        <f>ROUND(D138/1000,0)</f>
        <v>2292</v>
      </c>
      <c r="K138" s="283">
        <f t="shared" si="30"/>
        <v>86.88400303260046</v>
      </c>
      <c r="L138" s="281">
        <f t="shared" si="19"/>
        <v>39</v>
      </c>
      <c r="N138" s="190">
        <v>2292</v>
      </c>
      <c r="P138" s="190">
        <f>'[9]Maijs'!J138</f>
        <v>2253</v>
      </c>
      <c r="R138" s="190">
        <f t="shared" si="14"/>
        <v>39</v>
      </c>
      <c r="T138" s="292">
        <f>2494032-202433</f>
        <v>2291599</v>
      </c>
      <c r="V138" s="292">
        <f>2416477-V137</f>
        <v>2252979</v>
      </c>
      <c r="X138" s="190">
        <f t="shared" si="15"/>
        <v>38620</v>
      </c>
    </row>
    <row r="139" spans="1:24" ht="12.75" customHeight="1">
      <c r="A139" s="250" t="s">
        <v>561</v>
      </c>
      <c r="B139" s="281">
        <f>B140</f>
        <v>34352435</v>
      </c>
      <c r="C139" s="281">
        <f>C140</f>
        <v>17094096</v>
      </c>
      <c r="D139" s="281">
        <f>D140</f>
        <v>14286647</v>
      </c>
      <c r="E139" s="279">
        <f t="shared" si="29"/>
        <v>41.588455083315054</v>
      </c>
      <c r="F139" s="281">
        <f>D139-'[9]Maijs'!D139</f>
        <v>2447804</v>
      </c>
      <c r="G139" s="250" t="s">
        <v>561</v>
      </c>
      <c r="H139" s="252">
        <f t="shared" si="31"/>
        <v>34352</v>
      </c>
      <c r="I139" s="252">
        <f>ROUND(C139/1000,0)</f>
        <v>17094</v>
      </c>
      <c r="J139" s="730">
        <f>J140</f>
        <v>14287</v>
      </c>
      <c r="K139" s="283">
        <f t="shared" si="30"/>
        <v>41.590009315323705</v>
      </c>
      <c r="L139" s="281">
        <f t="shared" si="19"/>
        <v>2448</v>
      </c>
      <c r="N139" s="190">
        <v>14287</v>
      </c>
      <c r="P139" s="190">
        <f>'[9]Maijs'!J139</f>
        <v>11839</v>
      </c>
      <c r="R139" s="190">
        <f aca="true" t="shared" si="32" ref="R139:R192">N139-P139</f>
        <v>2448</v>
      </c>
      <c r="T139" s="281">
        <f>T140</f>
        <v>14286647</v>
      </c>
      <c r="V139" s="281">
        <f>V140</f>
        <v>11838843</v>
      </c>
      <c r="X139" s="190">
        <f aca="true" t="shared" si="33" ref="X139:X192">T139-V139</f>
        <v>2447804</v>
      </c>
    </row>
    <row r="140" spans="1:24" ht="12.75" customHeight="1">
      <c r="A140" s="284" t="s">
        <v>607</v>
      </c>
      <c r="B140" s="291">
        <v>34352435</v>
      </c>
      <c r="C140" s="292">
        <f>2584412+2945732+2933079+2871294+2887008+2872571</f>
        <v>17094096</v>
      </c>
      <c r="D140" s="292">
        <v>14286647</v>
      </c>
      <c r="E140" s="279">
        <f t="shared" si="29"/>
        <v>41.588455083315054</v>
      </c>
      <c r="F140" s="281">
        <f>D140-'[9]Maijs'!D140</f>
        <v>2447804</v>
      </c>
      <c r="G140" s="284" t="s">
        <v>607</v>
      </c>
      <c r="H140" s="252">
        <f t="shared" si="31"/>
        <v>34352</v>
      </c>
      <c r="I140" s="252">
        <f>ROUND(C140/1000,0)</f>
        <v>17094</v>
      </c>
      <c r="J140" s="730">
        <f>ROUND(D140/1000,0)</f>
        <v>14287</v>
      </c>
      <c r="K140" s="283">
        <f t="shared" si="30"/>
        <v>41.590009315323705</v>
      </c>
      <c r="L140" s="281">
        <f t="shared" si="19"/>
        <v>2448</v>
      </c>
      <c r="N140" s="190">
        <v>14287</v>
      </c>
      <c r="P140" s="190">
        <f>'[9]Maijs'!J140</f>
        <v>11839</v>
      </c>
      <c r="R140" s="190">
        <f t="shared" si="32"/>
        <v>2448</v>
      </c>
      <c r="T140" s="292">
        <v>14286647</v>
      </c>
      <c r="V140" s="292">
        <v>11838843</v>
      </c>
      <c r="X140" s="190">
        <f t="shared" si="33"/>
        <v>2447804</v>
      </c>
    </row>
    <row r="141" spans="1:24" ht="12.75" customHeight="1">
      <c r="A141" s="250" t="s">
        <v>395</v>
      </c>
      <c r="B141" s="281">
        <f>B135-B139</f>
        <v>-650851</v>
      </c>
      <c r="C141" s="281">
        <f>C135-C139</f>
        <v>59810</v>
      </c>
      <c r="D141" s="281">
        <f>D135-D139</f>
        <v>2508441</v>
      </c>
      <c r="E141" s="279"/>
      <c r="F141" s="281">
        <f>D141-'[9]Maijs'!D141</f>
        <v>-68664</v>
      </c>
      <c r="G141" s="250" t="s">
        <v>395</v>
      </c>
      <c r="H141" s="252">
        <f t="shared" si="31"/>
        <v>-651</v>
      </c>
      <c r="I141" s="252">
        <f>ROUND(C141/1000,0)</f>
        <v>60</v>
      </c>
      <c r="J141" s="730">
        <f>J135-J139</f>
        <v>2508</v>
      </c>
      <c r="K141" s="283"/>
      <c r="L141" s="281">
        <f t="shared" si="19"/>
        <v>-69</v>
      </c>
      <c r="N141" s="190">
        <v>2508</v>
      </c>
      <c r="P141" s="190">
        <f>'[9]Maijs'!J141</f>
        <v>2576</v>
      </c>
      <c r="R141" s="190">
        <f t="shared" si="32"/>
        <v>-68</v>
      </c>
      <c r="T141" s="281">
        <f>T135-T139</f>
        <v>2508441</v>
      </c>
      <c r="V141" s="281">
        <f>V135-V139</f>
        <v>2577105</v>
      </c>
      <c r="X141" s="190">
        <f t="shared" si="33"/>
        <v>-68664</v>
      </c>
    </row>
    <row r="142" spans="1:24" s="739" customFormat="1" ht="12.75" customHeight="1">
      <c r="A142" s="127" t="s">
        <v>586</v>
      </c>
      <c r="B142" s="726">
        <v>650851</v>
      </c>
      <c r="C142" s="728">
        <f>-755060-451127+418910+317625+204096+205746</f>
        <v>-59810</v>
      </c>
      <c r="D142" s="728"/>
      <c r="E142" s="736"/>
      <c r="F142" s="726">
        <f>D142-'[9]Maijs'!D142</f>
        <v>0</v>
      </c>
      <c r="G142" s="127" t="s">
        <v>586</v>
      </c>
      <c r="H142" s="737">
        <f t="shared" si="31"/>
        <v>651</v>
      </c>
      <c r="I142" s="737">
        <f>ROUND(C142/1000,0)</f>
        <v>-60</v>
      </c>
      <c r="J142" s="730"/>
      <c r="K142" s="738"/>
      <c r="L142" s="726"/>
      <c r="N142" s="740"/>
      <c r="P142" s="740">
        <f>'[9]Maijs'!J142</f>
        <v>0</v>
      </c>
      <c r="Q142" s="740"/>
      <c r="R142" s="740">
        <f t="shared" si="32"/>
        <v>0</v>
      </c>
      <c r="S142" s="740"/>
      <c r="T142" s="728"/>
      <c r="V142" s="728"/>
      <c r="X142" s="740">
        <f t="shared" si="33"/>
        <v>0</v>
      </c>
    </row>
    <row r="143" spans="1:24" ht="12.75" customHeight="1">
      <c r="A143" s="244" t="s">
        <v>609</v>
      </c>
      <c r="B143" s="281"/>
      <c r="C143" s="281"/>
      <c r="D143" s="281"/>
      <c r="E143" s="279"/>
      <c r="F143" s="281">
        <f>D143-'[9]Maijs'!D143</f>
        <v>0</v>
      </c>
      <c r="G143" s="244" t="s">
        <v>609</v>
      </c>
      <c r="H143" s="252"/>
      <c r="I143" s="252"/>
      <c r="J143" s="730"/>
      <c r="K143" s="283"/>
      <c r="L143" s="281"/>
      <c r="P143" s="190">
        <f>'[9]Maijs'!J143</f>
        <v>0</v>
      </c>
      <c r="R143" s="190">
        <f t="shared" si="32"/>
        <v>0</v>
      </c>
      <c r="T143" s="281"/>
      <c r="V143" s="281"/>
      <c r="X143" s="190">
        <f t="shared" si="33"/>
        <v>0</v>
      </c>
    </row>
    <row r="144" spans="1:24" ht="12.75" customHeight="1">
      <c r="A144" s="250" t="s">
        <v>559</v>
      </c>
      <c r="B144" s="281">
        <f>SUM(B145:B146)</f>
        <v>1323732</v>
      </c>
      <c r="C144" s="285">
        <f>97688+99893+105015+106335+112018+111373</f>
        <v>632322</v>
      </c>
      <c r="D144" s="281">
        <f>SUM(D145:D146)</f>
        <v>614973</v>
      </c>
      <c r="E144" s="279">
        <f aca="true" t="shared" si="34" ref="E144:E149">D144/B144*100</f>
        <v>46.45751556961681</v>
      </c>
      <c r="F144" s="281">
        <f>D144-'[9]Maijs'!D144</f>
        <v>98133</v>
      </c>
      <c r="G144" s="250" t="s">
        <v>559</v>
      </c>
      <c r="H144" s="252">
        <f>ROUND(B144/1000,0)</f>
        <v>1324</v>
      </c>
      <c r="I144" s="252">
        <f>ROUND(C144/1000,0)</f>
        <v>632</v>
      </c>
      <c r="J144" s="730">
        <f>SUM(J145:J146)</f>
        <v>615</v>
      </c>
      <c r="K144" s="283">
        <f>J144/H144*100</f>
        <v>46.45015105740181</v>
      </c>
      <c r="L144" s="281">
        <f>J144-'[9]Maijs'!J144</f>
        <v>98</v>
      </c>
      <c r="N144" s="190">
        <v>615</v>
      </c>
      <c r="P144" s="190">
        <f>'[9]Maijs'!J144</f>
        <v>517</v>
      </c>
      <c r="R144" s="190">
        <f t="shared" si="32"/>
        <v>98</v>
      </c>
      <c r="T144" s="732">
        <f>SUM(T145:T146)</f>
        <v>614973</v>
      </c>
      <c r="U144" s="741"/>
      <c r="V144" s="732">
        <f>SUM(V145:V146)</f>
        <v>516840</v>
      </c>
      <c r="W144" s="741"/>
      <c r="X144" s="190">
        <f t="shared" si="33"/>
        <v>98133</v>
      </c>
    </row>
    <row r="145" spans="1:24" ht="12.75" customHeight="1">
      <c r="A145" s="284" t="s">
        <v>602</v>
      </c>
      <c r="B145" s="291">
        <v>1302952</v>
      </c>
      <c r="C145" s="292"/>
      <c r="D145" s="292">
        <v>608556</v>
      </c>
      <c r="E145" s="279">
        <f t="shared" si="34"/>
        <v>46.70594158495478</v>
      </c>
      <c r="F145" s="281">
        <f>D145-'[9]Maijs'!D145</f>
        <v>97940</v>
      </c>
      <c r="G145" s="284" t="s">
        <v>602</v>
      </c>
      <c r="H145" s="252">
        <f>ROUND(B145/1000,0)</f>
        <v>1303</v>
      </c>
      <c r="I145" s="252"/>
      <c r="J145" s="730">
        <f>ROUND(D145/1000,0)</f>
        <v>609</v>
      </c>
      <c r="K145" s="283">
        <f>J145/H145*100</f>
        <v>46.73829623944743</v>
      </c>
      <c r="L145" s="281">
        <f>J145-'[9]Maijs'!J145</f>
        <v>98</v>
      </c>
      <c r="N145" s="190">
        <v>609</v>
      </c>
      <c r="P145" s="190">
        <f>'[9]Maijs'!J145</f>
        <v>511</v>
      </c>
      <c r="R145" s="190">
        <f t="shared" si="32"/>
        <v>98</v>
      </c>
      <c r="T145" s="292">
        <v>608556</v>
      </c>
      <c r="V145" s="292">
        <v>510616</v>
      </c>
      <c r="X145" s="190">
        <f t="shared" si="33"/>
        <v>97940</v>
      </c>
    </row>
    <row r="146" spans="1:24" ht="12.75" customHeight="1">
      <c r="A146" s="284" t="s">
        <v>604</v>
      </c>
      <c r="B146" s="291">
        <v>20780</v>
      </c>
      <c r="C146" s="292"/>
      <c r="D146" s="292">
        <v>6417</v>
      </c>
      <c r="E146" s="279">
        <f t="shared" si="34"/>
        <v>30.88065447545717</v>
      </c>
      <c r="F146" s="281">
        <f>D146-'[9]Maijs'!D146</f>
        <v>193</v>
      </c>
      <c r="G146" s="284" t="s">
        <v>604</v>
      </c>
      <c r="H146" s="252">
        <f>ROUND(B146/1000,0)</f>
        <v>21</v>
      </c>
      <c r="I146" s="252"/>
      <c r="J146" s="730">
        <f>ROUND(D146/1000,0)</f>
        <v>6</v>
      </c>
      <c r="K146" s="283">
        <f>J146/H146*100</f>
        <v>28.57142857142857</v>
      </c>
      <c r="L146" s="281">
        <f>J146-'[9]Maijs'!J146</f>
        <v>0</v>
      </c>
      <c r="N146" s="190">
        <v>6</v>
      </c>
      <c r="P146" s="190">
        <f>'[9]Maijs'!J146</f>
        <v>6</v>
      </c>
      <c r="R146" s="190">
        <f t="shared" si="32"/>
        <v>0</v>
      </c>
      <c r="T146" s="292">
        <v>6417</v>
      </c>
      <c r="V146" s="292">
        <v>6224</v>
      </c>
      <c r="X146" s="190">
        <f t="shared" si="33"/>
        <v>193</v>
      </c>
    </row>
    <row r="147" spans="1:24" ht="12.75" customHeight="1">
      <c r="A147" s="250" t="s">
        <v>561</v>
      </c>
      <c r="B147" s="281">
        <f>B148</f>
        <v>1260422</v>
      </c>
      <c r="C147" s="281">
        <f>C148</f>
        <v>544920</v>
      </c>
      <c r="D147" s="281">
        <f>D148</f>
        <v>457961</v>
      </c>
      <c r="E147" s="279">
        <f t="shared" si="34"/>
        <v>36.33394212414572</v>
      </c>
      <c r="F147" s="281">
        <f>D147-'[9]Maijs'!D147</f>
        <v>90715</v>
      </c>
      <c r="G147" s="250" t="s">
        <v>561</v>
      </c>
      <c r="H147" s="252">
        <f>ROUND(B147/1000,0)</f>
        <v>1260</v>
      </c>
      <c r="I147" s="282">
        <f>I148</f>
        <v>545</v>
      </c>
      <c r="J147" s="730">
        <f>J148</f>
        <v>458</v>
      </c>
      <c r="K147" s="283">
        <f>J147/H147*100</f>
        <v>36.34920634920635</v>
      </c>
      <c r="L147" s="281">
        <f>J147-'[9]Maijs'!J147</f>
        <v>91</v>
      </c>
      <c r="N147" s="190">
        <v>458</v>
      </c>
      <c r="P147" s="190">
        <f>'[9]Maijs'!J147</f>
        <v>367</v>
      </c>
      <c r="R147" s="190">
        <f t="shared" si="32"/>
        <v>91</v>
      </c>
      <c r="T147" s="281">
        <f>T148</f>
        <v>457961</v>
      </c>
      <c r="V147" s="281">
        <f>V148</f>
        <v>367246</v>
      </c>
      <c r="X147" s="190">
        <f t="shared" si="33"/>
        <v>90715</v>
      </c>
    </row>
    <row r="148" spans="1:24" ht="12.75" customHeight="1">
      <c r="A148" s="284" t="s">
        <v>607</v>
      </c>
      <c r="B148" s="291">
        <v>1260422</v>
      </c>
      <c r="C148" s="292">
        <f>93302+96381+85502+85729+91309+92697</f>
        <v>544920</v>
      </c>
      <c r="D148" s="292">
        <v>457961</v>
      </c>
      <c r="E148" s="279">
        <f t="shared" si="34"/>
        <v>36.33394212414572</v>
      </c>
      <c r="F148" s="281">
        <f>D148-'[9]Maijs'!D148</f>
        <v>90715</v>
      </c>
      <c r="G148" s="284" t="s">
        <v>607</v>
      </c>
      <c r="H148" s="252">
        <f>ROUND(B148/1000,0)</f>
        <v>1260</v>
      </c>
      <c r="I148" s="252">
        <f>ROUND(C148/1000,0)</f>
        <v>545</v>
      </c>
      <c r="J148" s="730">
        <f>ROUND(D148/1000,0)</f>
        <v>458</v>
      </c>
      <c r="K148" s="283">
        <f>J148/H148*100</f>
        <v>36.34920634920635</v>
      </c>
      <c r="L148" s="281">
        <f>J148-'[9]Maijs'!J148</f>
        <v>91</v>
      </c>
      <c r="N148" s="190">
        <v>458</v>
      </c>
      <c r="P148" s="190">
        <f>'[9]Maijs'!J148</f>
        <v>367</v>
      </c>
      <c r="R148" s="190">
        <f t="shared" si="32"/>
        <v>91</v>
      </c>
      <c r="T148" s="292">
        <v>457961</v>
      </c>
      <c r="V148" s="292">
        <v>367246</v>
      </c>
      <c r="X148" s="190">
        <f t="shared" si="33"/>
        <v>90715</v>
      </c>
    </row>
    <row r="149" spans="1:24" ht="12.75" customHeight="1">
      <c r="A149" s="250" t="s">
        <v>395</v>
      </c>
      <c r="B149" s="281">
        <f>B144-B147</f>
        <v>63310</v>
      </c>
      <c r="C149" s="281">
        <f>C144-C147</f>
        <v>87402</v>
      </c>
      <c r="D149" s="281">
        <f>D144-D147</f>
        <v>157012</v>
      </c>
      <c r="E149" s="279">
        <f t="shared" si="34"/>
        <v>248.00505449376087</v>
      </c>
      <c r="F149" s="281">
        <f>D149-'[9]Maijs'!D149</f>
        <v>7418</v>
      </c>
      <c r="G149" s="250" t="s">
        <v>395</v>
      </c>
      <c r="H149" s="252">
        <f>ROUND(B149/1000,0)</f>
        <v>63</v>
      </c>
      <c r="I149" s="252">
        <f>ROUND(C149/1000,0)</f>
        <v>87</v>
      </c>
      <c r="J149" s="730">
        <f>J144-J147</f>
        <v>157</v>
      </c>
      <c r="K149" s="283"/>
      <c r="L149" s="281">
        <f>J149-'[9]Maijs'!J149</f>
        <v>7</v>
      </c>
      <c r="N149" s="190">
        <v>157</v>
      </c>
      <c r="P149" s="190">
        <f>'[9]Maijs'!J149</f>
        <v>150</v>
      </c>
      <c r="R149" s="190">
        <f t="shared" si="32"/>
        <v>7</v>
      </c>
      <c r="T149" s="281">
        <f>T144-T147</f>
        <v>157012</v>
      </c>
      <c r="V149" s="281">
        <f>V144-V147</f>
        <v>149594</v>
      </c>
      <c r="X149" s="190">
        <f t="shared" si="33"/>
        <v>7418</v>
      </c>
    </row>
    <row r="150" spans="1:24" ht="25.5">
      <c r="A150" s="94" t="s">
        <v>610</v>
      </c>
      <c r="B150" s="281"/>
      <c r="C150" s="281"/>
      <c r="D150" s="281"/>
      <c r="E150" s="279"/>
      <c r="F150" s="281">
        <f>D150-'[9]Maijs'!D150</f>
        <v>0</v>
      </c>
      <c r="G150" s="94" t="s">
        <v>610</v>
      </c>
      <c r="H150" s="252"/>
      <c r="I150" s="252"/>
      <c r="J150" s="730"/>
      <c r="K150" s="283"/>
      <c r="L150" s="281"/>
      <c r="P150" s="190">
        <f>'[9]Maijs'!J150</f>
        <v>0</v>
      </c>
      <c r="R150" s="190">
        <f t="shared" si="32"/>
        <v>0</v>
      </c>
      <c r="T150" s="281"/>
      <c r="V150" s="281"/>
      <c r="X150" s="190">
        <f t="shared" si="33"/>
        <v>0</v>
      </c>
    </row>
    <row r="151" spans="1:24" ht="12.75" customHeight="1">
      <c r="A151" s="250" t="s">
        <v>559</v>
      </c>
      <c r="B151" s="281">
        <f>SUM(B152:B153)</f>
        <v>82726409</v>
      </c>
      <c r="C151" s="285">
        <f>6094293+6233924+6558403+6641974+7002035+6961149</f>
        <v>39491778</v>
      </c>
      <c r="D151" s="281">
        <f>SUM(D152:D153)</f>
        <v>38786495</v>
      </c>
      <c r="E151" s="279">
        <f aca="true" t="shared" si="35" ref="E151:E157">D151/B151*100</f>
        <v>46.88526368889045</v>
      </c>
      <c r="F151" s="281">
        <f>D151-'[9]Maijs'!D151</f>
        <v>6219968</v>
      </c>
      <c r="G151" s="250" t="s">
        <v>559</v>
      </c>
      <c r="H151" s="252">
        <f>ROUND(B151/1000,0)</f>
        <v>82726</v>
      </c>
      <c r="I151" s="252">
        <f>ROUND(C151/1000,0)</f>
        <v>39492</v>
      </c>
      <c r="J151" s="730">
        <f>SUM(J152:J153)</f>
        <v>38787</v>
      </c>
      <c r="K151" s="283">
        <f aca="true" t="shared" si="36" ref="K151:K157">J151/H151*100</f>
        <v>46.88610594009139</v>
      </c>
      <c r="L151" s="281">
        <f>J151-'[9]Maijs'!J151</f>
        <v>6220</v>
      </c>
      <c r="N151" s="190">
        <v>38787</v>
      </c>
      <c r="P151" s="190">
        <f>'[9]Maijs'!J151</f>
        <v>32567</v>
      </c>
      <c r="R151" s="190">
        <f t="shared" si="32"/>
        <v>6220</v>
      </c>
      <c r="T151" s="281">
        <f>SUM(T152:T153)</f>
        <v>38786495</v>
      </c>
      <c r="V151" s="281">
        <f>SUM(V152:V153)</f>
        <v>32566527</v>
      </c>
      <c r="X151" s="190">
        <f t="shared" si="33"/>
        <v>6219968</v>
      </c>
    </row>
    <row r="152" spans="1:24" ht="12.75" customHeight="1">
      <c r="A152" s="284" t="s">
        <v>602</v>
      </c>
      <c r="B152" s="291">
        <v>82546999</v>
      </c>
      <c r="C152" s="292"/>
      <c r="D152" s="292">
        <v>38549655</v>
      </c>
      <c r="E152" s="279">
        <f t="shared" si="35"/>
        <v>46.70025012054042</v>
      </c>
      <c r="F152" s="281">
        <f>D152-'[9]Maijs'!D152</f>
        <v>6204110</v>
      </c>
      <c r="G152" s="284" t="s">
        <v>602</v>
      </c>
      <c r="H152" s="252">
        <f aca="true" t="shared" si="37" ref="H152:H157">ROUND(B152/1000,0)</f>
        <v>82547</v>
      </c>
      <c r="I152" s="252"/>
      <c r="J152" s="730">
        <f>ROUND(D152/1000,0)</f>
        <v>38550</v>
      </c>
      <c r="K152" s="283">
        <f t="shared" si="36"/>
        <v>46.700667498516</v>
      </c>
      <c r="L152" s="281">
        <f>J152-'[9]Maijs'!J152</f>
        <v>6204</v>
      </c>
      <c r="N152" s="190">
        <v>38550</v>
      </c>
      <c r="P152" s="190">
        <f>'[9]Maijs'!J152</f>
        <v>32346</v>
      </c>
      <c r="R152" s="190">
        <f t="shared" si="32"/>
        <v>6204</v>
      </c>
      <c r="T152" s="292">
        <v>38549655</v>
      </c>
      <c r="V152" s="292">
        <v>32345545</v>
      </c>
      <c r="X152" s="190">
        <f t="shared" si="33"/>
        <v>6204110</v>
      </c>
    </row>
    <row r="153" spans="1:24" ht="12.75" customHeight="1">
      <c r="A153" s="284" t="s">
        <v>604</v>
      </c>
      <c r="B153" s="291">
        <v>179410</v>
      </c>
      <c r="C153" s="292"/>
      <c r="D153" s="292">
        <v>236840</v>
      </c>
      <c r="E153" s="279">
        <f t="shared" si="35"/>
        <v>132.01047879159466</v>
      </c>
      <c r="F153" s="281">
        <f>D153-'[9]Maijs'!D153</f>
        <v>15858</v>
      </c>
      <c r="G153" s="284" t="s">
        <v>604</v>
      </c>
      <c r="H153" s="252">
        <f t="shared" si="37"/>
        <v>179</v>
      </c>
      <c r="I153" s="252"/>
      <c r="J153" s="730">
        <f>ROUND(D153/1000,0)</f>
        <v>237</v>
      </c>
      <c r="K153" s="283">
        <f t="shared" si="36"/>
        <v>132.4022346368715</v>
      </c>
      <c r="L153" s="281">
        <f>J153-'[9]Maijs'!J153</f>
        <v>16</v>
      </c>
      <c r="N153" s="190">
        <v>237</v>
      </c>
      <c r="P153" s="190">
        <f>'[9]Maijs'!J153</f>
        <v>221</v>
      </c>
      <c r="R153" s="190">
        <f t="shared" si="32"/>
        <v>16</v>
      </c>
      <c r="T153" s="292">
        <v>236840</v>
      </c>
      <c r="V153" s="292">
        <v>220982</v>
      </c>
      <c r="X153" s="190">
        <f t="shared" si="33"/>
        <v>15858</v>
      </c>
    </row>
    <row r="154" spans="1:24" ht="12.75" customHeight="1">
      <c r="A154" s="250" t="s">
        <v>561</v>
      </c>
      <c r="B154" s="281">
        <f>B155</f>
        <v>91505042</v>
      </c>
      <c r="C154" s="281">
        <f>C155</f>
        <v>46427438</v>
      </c>
      <c r="D154" s="281">
        <f>D155</f>
        <v>43432710</v>
      </c>
      <c r="E154" s="279">
        <f t="shared" si="35"/>
        <v>47.46482712941654</v>
      </c>
      <c r="F154" s="281">
        <f>D154-'[9]Maijs'!D154</f>
        <v>6486636</v>
      </c>
      <c r="G154" s="250" t="s">
        <v>561</v>
      </c>
      <c r="H154" s="252">
        <f t="shared" si="37"/>
        <v>91505</v>
      </c>
      <c r="I154" s="252">
        <f>ROUND(C154/1000,0)</f>
        <v>46427</v>
      </c>
      <c r="J154" s="730">
        <f>J155</f>
        <v>43433</v>
      </c>
      <c r="K154" s="283">
        <f t="shared" si="36"/>
        <v>47.465165837932354</v>
      </c>
      <c r="L154" s="281">
        <f>J154-'[9]Maijs'!J154</f>
        <v>6487</v>
      </c>
      <c r="N154" s="190">
        <v>43433</v>
      </c>
      <c r="P154" s="190">
        <f>'[9]Maijs'!J154</f>
        <v>36946</v>
      </c>
      <c r="R154" s="190">
        <f t="shared" si="32"/>
        <v>6487</v>
      </c>
      <c r="T154" s="281">
        <f>T155</f>
        <v>43432710</v>
      </c>
      <c r="V154" s="281">
        <f>V155</f>
        <v>36946074</v>
      </c>
      <c r="X154" s="190">
        <f t="shared" si="33"/>
        <v>6486636</v>
      </c>
    </row>
    <row r="155" spans="1:24" ht="12.75" customHeight="1">
      <c r="A155" s="284" t="s">
        <v>607</v>
      </c>
      <c r="B155" s="291">
        <v>91505042</v>
      </c>
      <c r="C155" s="292">
        <f>7788524+7918298+7754776+7945134+7521575+7499131</f>
        <v>46427438</v>
      </c>
      <c r="D155" s="292">
        <v>43432710</v>
      </c>
      <c r="E155" s="279">
        <f t="shared" si="35"/>
        <v>47.46482712941654</v>
      </c>
      <c r="F155" s="281">
        <f>D155-'[9]Maijs'!D155</f>
        <v>6486636</v>
      </c>
      <c r="G155" s="284" t="s">
        <v>607</v>
      </c>
      <c r="H155" s="252">
        <f t="shared" si="37"/>
        <v>91505</v>
      </c>
      <c r="I155" s="252">
        <f>ROUND(C155/1000,0)</f>
        <v>46427</v>
      </c>
      <c r="J155" s="730">
        <f>ROUND(D155/1000,0)</f>
        <v>43433</v>
      </c>
      <c r="K155" s="283">
        <f t="shared" si="36"/>
        <v>47.465165837932354</v>
      </c>
      <c r="L155" s="281">
        <f>J155-'[9]Maijs'!J155</f>
        <v>6487</v>
      </c>
      <c r="N155" s="190">
        <v>43433</v>
      </c>
      <c r="P155" s="190">
        <f>'[9]Maijs'!J155</f>
        <v>36946</v>
      </c>
      <c r="R155" s="190">
        <f t="shared" si="32"/>
        <v>6487</v>
      </c>
      <c r="T155" s="292">
        <v>43432710</v>
      </c>
      <c r="V155" s="292">
        <v>36946074</v>
      </c>
      <c r="X155" s="190">
        <f t="shared" si="33"/>
        <v>6486636</v>
      </c>
    </row>
    <row r="156" spans="1:24" ht="12.75" customHeight="1">
      <c r="A156" s="250" t="s">
        <v>395</v>
      </c>
      <c r="B156" s="281">
        <f>B151-B154</f>
        <v>-8778633</v>
      </c>
      <c r="C156" s="281">
        <f>C151-C154</f>
        <v>-6935660</v>
      </c>
      <c r="D156" s="281">
        <f>D151-D154</f>
        <v>-4646215</v>
      </c>
      <c r="E156" s="279">
        <f t="shared" si="35"/>
        <v>52.926406651240576</v>
      </c>
      <c r="F156" s="281">
        <f>D156-'[9]Maijs'!D156</f>
        <v>-266668</v>
      </c>
      <c r="G156" s="250" t="s">
        <v>395</v>
      </c>
      <c r="H156" s="252">
        <f t="shared" si="37"/>
        <v>-8779</v>
      </c>
      <c r="I156" s="252">
        <f>ROUND(C156/1000,0)</f>
        <v>-6936</v>
      </c>
      <c r="J156" s="730">
        <f>J151-J154</f>
        <v>-4646</v>
      </c>
      <c r="K156" s="283">
        <f t="shared" si="36"/>
        <v>52.92174507347078</v>
      </c>
      <c r="L156" s="281">
        <f>J156-'[9]Maijs'!J156</f>
        <v>-267</v>
      </c>
      <c r="N156" s="190">
        <v>-4646</v>
      </c>
      <c r="P156" s="190">
        <f>'[9]Maijs'!J156</f>
        <v>-4379</v>
      </c>
      <c r="R156" s="190">
        <f t="shared" si="32"/>
        <v>-267</v>
      </c>
      <c r="T156" s="281">
        <f>T151-T154</f>
        <v>-4646215</v>
      </c>
      <c r="V156" s="281">
        <f>V151-V154</f>
        <v>-4379547</v>
      </c>
      <c r="X156" s="190">
        <f t="shared" si="33"/>
        <v>-266668</v>
      </c>
    </row>
    <row r="157" spans="1:24" ht="12.75" customHeight="1">
      <c r="A157" s="250" t="s">
        <v>586</v>
      </c>
      <c r="B157" s="252">
        <v>8778633</v>
      </c>
      <c r="C157" s="282">
        <f>1694231+1684374+1196373+1303160+519540+537982</f>
        <v>6935660</v>
      </c>
      <c r="D157" s="282">
        <v>4646417</v>
      </c>
      <c r="E157" s="279">
        <f t="shared" si="35"/>
        <v>52.928707692872</v>
      </c>
      <c r="F157" s="281">
        <f>D157-'[9]Maijs'!D157</f>
        <v>266756</v>
      </c>
      <c r="G157" s="250" t="s">
        <v>586</v>
      </c>
      <c r="H157" s="252">
        <f t="shared" si="37"/>
        <v>8779</v>
      </c>
      <c r="I157" s="252">
        <f>ROUND(C157/1000,0)</f>
        <v>6936</v>
      </c>
      <c r="J157" s="730">
        <f>ROUND(D157/1000,0)</f>
        <v>4646</v>
      </c>
      <c r="K157" s="283">
        <f t="shared" si="36"/>
        <v>52.92174507347078</v>
      </c>
      <c r="L157" s="281">
        <f>J157-'[9]Maijs'!J157+1</f>
        <v>267</v>
      </c>
      <c r="N157" s="190">
        <v>4646</v>
      </c>
      <c r="P157" s="190">
        <f>'[9]Maijs'!J157</f>
        <v>4380</v>
      </c>
      <c r="R157" s="190">
        <f t="shared" si="32"/>
        <v>266</v>
      </c>
      <c r="T157" s="282">
        <v>4646417</v>
      </c>
      <c r="V157" s="282">
        <v>4379661</v>
      </c>
      <c r="X157" s="190">
        <f t="shared" si="33"/>
        <v>266756</v>
      </c>
    </row>
    <row r="158" spans="1:24" ht="25.5">
      <c r="A158" s="130" t="s">
        <v>611</v>
      </c>
      <c r="B158" s="281"/>
      <c r="C158" s="281"/>
      <c r="D158" s="281"/>
      <c r="E158" s="279"/>
      <c r="F158" s="281">
        <f>D158-'[9]Maijs'!D158</f>
        <v>0</v>
      </c>
      <c r="G158" s="94" t="s">
        <v>611</v>
      </c>
      <c r="H158" s="252"/>
      <c r="I158" s="252"/>
      <c r="J158" s="730"/>
      <c r="K158" s="283"/>
      <c r="L158" s="281"/>
      <c r="P158" s="190">
        <f>'[9]Maijs'!J158</f>
        <v>0</v>
      </c>
      <c r="R158" s="190">
        <f t="shared" si="32"/>
        <v>0</v>
      </c>
      <c r="T158" s="281"/>
      <c r="V158" s="281"/>
      <c r="X158" s="190">
        <f t="shared" si="33"/>
        <v>0</v>
      </c>
    </row>
    <row r="159" spans="1:24" ht="12.75" customHeight="1">
      <c r="A159" s="250" t="s">
        <v>559</v>
      </c>
      <c r="B159" s="281">
        <f>SUM(B160:B161)</f>
        <v>9843296</v>
      </c>
      <c r="C159" s="285">
        <f>591852+775370+827390+788270+939160+955370</f>
        <v>4877412</v>
      </c>
      <c r="D159" s="281">
        <f>SUM(D160:D161)</f>
        <v>4877412</v>
      </c>
      <c r="E159" s="279">
        <f aca="true" t="shared" si="38" ref="E159:E167">D159/B159*100</f>
        <v>49.55059768597835</v>
      </c>
      <c r="F159" s="281">
        <f>D159-'[9]Maijs'!D159</f>
        <v>955370</v>
      </c>
      <c r="G159" s="250" t="s">
        <v>559</v>
      </c>
      <c r="H159" s="252">
        <f>ROUND(B159/1000,0)</f>
        <v>9843</v>
      </c>
      <c r="I159" s="252">
        <f>ROUND(C159/1000,0)</f>
        <v>4877</v>
      </c>
      <c r="J159" s="730">
        <f>SUM(J160:J161)</f>
        <v>4878</v>
      </c>
      <c r="K159" s="283">
        <f>J159/H159*100</f>
        <v>49.558061566595555</v>
      </c>
      <c r="L159" s="281">
        <f>J159-'[9]Maijs'!J159</f>
        <v>956</v>
      </c>
      <c r="N159" s="190">
        <v>4878</v>
      </c>
      <c r="P159" s="190">
        <f>'[9]Maijs'!J159</f>
        <v>3922</v>
      </c>
      <c r="R159" s="190">
        <f t="shared" si="32"/>
        <v>956</v>
      </c>
      <c r="T159" s="281">
        <f>SUM(T160:T161)</f>
        <v>4877412</v>
      </c>
      <c r="V159" s="281">
        <f>SUM(V160:V161)</f>
        <v>3922042</v>
      </c>
      <c r="X159" s="190">
        <f t="shared" si="33"/>
        <v>955370</v>
      </c>
    </row>
    <row r="160" spans="1:24" ht="12.75" customHeight="1">
      <c r="A160" s="284" t="s">
        <v>603</v>
      </c>
      <c r="B160" s="291">
        <f>300000+1890000</f>
        <v>2190000</v>
      </c>
      <c r="C160" s="292"/>
      <c r="D160" s="292">
        <v>1097800</v>
      </c>
      <c r="E160" s="279">
        <f t="shared" si="38"/>
        <v>50.12785388127854</v>
      </c>
      <c r="F160" s="281">
        <f>D160-'[9]Maijs'!D160</f>
        <v>211320</v>
      </c>
      <c r="G160" s="284" t="s">
        <v>603</v>
      </c>
      <c r="H160" s="252">
        <f aca="true" t="shared" si="39" ref="H160:H167">ROUND(B160/1000,0)</f>
        <v>2190</v>
      </c>
      <c r="I160" s="252"/>
      <c r="J160" s="730">
        <f>ROUND(D160/1000,0)</f>
        <v>1098</v>
      </c>
      <c r="K160" s="283">
        <f>J160/H160*100</f>
        <v>50.136986301369866</v>
      </c>
      <c r="L160" s="281">
        <f>J160-'[9]Maijs'!J160-1</f>
        <v>211</v>
      </c>
      <c r="N160" s="190">
        <v>1098</v>
      </c>
      <c r="P160" s="190">
        <f>'[9]Maijs'!J160</f>
        <v>886</v>
      </c>
      <c r="R160" s="190">
        <f t="shared" si="32"/>
        <v>212</v>
      </c>
      <c r="T160" s="292">
        <v>1097800</v>
      </c>
      <c r="V160" s="292">
        <v>886480</v>
      </c>
      <c r="X160" s="190">
        <f t="shared" si="33"/>
        <v>211320</v>
      </c>
    </row>
    <row r="161" spans="1:24" ht="12.75" customHeight="1">
      <c r="A161" s="284" t="s">
        <v>604</v>
      </c>
      <c r="B161" s="291">
        <f>9843296-B160</f>
        <v>7653296</v>
      </c>
      <c r="C161" s="292"/>
      <c r="D161" s="292">
        <f>4877412-1097800</f>
        <v>3779612</v>
      </c>
      <c r="E161" s="279">
        <f t="shared" si="38"/>
        <v>49.38541512049188</v>
      </c>
      <c r="F161" s="281">
        <f>D161-'[9]Maijs'!D161</f>
        <v>744050</v>
      </c>
      <c r="G161" s="284" t="s">
        <v>604</v>
      </c>
      <c r="H161" s="252">
        <f t="shared" si="39"/>
        <v>7653</v>
      </c>
      <c r="I161" s="252"/>
      <c r="J161" s="730">
        <f>ROUND(D161/1000,0)</f>
        <v>3780</v>
      </c>
      <c r="K161" s="283">
        <f>J161/H161*100</f>
        <v>49.39239513916112</v>
      </c>
      <c r="L161" s="281">
        <f>J161-'[9]Maijs'!J161</f>
        <v>744</v>
      </c>
      <c r="N161" s="190">
        <v>3780</v>
      </c>
      <c r="P161" s="190">
        <f>'[9]Maijs'!J161</f>
        <v>3036</v>
      </c>
      <c r="R161" s="190">
        <f t="shared" si="32"/>
        <v>744</v>
      </c>
      <c r="T161" s="292">
        <f>4877412-1097800</f>
        <v>3779612</v>
      </c>
      <c r="V161" s="292">
        <f>3922042-V160</f>
        <v>3035562</v>
      </c>
      <c r="X161" s="190">
        <f t="shared" si="33"/>
        <v>744050</v>
      </c>
    </row>
    <row r="162" spans="1:24" ht="12.75" customHeight="1">
      <c r="A162" s="250" t="s">
        <v>561</v>
      </c>
      <c r="B162" s="281">
        <f>B163+B165</f>
        <v>12108296</v>
      </c>
      <c r="C162" s="281">
        <f>C163+C165</f>
        <v>5668782</v>
      </c>
      <c r="D162" s="281">
        <f>D163+D165</f>
        <v>4593311</v>
      </c>
      <c r="E162" s="279">
        <f t="shared" si="38"/>
        <v>37.93523878174105</v>
      </c>
      <c r="F162" s="281">
        <f>D162-'[9]Maijs'!D162</f>
        <v>895153</v>
      </c>
      <c r="G162" s="250" t="s">
        <v>561</v>
      </c>
      <c r="H162" s="252">
        <f t="shared" si="39"/>
        <v>12108</v>
      </c>
      <c r="I162" s="282">
        <f>I163+I165</f>
        <v>5669</v>
      </c>
      <c r="J162" s="730">
        <f>J163+J165</f>
        <v>4593</v>
      </c>
      <c r="K162" s="283">
        <f>J162/H162*100</f>
        <v>37.93359762140733</v>
      </c>
      <c r="L162" s="281">
        <f>J162-'[9]Maijs'!J162</f>
        <v>895</v>
      </c>
      <c r="N162" s="190">
        <v>4593</v>
      </c>
      <c r="P162" s="190">
        <f>'[9]Maijs'!J162</f>
        <v>3698</v>
      </c>
      <c r="R162" s="190">
        <f t="shared" si="32"/>
        <v>895</v>
      </c>
      <c r="T162" s="281">
        <f>T163+T165</f>
        <v>4593311</v>
      </c>
      <c r="V162" s="281">
        <f>V163+V165</f>
        <v>3698158</v>
      </c>
      <c r="X162" s="190">
        <f t="shared" si="33"/>
        <v>895153</v>
      </c>
    </row>
    <row r="163" spans="1:24" ht="12.75" customHeight="1">
      <c r="A163" s="77" t="s">
        <v>607</v>
      </c>
      <c r="B163" s="291">
        <v>8683296</v>
      </c>
      <c r="C163" s="292">
        <f>535782+680000+701500+703500+826500+707500</f>
        <v>4154782</v>
      </c>
      <c r="D163" s="292">
        <v>4098844</v>
      </c>
      <c r="E163" s="279">
        <f t="shared" si="38"/>
        <v>47.20378068420102</v>
      </c>
      <c r="F163" s="281">
        <f>D163-'[9]Maijs'!D163</f>
        <v>696643</v>
      </c>
      <c r="G163" s="77" t="s">
        <v>607</v>
      </c>
      <c r="H163" s="252">
        <f t="shared" si="39"/>
        <v>8683</v>
      </c>
      <c r="I163" s="252">
        <f>ROUND(C163/1000,0)</f>
        <v>4155</v>
      </c>
      <c r="J163" s="730">
        <f>ROUND(D163/1000,0)</f>
        <v>4099</v>
      </c>
      <c r="K163" s="283">
        <f>J163/H163*100</f>
        <v>47.20718645629391</v>
      </c>
      <c r="L163" s="281">
        <f>J163-'[9]Maijs'!J163</f>
        <v>697</v>
      </c>
      <c r="N163" s="190">
        <v>4099</v>
      </c>
      <c r="P163" s="190">
        <f>'[9]Maijs'!J163</f>
        <v>3402</v>
      </c>
      <c r="R163" s="190">
        <f t="shared" si="32"/>
        <v>697</v>
      </c>
      <c r="T163" s="292">
        <v>4098844</v>
      </c>
      <c r="V163" s="292">
        <v>3402201</v>
      </c>
      <c r="X163" s="190">
        <f t="shared" si="33"/>
        <v>696643</v>
      </c>
    </row>
    <row r="164" spans="1:24" ht="12.75" customHeight="1">
      <c r="A164" s="284" t="s">
        <v>593</v>
      </c>
      <c r="B164" s="291">
        <v>10782</v>
      </c>
      <c r="C164" s="292"/>
      <c r="D164" s="292"/>
      <c r="E164" s="279">
        <f t="shared" si="38"/>
        <v>0</v>
      </c>
      <c r="F164" s="281">
        <f>D164-'[9]Maijs'!D164</f>
        <v>0</v>
      </c>
      <c r="G164" s="284" t="s">
        <v>593</v>
      </c>
      <c r="H164" s="252">
        <f t="shared" si="39"/>
        <v>11</v>
      </c>
      <c r="I164" s="252"/>
      <c r="J164" s="730"/>
      <c r="K164" s="283"/>
      <c r="L164" s="281"/>
      <c r="P164" s="190">
        <f>'[9]Maijs'!J164</f>
        <v>0</v>
      </c>
      <c r="R164" s="190">
        <f t="shared" si="32"/>
        <v>0</v>
      </c>
      <c r="T164" s="292"/>
      <c r="V164" s="292"/>
      <c r="X164" s="190">
        <f t="shared" si="33"/>
        <v>0</v>
      </c>
    </row>
    <row r="165" spans="1:24" ht="12.75" customHeight="1">
      <c r="A165" s="77" t="s">
        <v>612</v>
      </c>
      <c r="B165" s="291">
        <v>3425000</v>
      </c>
      <c r="C165" s="292">
        <f>234780+215420+194320+168470+222820+478190</f>
        <v>1514000</v>
      </c>
      <c r="D165" s="292">
        <v>494467</v>
      </c>
      <c r="E165" s="279">
        <f t="shared" si="38"/>
        <v>14.436992700729927</v>
      </c>
      <c r="F165" s="281">
        <f>D165-'[9]Maijs'!D165</f>
        <v>198510</v>
      </c>
      <c r="G165" s="77" t="s">
        <v>612</v>
      </c>
      <c r="H165" s="252">
        <f t="shared" si="39"/>
        <v>3425</v>
      </c>
      <c r="I165" s="252">
        <f>ROUND(C165/1000,0)</f>
        <v>1514</v>
      </c>
      <c r="J165" s="730">
        <f>ROUND(D165/1000,0)</f>
        <v>494</v>
      </c>
      <c r="K165" s="283">
        <f>J165/H165*100</f>
        <v>14.423357664233578</v>
      </c>
      <c r="L165" s="281">
        <f>J165-'[9]Maijs'!J165+1</f>
        <v>199</v>
      </c>
      <c r="N165" s="190">
        <v>494</v>
      </c>
      <c r="P165" s="190">
        <f>'[9]Maijs'!J165</f>
        <v>296</v>
      </c>
      <c r="R165" s="190">
        <f t="shared" si="32"/>
        <v>198</v>
      </c>
      <c r="T165" s="292">
        <v>494467</v>
      </c>
      <c r="V165" s="292">
        <v>295957</v>
      </c>
      <c r="X165" s="190">
        <f t="shared" si="33"/>
        <v>198510</v>
      </c>
    </row>
    <row r="166" spans="1:24" ht="12.75" customHeight="1">
      <c r="A166" s="250" t="s">
        <v>395</v>
      </c>
      <c r="B166" s="281">
        <f>B159-B162</f>
        <v>-2265000</v>
      </c>
      <c r="C166" s="281">
        <f>C159-C162</f>
        <v>-791370</v>
      </c>
      <c r="D166" s="281">
        <f>D159-D162</f>
        <v>284101</v>
      </c>
      <c r="E166" s="279">
        <f t="shared" si="38"/>
        <v>-12.543090507726271</v>
      </c>
      <c r="F166" s="281">
        <f>D166-'[9]Maijs'!D166</f>
        <v>60217</v>
      </c>
      <c r="G166" s="250" t="s">
        <v>395</v>
      </c>
      <c r="H166" s="252">
        <f t="shared" si="39"/>
        <v>-2265</v>
      </c>
      <c r="I166" s="252">
        <f>ROUND(C166/1000,0)</f>
        <v>-791</v>
      </c>
      <c r="J166" s="730">
        <f>J159-J162</f>
        <v>285</v>
      </c>
      <c r="K166" s="283"/>
      <c r="L166" s="281">
        <f>J166-'[9]Maijs'!J166-1</f>
        <v>60</v>
      </c>
      <c r="N166" s="190">
        <v>285</v>
      </c>
      <c r="P166" s="190">
        <f>'[9]Maijs'!J166</f>
        <v>224</v>
      </c>
      <c r="R166" s="190">
        <f t="shared" si="32"/>
        <v>61</v>
      </c>
      <c r="T166" s="281">
        <f>T159-T162</f>
        <v>284101</v>
      </c>
      <c r="V166" s="281">
        <f>V159-V162</f>
        <v>223884</v>
      </c>
      <c r="X166" s="190">
        <f t="shared" si="33"/>
        <v>60217</v>
      </c>
    </row>
    <row r="167" spans="1:24" ht="12.75" customHeight="1">
      <c r="A167" s="250" t="s">
        <v>586</v>
      </c>
      <c r="B167" s="252">
        <v>2265000</v>
      </c>
      <c r="C167" s="282">
        <f>178710+120050+68430+83700+110160+230320</f>
        <v>791370</v>
      </c>
      <c r="D167" s="282">
        <v>199691</v>
      </c>
      <c r="E167" s="279">
        <f t="shared" si="38"/>
        <v>8.816379690949228</v>
      </c>
      <c r="F167" s="281">
        <f>D167-'[9]Maijs'!D167</f>
        <v>16897</v>
      </c>
      <c r="G167" s="250" t="s">
        <v>586</v>
      </c>
      <c r="H167" s="252">
        <f t="shared" si="39"/>
        <v>2265</v>
      </c>
      <c r="I167" s="252">
        <f>ROUND(C167/1000,0)</f>
        <v>791</v>
      </c>
      <c r="J167" s="730">
        <f>ROUND(D167/1000,0)</f>
        <v>200</v>
      </c>
      <c r="K167" s="283">
        <f>J167/H167*100</f>
        <v>8.830022075055188</v>
      </c>
      <c r="L167" s="281">
        <f>J167-'[9]Maijs'!J167</f>
        <v>17</v>
      </c>
      <c r="N167" s="190">
        <v>200</v>
      </c>
      <c r="P167" s="190">
        <f>'[9]Maijs'!J167</f>
        <v>183</v>
      </c>
      <c r="R167" s="190">
        <f t="shared" si="32"/>
        <v>17</v>
      </c>
      <c r="T167" s="282">
        <v>199691</v>
      </c>
      <c r="V167" s="282">
        <v>182794</v>
      </c>
      <c r="X167" s="190">
        <f t="shared" si="33"/>
        <v>16897</v>
      </c>
    </row>
    <row r="168" spans="1:24" ht="24" customHeight="1">
      <c r="A168" s="76" t="s">
        <v>424</v>
      </c>
      <c r="B168" s="281"/>
      <c r="C168" s="281"/>
      <c r="D168" s="281"/>
      <c r="E168" s="279"/>
      <c r="F168" s="281">
        <f>D168-'[9]Maijs'!D168</f>
        <v>0</v>
      </c>
      <c r="G168" s="76" t="s">
        <v>424</v>
      </c>
      <c r="H168" s="252"/>
      <c r="I168" s="252"/>
      <c r="J168" s="730"/>
      <c r="K168" s="283"/>
      <c r="L168" s="281"/>
      <c r="P168" s="190">
        <f>'[9]Maijs'!J168</f>
        <v>0</v>
      </c>
      <c r="R168" s="190">
        <f t="shared" si="32"/>
        <v>0</v>
      </c>
      <c r="T168" s="281"/>
      <c r="V168" s="281"/>
      <c r="X168" s="190">
        <f t="shared" si="33"/>
        <v>0</v>
      </c>
    </row>
    <row r="169" spans="1:24" ht="12.75" customHeight="1">
      <c r="A169" s="244" t="s">
        <v>613</v>
      </c>
      <c r="B169" s="281"/>
      <c r="C169" s="281"/>
      <c r="D169" s="281"/>
      <c r="E169" s="279"/>
      <c r="F169" s="281">
        <f>D169-'[9]Maijs'!D169</f>
        <v>0</v>
      </c>
      <c r="G169" s="244" t="s">
        <v>613</v>
      </c>
      <c r="H169" s="252"/>
      <c r="I169" s="252"/>
      <c r="J169" s="730"/>
      <c r="K169" s="283"/>
      <c r="L169" s="281"/>
      <c r="P169" s="190">
        <f>'[9]Maijs'!J169</f>
        <v>0</v>
      </c>
      <c r="R169" s="190">
        <f t="shared" si="32"/>
        <v>0</v>
      </c>
      <c r="T169" s="281"/>
      <c r="V169" s="281"/>
      <c r="X169" s="190">
        <f t="shared" si="33"/>
        <v>0</v>
      </c>
    </row>
    <row r="170" spans="1:24" ht="12.75" customHeight="1">
      <c r="A170" s="250" t="s">
        <v>559</v>
      </c>
      <c r="B170" s="281">
        <f>SUM(B171:B173)</f>
        <v>9519100</v>
      </c>
      <c r="C170" s="285">
        <v>4070018</v>
      </c>
      <c r="D170" s="281">
        <f>SUM(D171:D173)</f>
        <v>3791452</v>
      </c>
      <c r="E170" s="279">
        <f aca="true" t="shared" si="40" ref="E170:E176">D170/B170*100</f>
        <v>39.82994190627265</v>
      </c>
      <c r="F170" s="281">
        <f>D170-'[9]Maijs'!D170</f>
        <v>571538</v>
      </c>
      <c r="G170" s="250" t="s">
        <v>559</v>
      </c>
      <c r="H170" s="252">
        <f>ROUND(B170/1000,0)</f>
        <v>9519</v>
      </c>
      <c r="I170" s="252">
        <f>ROUND(C170/1000,0)</f>
        <v>4070</v>
      </c>
      <c r="J170" s="730">
        <f>SUM(J171:J173)</f>
        <v>3791</v>
      </c>
      <c r="K170" s="283">
        <f aca="true" t="shared" si="41" ref="K170:K176">J170/H170*100</f>
        <v>39.82561193402668</v>
      </c>
      <c r="L170" s="281">
        <f>J170-'[9]Maijs'!J170+1</f>
        <v>572</v>
      </c>
      <c r="N170" s="190">
        <v>3791</v>
      </c>
      <c r="P170" s="190">
        <f>'[9]Maijs'!J170</f>
        <v>3220</v>
      </c>
      <c r="R170" s="190">
        <f t="shared" si="32"/>
        <v>571</v>
      </c>
      <c r="T170" s="281">
        <f>SUM(T171:T173)</f>
        <v>3791452</v>
      </c>
      <c r="V170" s="281">
        <f>SUM(V171:V173)</f>
        <v>3219914</v>
      </c>
      <c r="X170" s="190">
        <f t="shared" si="33"/>
        <v>571538</v>
      </c>
    </row>
    <row r="171" spans="1:24" ht="12.75" customHeight="1">
      <c r="A171" s="250" t="s">
        <v>614</v>
      </c>
      <c r="B171" s="252">
        <v>8951000</v>
      </c>
      <c r="C171" s="282"/>
      <c r="D171" s="282">
        <f>79952+2697844+91048+651143+16250</f>
        <v>3536237</v>
      </c>
      <c r="E171" s="279">
        <f t="shared" si="40"/>
        <v>39.50661378616914</v>
      </c>
      <c r="F171" s="281">
        <f>D171-'[9]Maijs'!D171</f>
        <v>545839</v>
      </c>
      <c r="G171" s="250" t="s">
        <v>614</v>
      </c>
      <c r="H171" s="252">
        <f aca="true" t="shared" si="42" ref="H171:H176">ROUND(B171/1000,0)</f>
        <v>8951</v>
      </c>
      <c r="I171" s="252"/>
      <c r="J171" s="730">
        <f>ROUND(D171/1000,0)</f>
        <v>3536</v>
      </c>
      <c r="K171" s="283">
        <f t="shared" si="41"/>
        <v>39.503966037314264</v>
      </c>
      <c r="L171" s="281">
        <f>J171-'[9]Maijs'!J171</f>
        <v>546</v>
      </c>
      <c r="N171" s="190">
        <v>3536</v>
      </c>
      <c r="P171" s="190">
        <f>'[9]Maijs'!J171</f>
        <v>2990</v>
      </c>
      <c r="R171" s="190">
        <f t="shared" si="32"/>
        <v>546</v>
      </c>
      <c r="T171" s="282">
        <f>79952+2697844+91048+651143+16250</f>
        <v>3536237</v>
      </c>
      <c r="V171" s="282">
        <f>60225+2490339+1+75690+351143+13000</f>
        <v>2990398</v>
      </c>
      <c r="X171" s="190">
        <f t="shared" si="33"/>
        <v>545839</v>
      </c>
    </row>
    <row r="172" spans="1:24" ht="24.75" customHeight="1">
      <c r="A172" s="69" t="s">
        <v>615</v>
      </c>
      <c r="B172" s="252">
        <v>350000</v>
      </c>
      <c r="C172" s="282"/>
      <c r="D172" s="282">
        <v>190927</v>
      </c>
      <c r="E172" s="279">
        <f t="shared" si="40"/>
        <v>54.55057142857142</v>
      </c>
      <c r="F172" s="281">
        <f>D172-'[9]Maijs'!D172</f>
        <v>6238</v>
      </c>
      <c r="G172" s="69" t="s">
        <v>615</v>
      </c>
      <c r="H172" s="252">
        <f t="shared" si="42"/>
        <v>350</v>
      </c>
      <c r="I172" s="252"/>
      <c r="J172" s="730">
        <f>ROUND(D172/1000,0)</f>
        <v>191</v>
      </c>
      <c r="K172" s="283">
        <f t="shared" si="41"/>
        <v>54.57142857142857</v>
      </c>
      <c r="L172" s="281">
        <f>J172-'[9]Maijs'!J172</f>
        <v>6</v>
      </c>
      <c r="N172" s="190">
        <v>191</v>
      </c>
      <c r="P172" s="190">
        <f>'[9]Maijs'!J172</f>
        <v>185</v>
      </c>
      <c r="R172" s="190">
        <f t="shared" si="32"/>
        <v>6</v>
      </c>
      <c r="T172" s="282">
        <v>190927</v>
      </c>
      <c r="V172" s="282">
        <v>184689</v>
      </c>
      <c r="X172" s="190">
        <f t="shared" si="33"/>
        <v>6238</v>
      </c>
    </row>
    <row r="173" spans="1:24" ht="12.75" customHeight="1">
      <c r="A173" s="290" t="s">
        <v>469</v>
      </c>
      <c r="B173" s="252">
        <f>150000+68100</f>
        <v>218100</v>
      </c>
      <c r="C173" s="282"/>
      <c r="D173" s="282">
        <f>321+32620+285+1670+19708+9684</f>
        <v>64288</v>
      </c>
      <c r="E173" s="279">
        <f t="shared" si="40"/>
        <v>29.476386978450254</v>
      </c>
      <c r="F173" s="281">
        <f>D173-'[9]Maijs'!D173</f>
        <v>19461</v>
      </c>
      <c r="G173" s="127" t="s">
        <v>469</v>
      </c>
      <c r="H173" s="252">
        <f t="shared" si="42"/>
        <v>218</v>
      </c>
      <c r="I173" s="252"/>
      <c r="J173" s="730">
        <f>ROUND(D173/1000,0)</f>
        <v>64</v>
      </c>
      <c r="K173" s="283">
        <f t="shared" si="41"/>
        <v>29.357798165137616</v>
      </c>
      <c r="L173" s="281">
        <f>J173-'[9]Maijs'!J173</f>
        <v>19</v>
      </c>
      <c r="N173" s="190">
        <v>64</v>
      </c>
      <c r="P173" s="190">
        <f>'[9]Maijs'!J173</f>
        <v>45</v>
      </c>
      <c r="R173" s="190">
        <f t="shared" si="32"/>
        <v>19</v>
      </c>
      <c r="T173" s="282">
        <f>321+32620+285+1670+19708+9684</f>
        <v>64288</v>
      </c>
      <c r="V173" s="282">
        <f>206+13657+233+1260+19708+9763</f>
        <v>44827</v>
      </c>
      <c r="X173" s="190">
        <f t="shared" si="33"/>
        <v>19461</v>
      </c>
    </row>
    <row r="174" spans="1:24" ht="12.75" customHeight="1">
      <c r="A174" s="250" t="s">
        <v>561</v>
      </c>
      <c r="B174" s="281">
        <f>SUM(B175:B176)</f>
        <v>9370924</v>
      </c>
      <c r="C174" s="281">
        <f>SUM(C175:C176)</f>
        <v>4063342</v>
      </c>
      <c r="D174" s="281">
        <f>SUM(D175:D176)</f>
        <v>1614991</v>
      </c>
      <c r="E174" s="279">
        <f t="shared" si="40"/>
        <v>17.234063577935324</v>
      </c>
      <c r="F174" s="281">
        <f>D174-'[9]Maijs'!D174</f>
        <v>341683</v>
      </c>
      <c r="G174" s="250" t="s">
        <v>561</v>
      </c>
      <c r="H174" s="252">
        <f t="shared" si="42"/>
        <v>9371</v>
      </c>
      <c r="I174" s="282">
        <f>SUM(I175:I176)</f>
        <v>4063</v>
      </c>
      <c r="J174" s="730">
        <f>SUM(J175:J176)</f>
        <v>1615</v>
      </c>
      <c r="K174" s="283">
        <f t="shared" si="41"/>
        <v>17.23401984846868</v>
      </c>
      <c r="L174" s="281">
        <f>J174-'[9]Maijs'!J174</f>
        <v>342</v>
      </c>
      <c r="N174" s="190">
        <v>1615</v>
      </c>
      <c r="P174" s="190">
        <f>'[9]Maijs'!J174</f>
        <v>1273</v>
      </c>
      <c r="R174" s="190">
        <f t="shared" si="32"/>
        <v>342</v>
      </c>
      <c r="T174" s="281">
        <f>SUM(T175:T176)</f>
        <v>1614991</v>
      </c>
      <c r="V174" s="281">
        <f>SUM(V175:V176)</f>
        <v>1273308</v>
      </c>
      <c r="X174" s="190">
        <f t="shared" si="33"/>
        <v>341683</v>
      </c>
    </row>
    <row r="175" spans="1:24" ht="12.75" customHeight="1">
      <c r="A175" s="250" t="s">
        <v>562</v>
      </c>
      <c r="B175" s="252">
        <v>6547804</v>
      </c>
      <c r="C175" s="282">
        <v>2823482</v>
      </c>
      <c r="D175" s="282">
        <f>'[10]Junijs'!$E$8</f>
        <v>1518218</v>
      </c>
      <c r="E175" s="279">
        <f t="shared" si="40"/>
        <v>23.186674494227375</v>
      </c>
      <c r="F175" s="281">
        <f>D175-'[9]Maijs'!D175</f>
        <v>276082</v>
      </c>
      <c r="G175" s="250" t="s">
        <v>562</v>
      </c>
      <c r="H175" s="252">
        <f t="shared" si="42"/>
        <v>6548</v>
      </c>
      <c r="I175" s="252">
        <f>ROUND(C175/1000,0)</f>
        <v>2823</v>
      </c>
      <c r="J175" s="730">
        <f>ROUND(D175/1000,0)</f>
        <v>1518</v>
      </c>
      <c r="K175" s="283">
        <f t="shared" si="41"/>
        <v>23.182651191203423</v>
      </c>
      <c r="L175" s="281">
        <f>J175-'[9]Maijs'!J175</f>
        <v>276</v>
      </c>
      <c r="N175" s="190">
        <v>1518</v>
      </c>
      <c r="P175" s="190">
        <f>'[9]Maijs'!J175</f>
        <v>1242</v>
      </c>
      <c r="R175" s="190">
        <f t="shared" si="32"/>
        <v>276</v>
      </c>
      <c r="T175" s="282">
        <f>'[10]Junijs'!$E$8</f>
        <v>1518218</v>
      </c>
      <c r="V175" s="282">
        <f>'[10]Maijs'!$E$8</f>
        <v>1242136</v>
      </c>
      <c r="X175" s="190">
        <f t="shared" si="33"/>
        <v>276082</v>
      </c>
    </row>
    <row r="176" spans="1:24" ht="12.75" customHeight="1">
      <c r="A176" s="250" t="s">
        <v>556</v>
      </c>
      <c r="B176" s="252">
        <v>2823120</v>
      </c>
      <c r="C176" s="282">
        <v>1239860</v>
      </c>
      <c r="D176" s="282">
        <f>'[10]Junijs'!$E$30</f>
        <v>96773</v>
      </c>
      <c r="E176" s="279">
        <f t="shared" si="40"/>
        <v>3.4278741250814706</v>
      </c>
      <c r="F176" s="281">
        <f>D176-'[9]Maijs'!D176</f>
        <v>65601</v>
      </c>
      <c r="G176" s="250" t="s">
        <v>556</v>
      </c>
      <c r="H176" s="252">
        <f t="shared" si="42"/>
        <v>2823</v>
      </c>
      <c r="I176" s="252">
        <f>ROUND(C176/1000,0)</f>
        <v>1240</v>
      </c>
      <c r="J176" s="730">
        <f>ROUND(D176/1000,0)</f>
        <v>97</v>
      </c>
      <c r="K176" s="283">
        <f t="shared" si="41"/>
        <v>3.4360609280906838</v>
      </c>
      <c r="L176" s="281">
        <f>J176-'[9]Maijs'!J176</f>
        <v>66</v>
      </c>
      <c r="N176" s="190">
        <v>97</v>
      </c>
      <c r="P176" s="190">
        <f>'[9]Maijs'!J176</f>
        <v>31</v>
      </c>
      <c r="R176" s="190">
        <f t="shared" si="32"/>
        <v>66</v>
      </c>
      <c r="T176" s="282">
        <f>'[10]Junijs'!$E$30</f>
        <v>96773</v>
      </c>
      <c r="V176" s="282">
        <f>'[10]Maijs'!$E$30</f>
        <v>31172</v>
      </c>
      <c r="X176" s="190">
        <f t="shared" si="33"/>
        <v>65601</v>
      </c>
    </row>
    <row r="177" spans="1:24" ht="12.75" customHeight="1">
      <c r="A177" s="32" t="s">
        <v>426</v>
      </c>
      <c r="B177" s="281"/>
      <c r="C177" s="281"/>
      <c r="D177" s="281"/>
      <c r="E177" s="279"/>
      <c r="F177" s="281">
        <f>D177-'[9]Maijs'!D177</f>
        <v>0</v>
      </c>
      <c r="G177" s="32" t="s">
        <v>426</v>
      </c>
      <c r="H177" s="252"/>
      <c r="I177" s="252"/>
      <c r="J177" s="730"/>
      <c r="K177" s="283"/>
      <c r="L177" s="281"/>
      <c r="P177" s="190">
        <f>'[9]Maijs'!J177</f>
        <v>0</v>
      </c>
      <c r="R177" s="190">
        <f t="shared" si="32"/>
        <v>0</v>
      </c>
      <c r="T177" s="281"/>
      <c r="V177" s="281"/>
      <c r="X177" s="190">
        <f t="shared" si="33"/>
        <v>0</v>
      </c>
    </row>
    <row r="178" spans="1:24" ht="12.75" customHeight="1">
      <c r="A178" s="244" t="s">
        <v>616</v>
      </c>
      <c r="B178" s="281"/>
      <c r="C178" s="281"/>
      <c r="D178" s="281"/>
      <c r="E178" s="279"/>
      <c r="F178" s="281">
        <f>D178-'[9]Maijs'!D178</f>
        <v>0</v>
      </c>
      <c r="G178" s="244" t="s">
        <v>616</v>
      </c>
      <c r="H178" s="252"/>
      <c r="I178" s="252"/>
      <c r="J178" s="730"/>
      <c r="K178" s="283"/>
      <c r="L178" s="281"/>
      <c r="P178" s="190">
        <f>'[9]Maijs'!J178</f>
        <v>0</v>
      </c>
      <c r="R178" s="190">
        <f t="shared" si="32"/>
        <v>0</v>
      </c>
      <c r="T178" s="281"/>
      <c r="V178" s="281"/>
      <c r="X178" s="190">
        <f t="shared" si="33"/>
        <v>0</v>
      </c>
    </row>
    <row r="179" spans="1:24" ht="12.75" customHeight="1">
      <c r="A179" s="250" t="s">
        <v>559</v>
      </c>
      <c r="B179" s="281">
        <f>SUM(B180:B181)</f>
        <v>2272860</v>
      </c>
      <c r="C179" s="285">
        <v>1107000</v>
      </c>
      <c r="D179" s="281">
        <f>SUM(D180:D181)</f>
        <v>914116</v>
      </c>
      <c r="E179" s="279">
        <f>D179/B179*100</f>
        <v>40.21875522469488</v>
      </c>
      <c r="F179" s="281">
        <f>D179-'[9]Maijs'!D179</f>
        <v>183894</v>
      </c>
      <c r="G179" s="250" t="s">
        <v>559</v>
      </c>
      <c r="H179" s="252">
        <f>ROUND(B179/1000,0)</f>
        <v>2273</v>
      </c>
      <c r="I179" s="252">
        <f>ROUND(C179/1000,0)</f>
        <v>1107</v>
      </c>
      <c r="J179" s="730">
        <f>SUM(J180:J181)</f>
        <v>914</v>
      </c>
      <c r="K179" s="283">
        <f>J179/H179*100</f>
        <v>40.211174659040914</v>
      </c>
      <c r="L179" s="281">
        <f>J179-'[9]Maijs'!J179</f>
        <v>184</v>
      </c>
      <c r="N179" s="190">
        <v>914</v>
      </c>
      <c r="P179" s="190">
        <f>'[9]Maijs'!J179</f>
        <v>730</v>
      </c>
      <c r="R179" s="190">
        <f t="shared" si="32"/>
        <v>184</v>
      </c>
      <c r="T179" s="281">
        <f>SUM(T180:T181)</f>
        <v>914116</v>
      </c>
      <c r="V179" s="281">
        <f>SUM(V180:V181)</f>
        <v>730222</v>
      </c>
      <c r="X179" s="190">
        <f t="shared" si="33"/>
        <v>183894</v>
      </c>
    </row>
    <row r="180" spans="1:24" ht="24.75" customHeight="1">
      <c r="A180" s="69" t="s">
        <v>617</v>
      </c>
      <c r="B180" s="252">
        <v>1608660</v>
      </c>
      <c r="C180" s="282"/>
      <c r="D180" s="282">
        <v>595141</v>
      </c>
      <c r="E180" s="279">
        <f>D180/B180*100</f>
        <v>36.99607126428207</v>
      </c>
      <c r="F180" s="281">
        <f>D180-'[9]Maijs'!D180</f>
        <v>122086</v>
      </c>
      <c r="G180" s="69" t="s">
        <v>617</v>
      </c>
      <c r="H180" s="252">
        <f>ROUND(B180/1000,0)</f>
        <v>1609</v>
      </c>
      <c r="I180" s="252"/>
      <c r="J180" s="730">
        <f>ROUND(D180/1000,0)</f>
        <v>595</v>
      </c>
      <c r="K180" s="283">
        <f>J180/H180*100</f>
        <v>36.979490366687386</v>
      </c>
      <c r="L180" s="281">
        <f>J180-'[9]Maijs'!J180</f>
        <v>122</v>
      </c>
      <c r="N180" s="190">
        <v>595</v>
      </c>
      <c r="P180" s="190">
        <f>'[9]Maijs'!J180</f>
        <v>473</v>
      </c>
      <c r="R180" s="190">
        <f t="shared" si="32"/>
        <v>122</v>
      </c>
      <c r="T180" s="282">
        <v>595141</v>
      </c>
      <c r="V180" s="282">
        <v>473055</v>
      </c>
      <c r="X180" s="190">
        <f t="shared" si="33"/>
        <v>122086</v>
      </c>
    </row>
    <row r="181" spans="1:24" ht="24" customHeight="1">
      <c r="A181" s="69" t="s">
        <v>618</v>
      </c>
      <c r="B181" s="252">
        <v>664200</v>
      </c>
      <c r="C181" s="282"/>
      <c r="D181" s="282">
        <v>318975</v>
      </c>
      <c r="E181" s="279">
        <f>D181/B181*100</f>
        <v>48.02393857271906</v>
      </c>
      <c r="F181" s="281">
        <f>D181-'[9]Maijs'!D181</f>
        <v>61808</v>
      </c>
      <c r="G181" s="69" t="s">
        <v>618</v>
      </c>
      <c r="H181" s="252">
        <f>ROUND(B181/1000,0)</f>
        <v>664</v>
      </c>
      <c r="I181" s="252"/>
      <c r="J181" s="730">
        <f>ROUND(D181/1000,0)</f>
        <v>319</v>
      </c>
      <c r="K181" s="283">
        <f>J181/H181*100</f>
        <v>48.04216867469879</v>
      </c>
      <c r="L181" s="281">
        <f>J181-'[9]Maijs'!J181</f>
        <v>62</v>
      </c>
      <c r="N181" s="190">
        <v>319</v>
      </c>
      <c r="P181" s="190">
        <f>'[9]Maijs'!J181</f>
        <v>257</v>
      </c>
      <c r="R181" s="190">
        <f t="shared" si="32"/>
        <v>62</v>
      </c>
      <c r="T181" s="282">
        <v>318975</v>
      </c>
      <c r="V181" s="282">
        <v>257167</v>
      </c>
      <c r="X181" s="190">
        <f t="shared" si="33"/>
        <v>61808</v>
      </c>
    </row>
    <row r="182" spans="1:24" ht="12.75" customHeight="1">
      <c r="A182" s="250" t="s">
        <v>561</v>
      </c>
      <c r="B182" s="281">
        <f>B183</f>
        <v>2272860</v>
      </c>
      <c r="C182" s="281">
        <f>C183</f>
        <v>1107000</v>
      </c>
      <c r="D182" s="281">
        <f>D183</f>
        <v>913489</v>
      </c>
      <c r="E182" s="279">
        <f>D182/B182*100</f>
        <v>40.191168835739994</v>
      </c>
      <c r="F182" s="281">
        <f>D182-'[9]Maijs'!D182</f>
        <v>181846</v>
      </c>
      <c r="G182" s="250" t="s">
        <v>561</v>
      </c>
      <c r="H182" s="252">
        <f>ROUND(B182/1000,0)</f>
        <v>2273</v>
      </c>
      <c r="I182" s="282">
        <f>I183</f>
        <v>1107</v>
      </c>
      <c r="J182" s="730">
        <f>J183</f>
        <v>913</v>
      </c>
      <c r="K182" s="283">
        <f>J182/H182*100</f>
        <v>40.16717993840739</v>
      </c>
      <c r="L182" s="281">
        <f>J182-'[9]Maijs'!J182+1</f>
        <v>182</v>
      </c>
      <c r="N182" s="190">
        <v>913</v>
      </c>
      <c r="P182" s="190">
        <f>'[9]Maijs'!J182</f>
        <v>732</v>
      </c>
      <c r="R182" s="190">
        <f t="shared" si="32"/>
        <v>181</v>
      </c>
      <c r="T182" s="281">
        <f>T183</f>
        <v>913489</v>
      </c>
      <c r="V182" s="281">
        <f>V183</f>
        <v>731643</v>
      </c>
      <c r="X182" s="190">
        <f t="shared" si="33"/>
        <v>181846</v>
      </c>
    </row>
    <row r="183" spans="1:24" ht="12.75" customHeight="1">
      <c r="A183" s="250" t="s">
        <v>562</v>
      </c>
      <c r="B183" s="252">
        <v>2272860</v>
      </c>
      <c r="C183" s="282">
        <v>1107000</v>
      </c>
      <c r="D183" s="282">
        <f>'[10]Junijs'!$Q$8</f>
        <v>913489</v>
      </c>
      <c r="E183" s="279">
        <f>D183/B183*100</f>
        <v>40.191168835739994</v>
      </c>
      <c r="F183" s="281">
        <f>D183-'[9]Maijs'!D183</f>
        <v>181846</v>
      </c>
      <c r="G183" s="250" t="s">
        <v>562</v>
      </c>
      <c r="H183" s="252">
        <f>ROUND(B183/1000,0)</f>
        <v>2273</v>
      </c>
      <c r="I183" s="252">
        <f>ROUND(C183/1000,0)</f>
        <v>1107</v>
      </c>
      <c r="J183" s="730">
        <f>ROUND(D183/1000,0)</f>
        <v>913</v>
      </c>
      <c r="K183" s="283">
        <f>J183/H183*100</f>
        <v>40.16717993840739</v>
      </c>
      <c r="L183" s="281">
        <f>J183-'[9]Maijs'!J183+1</f>
        <v>182</v>
      </c>
      <c r="N183" s="190">
        <v>913</v>
      </c>
      <c r="P183" s="190">
        <f>'[9]Maijs'!J183</f>
        <v>732</v>
      </c>
      <c r="R183" s="190">
        <f t="shared" si="32"/>
        <v>181</v>
      </c>
      <c r="T183" s="282">
        <f>'[10]Junijs'!$Q$8</f>
        <v>913489</v>
      </c>
      <c r="V183" s="282">
        <f>'[10]Maijs'!$Q$8</f>
        <v>731643</v>
      </c>
      <c r="X183" s="190">
        <f t="shared" si="33"/>
        <v>181846</v>
      </c>
    </row>
    <row r="184" spans="1:24" ht="25.5" customHeight="1">
      <c r="A184" s="76" t="s">
        <v>619</v>
      </c>
      <c r="B184" s="281"/>
      <c r="C184" s="281"/>
      <c r="D184" s="281"/>
      <c r="E184" s="279"/>
      <c r="F184" s="281">
        <f>D184-'[9]Maijs'!D184</f>
        <v>0</v>
      </c>
      <c r="G184" s="76" t="s">
        <v>619</v>
      </c>
      <c r="H184" s="252"/>
      <c r="I184" s="252"/>
      <c r="J184" s="730"/>
      <c r="K184" s="283"/>
      <c r="L184" s="281"/>
      <c r="P184" s="190">
        <f>'[9]Maijs'!J184</f>
        <v>0</v>
      </c>
      <c r="R184" s="190">
        <f t="shared" si="32"/>
        <v>0</v>
      </c>
      <c r="T184" s="281"/>
      <c r="V184" s="281"/>
      <c r="X184" s="190">
        <f t="shared" si="33"/>
        <v>0</v>
      </c>
    </row>
    <row r="185" spans="1:24" ht="12.75" customHeight="1">
      <c r="A185" s="290" t="s">
        <v>559</v>
      </c>
      <c r="B185" s="281">
        <f>B186</f>
        <v>129565</v>
      </c>
      <c r="C185" s="285">
        <v>62914</v>
      </c>
      <c r="D185" s="281">
        <f>D186</f>
        <v>54061</v>
      </c>
      <c r="E185" s="279">
        <f>D185/B185*100</f>
        <v>41.725002894300154</v>
      </c>
      <c r="F185" s="281">
        <f>D185-'[9]Maijs'!D185</f>
        <v>511</v>
      </c>
      <c r="G185" s="127" t="s">
        <v>559</v>
      </c>
      <c r="H185" s="252">
        <f>ROUND(B185/1000,0)-1</f>
        <v>129</v>
      </c>
      <c r="I185" s="252">
        <f>ROUND(C185/1000,0)</f>
        <v>63</v>
      </c>
      <c r="J185" s="730">
        <f>J186</f>
        <v>54</v>
      </c>
      <c r="K185" s="283">
        <f>J185/H185*100</f>
        <v>41.86046511627907</v>
      </c>
      <c r="L185" s="281">
        <f>J185-'[9]Maijs'!J185</f>
        <v>0</v>
      </c>
      <c r="N185" s="190">
        <v>54</v>
      </c>
      <c r="P185" s="190">
        <f>'[9]Maijs'!J185</f>
        <v>54</v>
      </c>
      <c r="R185" s="190">
        <f t="shared" si="32"/>
        <v>0</v>
      </c>
      <c r="T185" s="281">
        <f>T186</f>
        <v>54061</v>
      </c>
      <c r="V185" s="281">
        <f>V186</f>
        <v>53550</v>
      </c>
      <c r="X185" s="190">
        <f t="shared" si="33"/>
        <v>511</v>
      </c>
    </row>
    <row r="186" spans="1:24" ht="12.75" customHeight="1">
      <c r="A186" s="69" t="s">
        <v>469</v>
      </c>
      <c r="B186" s="252">
        <v>129565</v>
      </c>
      <c r="C186" s="282"/>
      <c r="D186" s="282">
        <f>'[10]Junijs'!$P$6</f>
        <v>54061</v>
      </c>
      <c r="E186" s="279">
        <f>D186/B186*100</f>
        <v>41.725002894300154</v>
      </c>
      <c r="F186" s="281">
        <f>D186-'[9]Maijs'!D186</f>
        <v>511</v>
      </c>
      <c r="G186" s="69" t="s">
        <v>469</v>
      </c>
      <c r="H186" s="252">
        <f>ROUND(B186/1000,0)-1</f>
        <v>129</v>
      </c>
      <c r="I186" s="252"/>
      <c r="J186" s="730">
        <f>ROUND(D186/1000,0)</f>
        <v>54</v>
      </c>
      <c r="K186" s="283">
        <f>J186/H186*100</f>
        <v>41.86046511627907</v>
      </c>
      <c r="L186" s="281">
        <f>J186-'[9]Maijs'!J186</f>
        <v>0</v>
      </c>
      <c r="N186" s="190">
        <v>54</v>
      </c>
      <c r="P186" s="190">
        <f>'[9]Maijs'!J186</f>
        <v>54</v>
      </c>
      <c r="R186" s="190">
        <f t="shared" si="32"/>
        <v>0</v>
      </c>
      <c r="T186" s="282">
        <f>'[10]Junijs'!$P$6</f>
        <v>54061</v>
      </c>
      <c r="V186" s="282">
        <f>'[10]Maijs'!$P$6</f>
        <v>53550</v>
      </c>
      <c r="X186" s="190">
        <f t="shared" si="33"/>
        <v>511</v>
      </c>
    </row>
    <row r="187" spans="1:24" ht="12.75" customHeight="1">
      <c r="A187" s="250" t="s">
        <v>561</v>
      </c>
      <c r="B187" s="281">
        <f>B188+B190</f>
        <v>756987</v>
      </c>
      <c r="C187" s="281">
        <f>C188+C190</f>
        <v>91289</v>
      </c>
      <c r="D187" s="281">
        <f>D188+D190</f>
        <v>62993</v>
      </c>
      <c r="E187" s="279">
        <f>D187/B187*100</f>
        <v>8.321543170490378</v>
      </c>
      <c r="F187" s="281">
        <f>D187-'[9]Maijs'!D187</f>
        <v>8712</v>
      </c>
      <c r="G187" s="250" t="s">
        <v>561</v>
      </c>
      <c r="H187" s="252">
        <f aca="true" t="shared" si="43" ref="H187:H192">ROUND(B187/1000,0)</f>
        <v>757</v>
      </c>
      <c r="I187" s="282">
        <f>I188+I190</f>
        <v>91</v>
      </c>
      <c r="J187" s="730">
        <f>J188+J190</f>
        <v>63</v>
      </c>
      <c r="K187" s="283">
        <f>J187/H187*100</f>
        <v>8.3223249669749</v>
      </c>
      <c r="L187" s="281">
        <f>J187-'[9]Maijs'!J187</f>
        <v>9</v>
      </c>
      <c r="N187" s="190">
        <v>63</v>
      </c>
      <c r="P187" s="190">
        <f>'[9]Maijs'!J187</f>
        <v>54</v>
      </c>
      <c r="R187" s="190">
        <f t="shared" si="32"/>
        <v>9</v>
      </c>
      <c r="T187" s="281">
        <f>T188+T190</f>
        <v>62993</v>
      </c>
      <c r="V187" s="281">
        <f>V188+V190</f>
        <v>54281</v>
      </c>
      <c r="X187" s="190">
        <f t="shared" si="33"/>
        <v>8712</v>
      </c>
    </row>
    <row r="188" spans="1:24" ht="12.75" customHeight="1">
      <c r="A188" s="250" t="s">
        <v>562</v>
      </c>
      <c r="B188" s="252">
        <v>753987</v>
      </c>
      <c r="C188" s="282">
        <v>88289</v>
      </c>
      <c r="D188" s="282">
        <f>'[10]Junijs'!$P$8</f>
        <v>62823</v>
      </c>
      <c r="E188" s="279">
        <f>D188/B188*100</f>
        <v>8.33210652173048</v>
      </c>
      <c r="F188" s="281">
        <f>D188-'[9]Maijs'!D188</f>
        <v>8712</v>
      </c>
      <c r="G188" s="250" t="s">
        <v>562</v>
      </c>
      <c r="H188" s="252">
        <f t="shared" si="43"/>
        <v>754</v>
      </c>
      <c r="I188" s="252">
        <f>ROUND(C188/1000,0)</f>
        <v>88</v>
      </c>
      <c r="J188" s="730">
        <f>ROUND(D188/1000,0)</f>
        <v>63</v>
      </c>
      <c r="K188" s="283">
        <f>J188/H188*100</f>
        <v>8.355437665782492</v>
      </c>
      <c r="L188" s="281">
        <f>J188-'[9]Maijs'!J188</f>
        <v>9</v>
      </c>
      <c r="N188" s="190">
        <v>63</v>
      </c>
      <c r="P188" s="190">
        <f>'[9]Maijs'!J188</f>
        <v>54</v>
      </c>
      <c r="R188" s="190">
        <f t="shared" si="32"/>
        <v>9</v>
      </c>
      <c r="T188" s="282">
        <f>'[10]Junijs'!$P$8</f>
        <v>62823</v>
      </c>
      <c r="V188" s="282">
        <f>'[10]Maijs'!$P$8</f>
        <v>54111</v>
      </c>
      <c r="X188" s="190">
        <f t="shared" si="33"/>
        <v>8712</v>
      </c>
    </row>
    <row r="189" spans="1:24" ht="12.75" customHeight="1">
      <c r="A189" s="284" t="s">
        <v>593</v>
      </c>
      <c r="B189" s="252">
        <v>20897</v>
      </c>
      <c r="C189" s="282"/>
      <c r="D189" s="282">
        <f>'[10]Junijs'!$P$15</f>
        <v>5449</v>
      </c>
      <c r="E189" s="279"/>
      <c r="F189" s="281">
        <f>D189-'[9]Maijs'!D189</f>
        <v>0</v>
      </c>
      <c r="G189" s="284" t="s">
        <v>593</v>
      </c>
      <c r="H189" s="252">
        <f t="shared" si="43"/>
        <v>21</v>
      </c>
      <c r="I189" s="252"/>
      <c r="J189" s="730">
        <f>ROUND(D189/1000,0)</f>
        <v>5</v>
      </c>
      <c r="K189" s="283">
        <f>J189/H189*100</f>
        <v>23.809523809523807</v>
      </c>
      <c r="L189" s="281"/>
      <c r="N189" s="190">
        <v>5</v>
      </c>
      <c r="P189" s="190">
        <f>'[9]Maijs'!J189</f>
        <v>5</v>
      </c>
      <c r="R189" s="190">
        <f t="shared" si="32"/>
        <v>0</v>
      </c>
      <c r="T189" s="282">
        <f>'[10]Junijs'!$P$15</f>
        <v>5449</v>
      </c>
      <c r="V189" s="282">
        <f>'[10]Maijs'!$P$15</f>
        <v>5449</v>
      </c>
      <c r="X189" s="190">
        <f t="shared" si="33"/>
        <v>0</v>
      </c>
    </row>
    <row r="190" spans="1:24" ht="12.75" customHeight="1">
      <c r="A190" s="250" t="s">
        <v>556</v>
      </c>
      <c r="B190" s="252">
        <v>3000</v>
      </c>
      <c r="C190" s="282">
        <v>3000</v>
      </c>
      <c r="D190" s="282">
        <f>'[10]Junijs'!$P$30</f>
        <v>170</v>
      </c>
      <c r="E190" s="279"/>
      <c r="F190" s="281">
        <f>D190-'[9]Maijs'!D190</f>
        <v>0</v>
      </c>
      <c r="G190" s="250" t="s">
        <v>556</v>
      </c>
      <c r="H190" s="252">
        <f t="shared" si="43"/>
        <v>3</v>
      </c>
      <c r="I190" s="252">
        <f>ROUND(C190/1000,0)</f>
        <v>3</v>
      </c>
      <c r="J190" s="730"/>
      <c r="K190" s="283"/>
      <c r="L190" s="281"/>
      <c r="P190" s="190">
        <f>'[9]Maijs'!J190</f>
        <v>0</v>
      </c>
      <c r="R190" s="190">
        <f t="shared" si="32"/>
        <v>0</v>
      </c>
      <c r="T190" s="282">
        <f>'[10]Junijs'!$P$30</f>
        <v>170</v>
      </c>
      <c r="V190" s="282">
        <f>'[10]Maijs'!$P$30</f>
        <v>170</v>
      </c>
      <c r="X190" s="190">
        <f t="shared" si="33"/>
        <v>0</v>
      </c>
    </row>
    <row r="191" spans="1:24" ht="12.75" customHeight="1">
      <c r="A191" s="250" t="s">
        <v>395</v>
      </c>
      <c r="B191" s="281">
        <f>B185-B187</f>
        <v>-627422</v>
      </c>
      <c r="C191" s="285">
        <f>C185-C187</f>
        <v>-28375</v>
      </c>
      <c r="D191" s="281">
        <f>D185-D187</f>
        <v>-8932</v>
      </c>
      <c r="E191" s="279">
        <f>-D191/B191*100</f>
        <v>-1.423603252675233</v>
      </c>
      <c r="F191" s="281">
        <f>D191-'[9]Maijs'!D191</f>
        <v>-8201</v>
      </c>
      <c r="G191" s="250" t="s">
        <v>395</v>
      </c>
      <c r="H191" s="252">
        <f t="shared" si="43"/>
        <v>-627</v>
      </c>
      <c r="I191" s="252">
        <f>I185-I187</f>
        <v>-28</v>
      </c>
      <c r="J191" s="737">
        <f>J185-J187</f>
        <v>-9</v>
      </c>
      <c r="K191" s="283">
        <f>J191/H191*100</f>
        <v>1.4354066985645932</v>
      </c>
      <c r="L191" s="281">
        <f>J191-'[9]Maijs'!J191</f>
        <v>-9</v>
      </c>
      <c r="N191" s="190">
        <v>-9</v>
      </c>
      <c r="P191" s="190">
        <f>'[9]Maijs'!J191</f>
        <v>0</v>
      </c>
      <c r="R191" s="190">
        <f t="shared" si="32"/>
        <v>-9</v>
      </c>
      <c r="T191" s="281">
        <f>T185-T187</f>
        <v>-8932</v>
      </c>
      <c r="V191" s="281">
        <f>V185-V187</f>
        <v>-731</v>
      </c>
      <c r="X191" s="190">
        <f t="shared" si="33"/>
        <v>-8201</v>
      </c>
    </row>
    <row r="192" spans="1:24" ht="12.75" customHeight="1">
      <c r="A192" s="250" t="s">
        <v>586</v>
      </c>
      <c r="B192" s="281">
        <v>628375</v>
      </c>
      <c r="C192" s="285">
        <f>4730+4729+4729+4729+4729+4729</f>
        <v>28375</v>
      </c>
      <c r="D192" s="285">
        <f>'[10]Junijs'!$P$43</f>
        <v>27435</v>
      </c>
      <c r="E192" s="279"/>
      <c r="F192" s="281">
        <f>D192-'[9]Maijs'!D192</f>
        <v>3789</v>
      </c>
      <c r="G192" s="250" t="s">
        <v>586</v>
      </c>
      <c r="H192" s="252">
        <f t="shared" si="43"/>
        <v>628</v>
      </c>
      <c r="I192" s="252">
        <f>ROUND(C192/1000,0)</f>
        <v>28</v>
      </c>
      <c r="J192" s="730">
        <f>ROUND(D192/1000,0)</f>
        <v>27</v>
      </c>
      <c r="K192" s="283">
        <f>J192/H192*100</f>
        <v>4.2993630573248405</v>
      </c>
      <c r="L192" s="281">
        <f>J192-'[9]Maijs'!J192</f>
        <v>3</v>
      </c>
      <c r="N192" s="190">
        <v>27</v>
      </c>
      <c r="P192" s="190">
        <f>'[9]Maijs'!J192</f>
        <v>24</v>
      </c>
      <c r="R192" s="190">
        <f t="shared" si="32"/>
        <v>3</v>
      </c>
      <c r="T192" s="285">
        <f>'[10]Junijs'!$P$43</f>
        <v>27435</v>
      </c>
      <c r="V192" s="285">
        <f>'[10]Maijs'!$P$43</f>
        <v>23646</v>
      </c>
      <c r="X192" s="190">
        <f t="shared" si="33"/>
        <v>3789</v>
      </c>
    </row>
    <row r="193" spans="2:12" ht="17.25" customHeight="1">
      <c r="B193" s="86"/>
      <c r="C193" s="86"/>
      <c r="D193" s="86"/>
      <c r="E193" s="293"/>
      <c r="F193" s="86"/>
      <c r="G193" s="708" t="s">
        <v>139</v>
      </c>
      <c r="H193" s="86"/>
      <c r="I193" s="86"/>
      <c r="J193" s="742"/>
      <c r="K193" s="294"/>
      <c r="L193" s="86"/>
    </row>
    <row r="194" spans="1:12" ht="17.25" customHeight="1">
      <c r="A194" s="842"/>
      <c r="B194" s="842"/>
      <c r="C194" s="842"/>
      <c r="D194" s="842"/>
      <c r="E194" s="842"/>
      <c r="F194" s="264"/>
      <c r="G194" s="843" t="s">
        <v>189</v>
      </c>
      <c r="H194" s="843"/>
      <c r="I194" s="843"/>
      <c r="J194" s="743">
        <v>15281</v>
      </c>
      <c r="K194" s="844" t="s">
        <v>620</v>
      </c>
      <c r="L194" s="844"/>
    </row>
    <row r="195" spans="3:12" ht="17.25" customHeight="1">
      <c r="C195" s="295"/>
      <c r="D195" s="295"/>
      <c r="E195" s="293"/>
      <c r="F195" s="264"/>
      <c r="I195" s="295"/>
      <c r="J195" s="744"/>
      <c r="K195" s="294"/>
      <c r="L195" s="264"/>
    </row>
    <row r="196" spans="3:12" ht="17.25" customHeight="1">
      <c r="C196" s="264"/>
      <c r="D196" s="264"/>
      <c r="E196" s="296"/>
      <c r="F196" s="264"/>
      <c r="K196" s="297"/>
      <c r="L196" s="264"/>
    </row>
    <row r="197" spans="1:12" ht="17.25" customHeight="1">
      <c r="A197" s="41"/>
      <c r="B197" s="39"/>
      <c r="C197" s="39"/>
      <c r="D197" s="39"/>
      <c r="E197" s="298"/>
      <c r="F197" s="264"/>
      <c r="G197" s="745" t="s">
        <v>140</v>
      </c>
      <c r="H197" s="180"/>
      <c r="I197" s="180"/>
      <c r="J197" s="746" t="s">
        <v>376</v>
      </c>
      <c r="K197" s="299"/>
      <c r="L197" s="264"/>
    </row>
    <row r="198" spans="5:12" ht="17.25" customHeight="1">
      <c r="E198" s="300"/>
      <c r="F198" s="264"/>
      <c r="K198" s="301"/>
      <c r="L198" s="264"/>
    </row>
    <row r="199" spans="2:12" ht="17.25" customHeight="1">
      <c r="B199" s="264"/>
      <c r="C199" s="264"/>
      <c r="D199" s="264"/>
      <c r="E199" s="300"/>
      <c r="F199" s="264"/>
      <c r="H199" s="264"/>
      <c r="I199" s="264"/>
      <c r="J199" s="747"/>
      <c r="K199" s="301"/>
      <c r="L199" s="264"/>
    </row>
    <row r="200" spans="1:12" ht="17.25" customHeight="1">
      <c r="A200" s="264"/>
      <c r="B200" s="264"/>
      <c r="C200" s="264"/>
      <c r="D200" s="264"/>
      <c r="E200" s="300"/>
      <c r="F200" s="264"/>
      <c r="H200" s="264"/>
      <c r="I200" s="264"/>
      <c r="J200" s="747"/>
      <c r="K200" s="301"/>
      <c r="L200" s="264"/>
    </row>
    <row r="201" spans="1:12" ht="17.25" customHeight="1">
      <c r="A201" s="302"/>
      <c r="D201" s="264"/>
      <c r="E201" s="300"/>
      <c r="F201" s="264"/>
      <c r="J201" s="747"/>
      <c r="K201" s="301"/>
      <c r="L201" s="264"/>
    </row>
    <row r="202" spans="1:12" ht="17.25" customHeight="1">
      <c r="A202" s="302"/>
      <c r="B202" s="264"/>
      <c r="C202" s="264"/>
      <c r="D202" s="264"/>
      <c r="E202" s="300"/>
      <c r="F202" s="264"/>
      <c r="H202" s="264"/>
      <c r="I202" s="264"/>
      <c r="J202" s="747"/>
      <c r="K202" s="301"/>
      <c r="L202" s="264"/>
    </row>
    <row r="203" spans="5:12" ht="17.25" customHeight="1">
      <c r="E203" s="300"/>
      <c r="F203" s="264"/>
      <c r="K203" s="301"/>
      <c r="L203" s="264"/>
    </row>
    <row r="204" spans="1:12" ht="17.25" customHeight="1">
      <c r="A204" s="264"/>
      <c r="B204" s="264"/>
      <c r="C204" s="264"/>
      <c r="D204" s="264"/>
      <c r="E204" s="300"/>
      <c r="F204" s="264"/>
      <c r="G204" s="302" t="s">
        <v>621</v>
      </c>
      <c r="H204" s="264"/>
      <c r="I204" s="264"/>
      <c r="J204" s="747"/>
      <c r="K204" s="301"/>
      <c r="L204" s="264"/>
    </row>
    <row r="205" spans="2:12" ht="17.25" customHeight="1">
      <c r="B205" s="264"/>
      <c r="C205" s="264"/>
      <c r="D205" s="264"/>
      <c r="E205" s="300"/>
      <c r="F205" s="264"/>
      <c r="G205" s="302" t="s">
        <v>530</v>
      </c>
      <c r="H205" s="264"/>
      <c r="I205" s="264"/>
      <c r="J205" s="747"/>
      <c r="K205" s="301"/>
      <c r="L205" s="264"/>
    </row>
    <row r="206" ht="17.25" customHeight="1">
      <c r="D206" s="264"/>
    </row>
  </sheetData>
  <mergeCells count="9">
    <mergeCell ref="A194:E194"/>
    <mergeCell ref="G194:I194"/>
    <mergeCell ref="K194:L194"/>
    <mergeCell ref="A2:F2"/>
    <mergeCell ref="G2:L2"/>
    <mergeCell ref="A4:F4"/>
    <mergeCell ref="G4:L4"/>
    <mergeCell ref="A5:F5"/>
    <mergeCell ref="G5:L5"/>
  </mergeCells>
  <printOptions/>
  <pageMargins left="0.43" right="0.27" top="0.37" bottom="0.36" header="0.5" footer="0.19"/>
  <pageSetup firstPageNumber="16" useFirstPageNumber="1" horizontalDpi="600" verticalDpi="600" orientation="portrait" paperSize="9" r:id="rId1"/>
  <headerFooter alignWithMargins="0">
    <oddFooter>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workbookViewId="0" topLeftCell="J1">
      <selection activeCell="H6" sqref="H6:N6"/>
    </sheetView>
  </sheetViews>
  <sheetFormatPr defaultColWidth="9.140625" defaultRowHeight="17.25" customHeight="1"/>
  <cols>
    <col min="1" max="1" width="0.13671875" style="5" hidden="1" customWidth="1"/>
    <col min="2" max="3" width="13.57421875" style="5" hidden="1" customWidth="1"/>
    <col min="4" max="4" width="13.140625" style="5" hidden="1" customWidth="1"/>
    <col min="5" max="5" width="12.8515625" style="307" hidden="1" customWidth="1"/>
    <col min="6" max="6" width="11.8515625" style="308" hidden="1" customWidth="1"/>
    <col min="7" max="7" width="23.421875" style="5" hidden="1" customWidth="1"/>
    <col min="8" max="8" width="35.57421875" style="5" customWidth="1"/>
    <col min="9" max="9" width="12.421875" style="5" customWidth="1"/>
    <col min="10" max="10" width="12.140625" style="5" customWidth="1"/>
    <col min="11" max="11" width="11.140625" style="5" customWidth="1"/>
    <col min="12" max="12" width="11.00390625" style="307" customWidth="1"/>
    <col min="13" max="13" width="11.8515625" style="308" customWidth="1"/>
    <col min="14" max="14" width="12.00390625" style="5" customWidth="1"/>
    <col min="15" max="18" width="9.140625" style="0" hidden="1" customWidth="1"/>
  </cols>
  <sheetData>
    <row r="1" spans="1:14" ht="17.25" customHeight="1">
      <c r="A1" s="303" t="s">
        <v>622</v>
      </c>
      <c r="B1" s="303"/>
      <c r="C1" s="303"/>
      <c r="D1" s="303"/>
      <c r="E1" s="304"/>
      <c r="F1" s="305"/>
      <c r="G1" s="306" t="s">
        <v>623</v>
      </c>
      <c r="I1" s="303"/>
      <c r="J1" s="303"/>
      <c r="K1" s="303"/>
      <c r="L1" s="304"/>
      <c r="M1" s="305"/>
      <c r="N1" s="306" t="s">
        <v>623</v>
      </c>
    </row>
    <row r="2" spans="8:14" ht="17.25" customHeight="1">
      <c r="H2" s="829" t="s">
        <v>622</v>
      </c>
      <c r="I2" s="829"/>
      <c r="J2" s="829"/>
      <c r="K2" s="829"/>
      <c r="L2" s="829"/>
      <c r="M2" s="829"/>
      <c r="N2" s="829"/>
    </row>
    <row r="4" spans="1:14" ht="17.25" customHeight="1">
      <c r="A4" s="825" t="s">
        <v>624</v>
      </c>
      <c r="B4" s="825"/>
      <c r="C4" s="825"/>
      <c r="D4" s="825"/>
      <c r="E4" s="825"/>
      <c r="F4" s="825"/>
      <c r="G4" s="825"/>
      <c r="H4" s="826" t="s">
        <v>624</v>
      </c>
      <c r="I4" s="826"/>
      <c r="J4" s="826"/>
      <c r="K4" s="826"/>
      <c r="L4" s="826"/>
      <c r="M4" s="826"/>
      <c r="N4" s="826"/>
    </row>
    <row r="5" spans="1:14" ht="17.25" customHeight="1">
      <c r="A5" s="825" t="s">
        <v>625</v>
      </c>
      <c r="B5" s="825"/>
      <c r="C5" s="825"/>
      <c r="D5" s="825"/>
      <c r="E5" s="825"/>
      <c r="F5" s="825"/>
      <c r="G5" s="825"/>
      <c r="H5" s="826" t="s">
        <v>625</v>
      </c>
      <c r="I5" s="826"/>
      <c r="J5" s="826"/>
      <c r="K5" s="826"/>
      <c r="L5" s="826"/>
      <c r="M5" s="826"/>
      <c r="N5" s="826"/>
    </row>
    <row r="6" spans="1:14" ht="17.25" customHeight="1">
      <c r="A6" s="823" t="s">
        <v>525</v>
      </c>
      <c r="B6" s="823"/>
      <c r="C6" s="823"/>
      <c r="D6" s="823"/>
      <c r="E6" s="823"/>
      <c r="F6" s="823"/>
      <c r="G6" s="823"/>
      <c r="H6" s="823" t="s">
        <v>525</v>
      </c>
      <c r="I6" s="823"/>
      <c r="J6" s="823"/>
      <c r="K6" s="823"/>
      <c r="L6" s="823"/>
      <c r="M6" s="823"/>
      <c r="N6" s="823"/>
    </row>
    <row r="7" spans="7:14" ht="17.25" customHeight="1">
      <c r="G7" s="309" t="s">
        <v>548</v>
      </c>
      <c r="N7" s="309" t="s">
        <v>240</v>
      </c>
    </row>
    <row r="8" spans="1:14" ht="76.5" customHeight="1">
      <c r="A8" s="270" t="s">
        <v>193</v>
      </c>
      <c r="B8" s="270" t="s">
        <v>241</v>
      </c>
      <c r="C8" s="270" t="s">
        <v>461</v>
      </c>
      <c r="D8" s="270" t="s">
        <v>242</v>
      </c>
      <c r="E8" s="310" t="s">
        <v>462</v>
      </c>
      <c r="F8" s="311" t="s">
        <v>626</v>
      </c>
      <c r="G8" s="9" t="s">
        <v>141</v>
      </c>
      <c r="H8" s="270" t="s">
        <v>193</v>
      </c>
      <c r="I8" s="270" t="s">
        <v>241</v>
      </c>
      <c r="J8" s="270" t="s">
        <v>461</v>
      </c>
      <c r="K8" s="270" t="s">
        <v>242</v>
      </c>
      <c r="L8" s="310" t="s">
        <v>462</v>
      </c>
      <c r="M8" s="311" t="s">
        <v>626</v>
      </c>
      <c r="N8" s="270" t="s">
        <v>317</v>
      </c>
    </row>
    <row r="9" spans="1:14" s="49" customFormat="1" ht="12.75">
      <c r="A9" s="312">
        <v>1</v>
      </c>
      <c r="B9" s="312">
        <v>2</v>
      </c>
      <c r="C9" s="312">
        <v>3</v>
      </c>
      <c r="D9" s="312">
        <v>4</v>
      </c>
      <c r="E9" s="313">
        <v>5</v>
      </c>
      <c r="F9" s="314">
        <v>6</v>
      </c>
      <c r="G9" s="312">
        <v>7</v>
      </c>
      <c r="H9" s="312">
        <v>1</v>
      </c>
      <c r="I9" s="312">
        <v>2</v>
      </c>
      <c r="J9" s="312">
        <v>3</v>
      </c>
      <c r="K9" s="312">
        <v>4</v>
      </c>
      <c r="L9" s="313">
        <v>5</v>
      </c>
      <c r="M9" s="314">
        <v>6</v>
      </c>
      <c r="N9" s="312">
        <v>7</v>
      </c>
    </row>
    <row r="10" spans="1:18" ht="17.25" customHeight="1">
      <c r="A10" s="315" t="s">
        <v>627</v>
      </c>
      <c r="B10" s="316">
        <f>SUM(B11:B14)</f>
        <v>725518701</v>
      </c>
      <c r="C10" s="316">
        <f>SUM(C11:C14)</f>
        <v>351257110</v>
      </c>
      <c r="D10" s="316">
        <f>SUM(D11:D14)</f>
        <v>342779059</v>
      </c>
      <c r="E10" s="317">
        <f aca="true" t="shared" si="0" ref="E10:E18">D10/B10*100</f>
        <v>47.24606802382066</v>
      </c>
      <c r="F10" s="318">
        <f aca="true" t="shared" si="1" ref="F10:F18">D10/C10*100</f>
        <v>97.58636885670442</v>
      </c>
      <c r="G10" s="316">
        <f>SUM(G11:G14)</f>
        <v>55414415</v>
      </c>
      <c r="H10" s="315" t="s">
        <v>627</v>
      </c>
      <c r="I10" s="316">
        <f>SUM(I11:I14)</f>
        <v>725519</v>
      </c>
      <c r="J10" s="316">
        <f>SUM(J11:J14)</f>
        <v>351257</v>
      </c>
      <c r="K10" s="319">
        <f>SUM(K11:K14)</f>
        <v>342779</v>
      </c>
      <c r="L10" s="320">
        <f aca="true" t="shared" si="2" ref="L10:L18">K10/I10*100</f>
        <v>47.24604042071952</v>
      </c>
      <c r="M10" s="320">
        <f aca="true" t="shared" si="3" ref="M10:M18">K10/J10*100</f>
        <v>97.58638262013284</v>
      </c>
      <c r="N10" s="316">
        <f>SUM(N11:N14)</f>
        <v>55416</v>
      </c>
      <c r="P10" s="381">
        <f>K10</f>
        <v>342779</v>
      </c>
      <c r="Q10">
        <f>'[11]Maijs'!K10</f>
        <v>287363</v>
      </c>
      <c r="R10">
        <f aca="true" t="shared" si="4" ref="R10:R51">P10-Q10</f>
        <v>55416</v>
      </c>
    </row>
    <row r="11" spans="1:18" ht="382.5">
      <c r="A11" s="69" t="s">
        <v>628</v>
      </c>
      <c r="B11" s="321">
        <v>719456085</v>
      </c>
      <c r="C11" s="321">
        <f>107290423+37020270+37889203+39825423+40449323+42619883+42381558</f>
        <v>347476083</v>
      </c>
      <c r="D11" s="321">
        <f>'[9]Junijs'!$D$20+'[9]Junijs'!$D$28+'[9]Junijs'!$D$40+'[9]Junijs'!$D$45+'[9]Junijs'!$D$51+'[9]Junijs'!$D$58+'[9]Junijs'!$D$70+'[9]Junijs'!$D$79+'[9]Junijs'!$D$80+'[9]Junijs'!$D$90+'[9]Junijs'!$D$96+'[9]Junijs'!$D$104+'[9]Junijs'!$D$105+'[9]Junijs'!$D$115+'[9]Junijs'!$D$171+'[9]Junijs'!$D$172+'[9]Junijs'!$D$179</f>
        <v>340123503</v>
      </c>
      <c r="E11" s="322">
        <f t="shared" si="0"/>
        <v>47.27508879155564</v>
      </c>
      <c r="F11" s="318">
        <f t="shared" si="1"/>
        <v>97.88400400496053</v>
      </c>
      <c r="G11" s="323">
        <f>D11-'[11]Maijs'!D11</f>
        <v>55006765</v>
      </c>
      <c r="H11" s="69" t="s">
        <v>628</v>
      </c>
      <c r="I11" s="321">
        <f aca="true" t="shared" si="5" ref="I11:J14">ROUND(B11/1000,0)</f>
        <v>719456</v>
      </c>
      <c r="J11" s="321">
        <f t="shared" si="5"/>
        <v>347476</v>
      </c>
      <c r="K11" s="321">
        <f>ROUND(D11/1000,0)-1</f>
        <v>340123</v>
      </c>
      <c r="L11" s="324">
        <f t="shared" si="2"/>
        <v>47.27502446292755</v>
      </c>
      <c r="M11" s="324">
        <f t="shared" si="3"/>
        <v>97.88388262786495</v>
      </c>
      <c r="N11" s="323">
        <f>K11-'[11]Maijs'!K11</f>
        <v>55007</v>
      </c>
      <c r="P11" s="381">
        <f aca="true" t="shared" si="6" ref="P11:P51">K11</f>
        <v>340123</v>
      </c>
      <c r="Q11">
        <f>'[11]Maijs'!K11</f>
        <v>285116</v>
      </c>
      <c r="R11">
        <f t="shared" si="4"/>
        <v>55007</v>
      </c>
    </row>
    <row r="12" spans="1:18" ht="409.5" hidden="1">
      <c r="A12" s="77" t="s">
        <v>629</v>
      </c>
      <c r="B12" s="321"/>
      <c r="C12" s="321"/>
      <c r="D12" s="321"/>
      <c r="E12" s="322" t="e">
        <f t="shared" si="0"/>
        <v>#DIV/0!</v>
      </c>
      <c r="F12" s="318" t="e">
        <f t="shared" si="1"/>
        <v>#DIV/0!</v>
      </c>
      <c r="G12" s="323">
        <f>D12-'[11]Maijs'!D12</f>
        <v>0</v>
      </c>
      <c r="H12" s="77" t="s">
        <v>629</v>
      </c>
      <c r="I12" s="321">
        <f t="shared" si="5"/>
        <v>0</v>
      </c>
      <c r="J12" s="321">
        <f t="shared" si="5"/>
        <v>0</v>
      </c>
      <c r="K12" s="321">
        <f>ROUND(D12/1000,0)</f>
        <v>0</v>
      </c>
      <c r="L12" s="324" t="e">
        <f t="shared" si="2"/>
        <v>#DIV/0!</v>
      </c>
      <c r="M12" s="324" t="e">
        <f t="shared" si="3"/>
        <v>#DIV/0!</v>
      </c>
      <c r="N12" s="323">
        <f>K12-'[11]Maijs'!K12</f>
        <v>0</v>
      </c>
      <c r="P12" s="381">
        <f t="shared" si="6"/>
        <v>0</v>
      </c>
      <c r="Q12">
        <f>'[11]Maijs'!K12</f>
        <v>0</v>
      </c>
      <c r="R12">
        <f t="shared" si="4"/>
        <v>0</v>
      </c>
    </row>
    <row r="13" spans="1:18" ht="409.5">
      <c r="A13" s="69" t="s">
        <v>389</v>
      </c>
      <c r="B13" s="321">
        <v>3457511</v>
      </c>
      <c r="C13" s="321">
        <v>1765922</v>
      </c>
      <c r="D13" s="321">
        <f>'[9]Junijs'!$D$81+'[9]Junijs'!$D$106+'[9]Junijs'!$D$173+'[9]Junijs'!$D$185</f>
        <v>1621927</v>
      </c>
      <c r="E13" s="322">
        <f t="shared" si="0"/>
        <v>46.910248441725855</v>
      </c>
      <c r="F13" s="318">
        <f t="shared" si="1"/>
        <v>91.84590259365929</v>
      </c>
      <c r="G13" s="323">
        <f>D13-'[11]Maijs'!D13</f>
        <v>264958</v>
      </c>
      <c r="H13" s="69" t="s">
        <v>389</v>
      </c>
      <c r="I13" s="321">
        <f t="shared" si="5"/>
        <v>3458</v>
      </c>
      <c r="J13" s="321">
        <f t="shared" si="5"/>
        <v>1766</v>
      </c>
      <c r="K13" s="321">
        <f>ROUND(D13/1000,0)</f>
        <v>1622</v>
      </c>
      <c r="L13" s="324">
        <f t="shared" si="2"/>
        <v>46.905725853094275</v>
      </c>
      <c r="M13" s="324">
        <f t="shared" si="3"/>
        <v>91.84597961494903</v>
      </c>
      <c r="N13" s="323">
        <f>K13-'[11]Maijs'!K13</f>
        <v>266</v>
      </c>
      <c r="P13" s="381">
        <f t="shared" si="6"/>
        <v>1622</v>
      </c>
      <c r="Q13">
        <f>'[11]Maijs'!K13</f>
        <v>1356</v>
      </c>
      <c r="R13">
        <f t="shared" si="4"/>
        <v>266</v>
      </c>
    </row>
    <row r="14" spans="1:18" ht="306">
      <c r="A14" s="69" t="s">
        <v>390</v>
      </c>
      <c r="B14" s="321">
        <f>1678188+926917</f>
        <v>2605105</v>
      </c>
      <c r="C14" s="321">
        <v>2015105</v>
      </c>
      <c r="D14" s="321">
        <f>SUM('[9]Junijs'!$D$82,'[9]Junijs'!$D$107)</f>
        <v>1033629</v>
      </c>
      <c r="E14" s="322">
        <f t="shared" si="0"/>
        <v>39.67705716276311</v>
      </c>
      <c r="F14" s="318">
        <f t="shared" si="1"/>
        <v>51.294051674726624</v>
      </c>
      <c r="G14" s="323">
        <f>D14-'[11]Maijs'!D14</f>
        <v>142692</v>
      </c>
      <c r="H14" s="69" t="s">
        <v>390</v>
      </c>
      <c r="I14" s="321">
        <f t="shared" si="5"/>
        <v>2605</v>
      </c>
      <c r="J14" s="321">
        <f t="shared" si="5"/>
        <v>2015</v>
      </c>
      <c r="K14" s="321">
        <f>ROUND(D14/1000,0)</f>
        <v>1034</v>
      </c>
      <c r="L14" s="324">
        <f t="shared" si="2"/>
        <v>39.69289827255278</v>
      </c>
      <c r="M14" s="324">
        <f t="shared" si="3"/>
        <v>51.3151364764268</v>
      </c>
      <c r="N14" s="323">
        <f>K14-'[11]Maijs'!K14</f>
        <v>143</v>
      </c>
      <c r="P14" s="381">
        <f t="shared" si="6"/>
        <v>1034</v>
      </c>
      <c r="Q14">
        <f>'[11]Maijs'!K14</f>
        <v>891</v>
      </c>
      <c r="R14">
        <f t="shared" si="4"/>
        <v>143</v>
      </c>
    </row>
    <row r="15" spans="1:18" ht="17.25" customHeight="1">
      <c r="A15" s="315" t="s">
        <v>471</v>
      </c>
      <c r="B15" s="325">
        <f>B16+B42</f>
        <v>765146600</v>
      </c>
      <c r="C15" s="325">
        <f>SUM(C16,C42)</f>
        <v>384805366</v>
      </c>
      <c r="D15" s="325">
        <f>SUM(D16,D42)</f>
        <v>353182624</v>
      </c>
      <c r="E15" s="317">
        <f t="shared" si="0"/>
        <v>46.15881766971192</v>
      </c>
      <c r="F15" s="318">
        <f t="shared" si="1"/>
        <v>91.7821463019827</v>
      </c>
      <c r="G15" s="326">
        <f>SUM(G16,G42)</f>
        <v>55437327</v>
      </c>
      <c r="H15" s="315" t="s">
        <v>471</v>
      </c>
      <c r="I15" s="319">
        <f>SUM(I42,I16)</f>
        <v>765147</v>
      </c>
      <c r="J15" s="319">
        <f>ROUND(C15/1000,0)</f>
        <v>384805</v>
      </c>
      <c r="K15" s="319">
        <f>SUM(K42,K16)</f>
        <v>353183</v>
      </c>
      <c r="L15" s="320">
        <f t="shared" si="2"/>
        <v>46.15884267990334</v>
      </c>
      <c r="M15" s="320">
        <f t="shared" si="3"/>
        <v>91.78233131066385</v>
      </c>
      <c r="N15" s="325">
        <f>SUM(N16,N42)</f>
        <v>55437</v>
      </c>
      <c r="P15" s="381">
        <f t="shared" si="6"/>
        <v>353183</v>
      </c>
      <c r="Q15">
        <f>'[11]Maijs'!K15</f>
        <v>297746</v>
      </c>
      <c r="R15">
        <f t="shared" si="4"/>
        <v>55437</v>
      </c>
    </row>
    <row r="16" spans="1:18" ht="17.25" customHeight="1">
      <c r="A16" s="327" t="s">
        <v>630</v>
      </c>
      <c r="B16" s="328">
        <f>731791976+116917</f>
        <v>731908893</v>
      </c>
      <c r="C16" s="328">
        <f>SUM(C17,C22,C25)</f>
        <v>368983802</v>
      </c>
      <c r="D16" s="328">
        <f>SUM(D17,D22,D25)</f>
        <v>344445586</v>
      </c>
      <c r="E16" s="317">
        <f t="shared" si="0"/>
        <v>47.06126531516266</v>
      </c>
      <c r="F16" s="318">
        <f t="shared" si="1"/>
        <v>93.3497850401574</v>
      </c>
      <c r="G16" s="329">
        <f>SUM(G17,G22,G25)</f>
        <v>53338077</v>
      </c>
      <c r="H16" s="327" t="s">
        <v>630</v>
      </c>
      <c r="I16" s="319">
        <f aca="true" t="shared" si="7" ref="I16:J18">ROUND(B16/1000,0)</f>
        <v>731909</v>
      </c>
      <c r="J16" s="319">
        <f t="shared" si="7"/>
        <v>368984</v>
      </c>
      <c r="K16" s="319">
        <f>SUM(K25,K22,K17)</f>
        <v>344446</v>
      </c>
      <c r="L16" s="320">
        <f t="shared" si="2"/>
        <v>47.06131499954229</v>
      </c>
      <c r="M16" s="320">
        <f t="shared" si="3"/>
        <v>93.34984714784382</v>
      </c>
      <c r="N16" s="316">
        <f>K16-'[11]Maijs'!K16</f>
        <v>53338</v>
      </c>
      <c r="P16" s="381">
        <f t="shared" si="6"/>
        <v>344446</v>
      </c>
      <c r="Q16">
        <f>'[11]Maijs'!K16</f>
        <v>291108</v>
      </c>
      <c r="R16">
        <f t="shared" si="4"/>
        <v>53338</v>
      </c>
    </row>
    <row r="17" spans="1:18" ht="17.25" customHeight="1">
      <c r="A17" s="327" t="s">
        <v>473</v>
      </c>
      <c r="B17" s="328">
        <f>31048482+116917</f>
        <v>31165399</v>
      </c>
      <c r="C17" s="328">
        <f>17940296+10782</f>
        <v>17951078</v>
      </c>
      <c r="D17" s="328">
        <f>'[10]Junijs'!$Z$9</f>
        <v>15612669</v>
      </c>
      <c r="E17" s="317">
        <f t="shared" si="0"/>
        <v>50.09616273483295</v>
      </c>
      <c r="F17" s="318">
        <f t="shared" si="1"/>
        <v>86.97343413025112</v>
      </c>
      <c r="G17" s="323">
        <f>D17-'[11]Maijs'!D17</f>
        <v>1989140</v>
      </c>
      <c r="H17" s="327" t="s">
        <v>473</v>
      </c>
      <c r="I17" s="319">
        <f t="shared" si="7"/>
        <v>31165</v>
      </c>
      <c r="J17" s="319">
        <f t="shared" si="7"/>
        <v>17951</v>
      </c>
      <c r="K17" s="319">
        <f>SUM(K18:K21)</f>
        <v>15613</v>
      </c>
      <c r="L17" s="320">
        <f t="shared" si="2"/>
        <v>50.09786619605327</v>
      </c>
      <c r="M17" s="320">
        <f t="shared" si="3"/>
        <v>86.97565595231464</v>
      </c>
      <c r="N17" s="316">
        <f>K17-'[11]Maijs'!K17</f>
        <v>1989</v>
      </c>
      <c r="P17" s="381">
        <f t="shared" si="6"/>
        <v>15613</v>
      </c>
      <c r="Q17">
        <f>'[11]Maijs'!K17</f>
        <v>13624</v>
      </c>
      <c r="R17">
        <f t="shared" si="4"/>
        <v>1989</v>
      </c>
    </row>
    <row r="18" spans="1:18" ht="15">
      <c r="A18" s="250" t="s">
        <v>631</v>
      </c>
      <c r="B18" s="330">
        <v>1552763</v>
      </c>
      <c r="C18" s="330">
        <v>799975</v>
      </c>
      <c r="D18" s="748">
        <f>'[10]Junijs'!$Z$10</f>
        <v>669943</v>
      </c>
      <c r="E18" s="317">
        <f t="shared" si="0"/>
        <v>43.145219199581646</v>
      </c>
      <c r="F18" s="318">
        <f t="shared" si="1"/>
        <v>83.74549204662645</v>
      </c>
      <c r="G18" s="323">
        <f>D18-'[11]Maijs'!D18</f>
        <v>141123</v>
      </c>
      <c r="H18" s="250" t="s">
        <v>631</v>
      </c>
      <c r="I18" s="321">
        <f t="shared" si="7"/>
        <v>1553</v>
      </c>
      <c r="J18" s="321">
        <f t="shared" si="7"/>
        <v>800</v>
      </c>
      <c r="K18" s="321">
        <f>ROUND(D18/1000,0)</f>
        <v>670</v>
      </c>
      <c r="L18" s="324">
        <f t="shared" si="2"/>
        <v>43.142305215711524</v>
      </c>
      <c r="M18" s="324">
        <f t="shared" si="3"/>
        <v>83.75</v>
      </c>
      <c r="N18" s="323">
        <f>K18-'[11]Maijs'!K18</f>
        <v>141</v>
      </c>
      <c r="P18" s="381">
        <f t="shared" si="6"/>
        <v>670</v>
      </c>
      <c r="Q18">
        <f>'[11]Maijs'!K18</f>
        <v>529</v>
      </c>
      <c r="R18">
        <f t="shared" si="4"/>
        <v>141</v>
      </c>
    </row>
    <row r="19" spans="1:18" ht="409.5">
      <c r="A19" s="69" t="s">
        <v>632</v>
      </c>
      <c r="B19" s="331" t="s">
        <v>199</v>
      </c>
      <c r="C19" s="331" t="s">
        <v>199</v>
      </c>
      <c r="D19" s="748">
        <f>'[10]Junijs'!$Z$11</f>
        <v>170529</v>
      </c>
      <c r="E19" s="317"/>
      <c r="F19" s="115" t="s">
        <v>199</v>
      </c>
      <c r="G19" s="323">
        <f>D19-'[11]Maijs'!D19</f>
        <v>38985</v>
      </c>
      <c r="H19" s="69" t="s">
        <v>632</v>
      </c>
      <c r="I19" s="331" t="s">
        <v>199</v>
      </c>
      <c r="J19" s="331" t="s">
        <v>199</v>
      </c>
      <c r="K19" s="321">
        <f>ROUND(D19/1000,0)</f>
        <v>171</v>
      </c>
      <c r="L19" s="332" t="s">
        <v>199</v>
      </c>
      <c r="M19" s="332" t="s">
        <v>199</v>
      </c>
      <c r="N19" s="323">
        <f>K19-'[11]Maijs'!K19</f>
        <v>39</v>
      </c>
      <c r="P19" s="381">
        <f t="shared" si="6"/>
        <v>171</v>
      </c>
      <c r="Q19">
        <f>'[11]Maijs'!K19</f>
        <v>132</v>
      </c>
      <c r="R19">
        <f t="shared" si="4"/>
        <v>39</v>
      </c>
    </row>
    <row r="20" spans="1:18" ht="306.75">
      <c r="A20" s="69" t="s">
        <v>633</v>
      </c>
      <c r="B20" s="331" t="s">
        <v>199</v>
      </c>
      <c r="C20" s="331">
        <f>17140321+10782</f>
        <v>17151103</v>
      </c>
      <c r="D20" s="321">
        <f>'[10]Junijs'!$Z$12+10000</f>
        <v>12327565</v>
      </c>
      <c r="E20" s="317"/>
      <c r="F20" s="318">
        <f>D20/C20*100</f>
        <v>71.87622277121186</v>
      </c>
      <c r="G20" s="323">
        <f>D20-'[11]Maijs'!D20</f>
        <v>1845433</v>
      </c>
      <c r="H20" s="69" t="s">
        <v>633</v>
      </c>
      <c r="I20" s="331" t="s">
        <v>199</v>
      </c>
      <c r="J20" s="321">
        <f>ROUND(C20/1000,0)</f>
        <v>17151</v>
      </c>
      <c r="K20" s="321">
        <f>ROUND(D20/1000,0)</f>
        <v>12328</v>
      </c>
      <c r="L20" s="332" t="s">
        <v>199</v>
      </c>
      <c r="M20" s="324">
        <f>K20/J20*100</f>
        <v>71.8791907177424</v>
      </c>
      <c r="N20" s="323">
        <f>K20-'[11]Maijs'!K20</f>
        <v>1836</v>
      </c>
      <c r="P20" s="381">
        <f t="shared" si="6"/>
        <v>12328</v>
      </c>
      <c r="Q20">
        <f>'[11]Maijs'!K20</f>
        <v>10492</v>
      </c>
      <c r="R20">
        <f t="shared" si="4"/>
        <v>1836</v>
      </c>
    </row>
    <row r="21" spans="1:18" ht="217.5">
      <c r="A21" s="69" t="s">
        <v>634</v>
      </c>
      <c r="B21" s="331">
        <v>5473101</v>
      </c>
      <c r="C21" s="331" t="s">
        <v>199</v>
      </c>
      <c r="D21" s="321">
        <f>'[10]Junijs'!$Z$15-11000</f>
        <v>2443632</v>
      </c>
      <c r="E21" s="317">
        <f>D21/B21*100</f>
        <v>44.648034085247104</v>
      </c>
      <c r="F21" s="115" t="s">
        <v>199</v>
      </c>
      <c r="G21" s="323">
        <f>D21-'[11]Junijs'!D21</f>
        <v>0</v>
      </c>
      <c r="H21" s="69" t="s">
        <v>634</v>
      </c>
      <c r="I21" s="321">
        <f>ROUND(B21/1000,0)</f>
        <v>5473</v>
      </c>
      <c r="J21" s="331" t="s">
        <v>199</v>
      </c>
      <c r="K21" s="748">
        <f>ROUND(D21/1000,0)</f>
        <v>2444</v>
      </c>
      <c r="L21" s="324">
        <f>K21/I21*100</f>
        <v>44.655581947743464</v>
      </c>
      <c r="M21" s="332" t="s">
        <v>199</v>
      </c>
      <c r="N21" s="323">
        <f>K21-'[11]Maijs'!K21</f>
        <v>-27</v>
      </c>
      <c r="P21" s="381">
        <f t="shared" si="6"/>
        <v>2444</v>
      </c>
      <c r="Q21">
        <f>'[11]Maijs'!K21</f>
        <v>2471</v>
      </c>
      <c r="R21">
        <f t="shared" si="4"/>
        <v>-27</v>
      </c>
    </row>
    <row r="22" spans="1:18" ht="409.5">
      <c r="A22" s="333" t="s">
        <v>477</v>
      </c>
      <c r="B22" s="316">
        <v>7862536</v>
      </c>
      <c r="C22" s="316">
        <f>2217070+1126661+1277020+119000</f>
        <v>4739751</v>
      </c>
      <c r="D22" s="334">
        <f>'[10]Junijs'!$Z$16</f>
        <v>3866537</v>
      </c>
      <c r="E22" s="317">
        <f>D22/B22*100</f>
        <v>49.176716011220805</v>
      </c>
      <c r="F22" s="318">
        <f>D22/C22*100</f>
        <v>81.57679591185276</v>
      </c>
      <c r="G22" s="323">
        <f>D22-'[11]Maijs'!D22</f>
        <v>79420</v>
      </c>
      <c r="H22" s="333" t="s">
        <v>477</v>
      </c>
      <c r="I22" s="319">
        <f>ROUND(B22/1000,0)</f>
        <v>7863</v>
      </c>
      <c r="J22" s="319">
        <f>ROUND(C22/1000,0)</f>
        <v>4740</v>
      </c>
      <c r="K22" s="319">
        <f>SUM(K23:K24)</f>
        <v>3866</v>
      </c>
      <c r="L22" s="320">
        <f>K22/I22*100</f>
        <v>49.16698461147145</v>
      </c>
      <c r="M22" s="320">
        <f>K22/J22*100</f>
        <v>81.56118143459916</v>
      </c>
      <c r="N22" s="323">
        <f>K22-'[11]Maijs'!K22</f>
        <v>79</v>
      </c>
      <c r="P22" s="381">
        <f t="shared" si="6"/>
        <v>3866</v>
      </c>
      <c r="Q22">
        <f>'[11]Maijs'!K22</f>
        <v>3787</v>
      </c>
      <c r="R22">
        <f t="shared" si="4"/>
        <v>79</v>
      </c>
    </row>
    <row r="23" spans="1:18" ht="409.5">
      <c r="A23" s="69" t="s">
        <v>635</v>
      </c>
      <c r="B23" s="331" t="s">
        <v>199</v>
      </c>
      <c r="C23" s="331" t="s">
        <v>199</v>
      </c>
      <c r="D23" s="335">
        <f>'[10]Junijs'!$Z$17</f>
        <v>2567200</v>
      </c>
      <c r="E23" s="317"/>
      <c r="F23" s="115" t="s">
        <v>199</v>
      </c>
      <c r="G23" s="323">
        <f>D23-'[11]Maijs'!D23</f>
        <v>79420</v>
      </c>
      <c r="H23" s="69" t="s">
        <v>635</v>
      </c>
      <c r="I23" s="331" t="s">
        <v>199</v>
      </c>
      <c r="J23" s="331" t="s">
        <v>199</v>
      </c>
      <c r="K23" s="321">
        <f>ROUND(D23/1000,0)</f>
        <v>2567</v>
      </c>
      <c r="L23" s="332" t="s">
        <v>199</v>
      </c>
      <c r="M23" s="332" t="s">
        <v>199</v>
      </c>
      <c r="N23" s="323">
        <f>K23-'[11]Maijs'!K23</f>
        <v>79</v>
      </c>
      <c r="P23" s="381">
        <f t="shared" si="6"/>
        <v>2567</v>
      </c>
      <c r="Q23">
        <f>'[11]Maijs'!K23</f>
        <v>2488</v>
      </c>
      <c r="R23">
        <f t="shared" si="4"/>
        <v>79</v>
      </c>
    </row>
    <row r="24" spans="1:18" ht="409.5">
      <c r="A24" s="69" t="s">
        <v>636</v>
      </c>
      <c r="B24" s="331" t="s">
        <v>199</v>
      </c>
      <c r="C24" s="331" t="s">
        <v>199</v>
      </c>
      <c r="D24" s="336">
        <f>'[10]Junijs'!$Z$18</f>
        <v>1299337</v>
      </c>
      <c r="E24" s="317"/>
      <c r="F24" s="115" t="s">
        <v>199</v>
      </c>
      <c r="G24" s="323">
        <f>D24-'[11]Maijs'!D24</f>
        <v>0</v>
      </c>
      <c r="H24" s="69" t="s">
        <v>636</v>
      </c>
      <c r="I24" s="331" t="s">
        <v>199</v>
      </c>
      <c r="J24" s="331" t="s">
        <v>199</v>
      </c>
      <c r="K24" s="321">
        <f>ROUND(D24/1000,0)</f>
        <v>1299</v>
      </c>
      <c r="L24" s="332" t="s">
        <v>199</v>
      </c>
      <c r="M24" s="332" t="s">
        <v>199</v>
      </c>
      <c r="N24" s="323">
        <f>K24-'[11]Maijs'!K24</f>
        <v>0</v>
      </c>
      <c r="P24" s="381">
        <f t="shared" si="6"/>
        <v>1299</v>
      </c>
      <c r="Q24">
        <f>'[11]Maijs'!K24</f>
        <v>1299</v>
      </c>
      <c r="R24">
        <f t="shared" si="4"/>
        <v>0</v>
      </c>
    </row>
    <row r="25" spans="1:18" ht="17.25" customHeight="1">
      <c r="A25" s="32" t="s">
        <v>481</v>
      </c>
      <c r="B25" s="319">
        <v>692880958</v>
      </c>
      <c r="C25" s="337">
        <f>SUM(C26,C33,C34,C35,C40,C41)</f>
        <v>346292973</v>
      </c>
      <c r="D25" s="337">
        <f>SUM(D26,D28,D33,D34,D35,D40,D41)</f>
        <v>324966380</v>
      </c>
      <c r="E25" s="317">
        <f>D25/B25*100</f>
        <v>46.90075203365598</v>
      </c>
      <c r="F25" s="318">
        <f>D25/C25*100</f>
        <v>93.84145949736035</v>
      </c>
      <c r="G25" s="323">
        <f>D25-'[11]Maijs'!D25</f>
        <v>51269517</v>
      </c>
      <c r="H25" s="32" t="s">
        <v>481</v>
      </c>
      <c r="I25" s="319">
        <f>ROUND(B25/1000,0)</f>
        <v>692881</v>
      </c>
      <c r="J25" s="319">
        <f>ROUND(C25/1000,0)</f>
        <v>346293</v>
      </c>
      <c r="K25" s="337">
        <f>SUM(K26,K28,K33,K34,K35,K40,K41)</f>
        <v>324967</v>
      </c>
      <c r="L25" s="320">
        <f>K25/I25*100</f>
        <v>46.900838672152936</v>
      </c>
      <c r="M25" s="320">
        <f>K25/J25*100</f>
        <v>93.8416312198052</v>
      </c>
      <c r="N25" s="323">
        <f>K25-'[11]Maijs'!K25</f>
        <v>51270</v>
      </c>
      <c r="P25" s="381">
        <f t="shared" si="6"/>
        <v>324967</v>
      </c>
      <c r="Q25">
        <f>'[11]Maijs'!K25</f>
        <v>273697</v>
      </c>
      <c r="R25">
        <f t="shared" si="4"/>
        <v>51270</v>
      </c>
    </row>
    <row r="26" spans="1:18" ht="14.25">
      <c r="A26" s="250" t="s">
        <v>637</v>
      </c>
      <c r="B26" s="331" t="s">
        <v>199</v>
      </c>
      <c r="C26" s="338">
        <v>13328600</v>
      </c>
      <c r="D26" s="339">
        <f>'[10]Junijs'!$Z$20</f>
        <v>2987065</v>
      </c>
      <c r="E26" s="115" t="s">
        <v>199</v>
      </c>
      <c r="F26" s="318">
        <f>D26/C26*100</f>
        <v>22.410943384901643</v>
      </c>
      <c r="G26" s="323">
        <f>D26-'[11]Maijs'!D26</f>
        <v>498207</v>
      </c>
      <c r="H26" s="250" t="s">
        <v>637</v>
      </c>
      <c r="I26" s="331" t="s">
        <v>199</v>
      </c>
      <c r="J26" s="321">
        <f>ROUND(C26/1000,0)</f>
        <v>13329</v>
      </c>
      <c r="K26" s="321">
        <f>ROUND(D26/1000,0)</f>
        <v>2987</v>
      </c>
      <c r="L26" s="332" t="s">
        <v>199</v>
      </c>
      <c r="M26" s="324">
        <f>K26/J26*100</f>
        <v>22.40978317953335</v>
      </c>
      <c r="N26" s="323">
        <f>K26-'[11]Maijs'!K26</f>
        <v>498</v>
      </c>
      <c r="P26" s="381">
        <f t="shared" si="6"/>
        <v>2987</v>
      </c>
      <c r="Q26">
        <f>'[11]Maijs'!K26</f>
        <v>2489</v>
      </c>
      <c r="R26">
        <f t="shared" si="4"/>
        <v>498</v>
      </c>
    </row>
    <row r="27" spans="1:18" ht="14.25">
      <c r="A27" s="284" t="s">
        <v>638</v>
      </c>
      <c r="B27" s="331" t="s">
        <v>199</v>
      </c>
      <c r="C27" s="331" t="s">
        <v>199</v>
      </c>
      <c r="D27" s="340">
        <v>1988646</v>
      </c>
      <c r="E27" s="115" t="s">
        <v>199</v>
      </c>
      <c r="F27" s="115" t="s">
        <v>199</v>
      </c>
      <c r="G27" s="323">
        <f>D27-'[11]Maijs'!D27</f>
        <v>361841</v>
      </c>
      <c r="H27" s="284" t="s">
        <v>639</v>
      </c>
      <c r="I27" s="331" t="s">
        <v>199</v>
      </c>
      <c r="J27" s="331" t="s">
        <v>199</v>
      </c>
      <c r="K27" s="321">
        <f aca="true" t="shared" si="8" ref="K27:K34">ROUND(D27/1000,0)</f>
        <v>1989</v>
      </c>
      <c r="L27" s="332" t="s">
        <v>199</v>
      </c>
      <c r="M27" s="332" t="s">
        <v>199</v>
      </c>
      <c r="N27" s="323">
        <f>K27-'[11]Maijs'!K27</f>
        <v>362</v>
      </c>
      <c r="P27" s="381">
        <f t="shared" si="6"/>
        <v>1989</v>
      </c>
      <c r="Q27">
        <f>'[11]Maijs'!K27</f>
        <v>1627</v>
      </c>
      <c r="R27">
        <f t="shared" si="4"/>
        <v>362</v>
      </c>
    </row>
    <row r="28" spans="1:18" ht="14.25">
      <c r="A28" s="250" t="s">
        <v>640</v>
      </c>
      <c r="B28" s="331" t="s">
        <v>199</v>
      </c>
      <c r="C28" s="331" t="s">
        <v>199</v>
      </c>
      <c r="D28" s="339">
        <f>'[10]Junijs'!$Z$21</f>
        <v>8067270</v>
      </c>
      <c r="E28" s="115" t="s">
        <v>199</v>
      </c>
      <c r="F28" s="115" t="s">
        <v>199</v>
      </c>
      <c r="G28" s="323">
        <f>D28-'[11]Maijs'!D28</f>
        <v>1944821</v>
      </c>
      <c r="H28" s="250" t="s">
        <v>640</v>
      </c>
      <c r="I28" s="331" t="s">
        <v>199</v>
      </c>
      <c r="J28" s="331" t="s">
        <v>199</v>
      </c>
      <c r="K28" s="321">
        <f t="shared" si="8"/>
        <v>8067</v>
      </c>
      <c r="L28" s="332" t="s">
        <v>199</v>
      </c>
      <c r="M28" s="332" t="s">
        <v>199</v>
      </c>
      <c r="N28" s="323">
        <f>K28-'[11]Maijs'!K28</f>
        <v>1945</v>
      </c>
      <c r="P28" s="381">
        <f t="shared" si="6"/>
        <v>8067</v>
      </c>
      <c r="Q28">
        <f>'[11]Maijs'!K28</f>
        <v>6122</v>
      </c>
      <c r="R28">
        <f t="shared" si="4"/>
        <v>1945</v>
      </c>
    </row>
    <row r="29" spans="1:18" ht="14.25">
      <c r="A29" s="284" t="s">
        <v>641</v>
      </c>
      <c r="B29" s="331" t="s">
        <v>199</v>
      </c>
      <c r="C29" s="331" t="s">
        <v>199</v>
      </c>
      <c r="D29" s="340">
        <v>5377074</v>
      </c>
      <c r="E29" s="115" t="s">
        <v>199</v>
      </c>
      <c r="F29" s="115" t="s">
        <v>199</v>
      </c>
      <c r="G29" s="323">
        <f>D29-'[11]Maijs'!D29</f>
        <v>1315582</v>
      </c>
      <c r="H29" s="284" t="s">
        <v>642</v>
      </c>
      <c r="I29" s="331" t="s">
        <v>199</v>
      </c>
      <c r="J29" s="331" t="s">
        <v>199</v>
      </c>
      <c r="K29" s="321">
        <f t="shared" si="8"/>
        <v>5377</v>
      </c>
      <c r="L29" s="332" t="s">
        <v>199</v>
      </c>
      <c r="M29" s="332" t="s">
        <v>199</v>
      </c>
      <c r="N29" s="323">
        <f>K29-'[11]Maijs'!K29</f>
        <v>1316</v>
      </c>
      <c r="P29" s="381">
        <f t="shared" si="6"/>
        <v>5377</v>
      </c>
      <c r="Q29">
        <f>'[11]Maijs'!K29</f>
        <v>4061</v>
      </c>
      <c r="R29">
        <f t="shared" si="4"/>
        <v>1316</v>
      </c>
    </row>
    <row r="30" spans="1:18" ht="409.5">
      <c r="A30" s="77" t="s">
        <v>643</v>
      </c>
      <c r="B30" s="331" t="s">
        <v>199</v>
      </c>
      <c r="C30" s="331" t="s">
        <v>199</v>
      </c>
      <c r="D30" s="339">
        <f>SUM(D31:D32)</f>
        <v>2690196</v>
      </c>
      <c r="E30" s="115" t="s">
        <v>199</v>
      </c>
      <c r="F30" s="115" t="s">
        <v>199</v>
      </c>
      <c r="G30" s="323">
        <f>D30-'[11]Maijs'!D30</f>
        <v>629239</v>
      </c>
      <c r="H30" s="77" t="s">
        <v>644</v>
      </c>
      <c r="I30" s="331" t="s">
        <v>199</v>
      </c>
      <c r="J30" s="331" t="s">
        <v>199</v>
      </c>
      <c r="K30" s="321">
        <f t="shared" si="8"/>
        <v>2690</v>
      </c>
      <c r="L30" s="332" t="s">
        <v>199</v>
      </c>
      <c r="M30" s="332" t="s">
        <v>199</v>
      </c>
      <c r="N30" s="323">
        <f>K30-'[11]Maijs'!K30</f>
        <v>629</v>
      </c>
      <c r="P30" s="381">
        <f t="shared" si="6"/>
        <v>2690</v>
      </c>
      <c r="Q30">
        <f>'[11]Maijs'!K30</f>
        <v>2061</v>
      </c>
      <c r="R30">
        <f t="shared" si="4"/>
        <v>629</v>
      </c>
    </row>
    <row r="31" spans="1:18" ht="14.25">
      <c r="A31" s="341" t="s">
        <v>645</v>
      </c>
      <c r="B31" s="331" t="s">
        <v>199</v>
      </c>
      <c r="C31" s="331" t="s">
        <v>199</v>
      </c>
      <c r="D31" s="339">
        <v>1418825</v>
      </c>
      <c r="E31" s="115" t="s">
        <v>199</v>
      </c>
      <c r="F31" s="115" t="s">
        <v>199</v>
      </c>
      <c r="G31" s="323">
        <f>D31-'[11]Maijs'!D31</f>
        <v>332162</v>
      </c>
      <c r="H31" s="341" t="s">
        <v>646</v>
      </c>
      <c r="I31" s="331" t="s">
        <v>199</v>
      </c>
      <c r="J31" s="331" t="s">
        <v>199</v>
      </c>
      <c r="K31" s="321">
        <f t="shared" si="8"/>
        <v>1419</v>
      </c>
      <c r="L31" s="332" t="s">
        <v>199</v>
      </c>
      <c r="M31" s="332" t="s">
        <v>199</v>
      </c>
      <c r="N31" s="323">
        <f>K31-'[11]Maijs'!K31</f>
        <v>332</v>
      </c>
      <c r="P31" s="381">
        <f t="shared" si="6"/>
        <v>1419</v>
      </c>
      <c r="Q31">
        <f>'[11]Maijs'!K31</f>
        <v>1087</v>
      </c>
      <c r="R31">
        <f t="shared" si="4"/>
        <v>332</v>
      </c>
    </row>
    <row r="32" spans="1:18" ht="14.25">
      <c r="A32" s="341" t="s">
        <v>647</v>
      </c>
      <c r="B32" s="331" t="s">
        <v>199</v>
      </c>
      <c r="C32" s="331" t="s">
        <v>199</v>
      </c>
      <c r="D32" s="339">
        <v>1271371</v>
      </c>
      <c r="E32" s="115" t="s">
        <v>199</v>
      </c>
      <c r="F32" s="115" t="s">
        <v>199</v>
      </c>
      <c r="G32" s="323">
        <f>D32-'[11]Maijs'!D32</f>
        <v>297077</v>
      </c>
      <c r="H32" s="341" t="s">
        <v>648</v>
      </c>
      <c r="I32" s="331" t="s">
        <v>199</v>
      </c>
      <c r="J32" s="331" t="s">
        <v>199</v>
      </c>
      <c r="K32" s="321">
        <f t="shared" si="8"/>
        <v>1271</v>
      </c>
      <c r="L32" s="332" t="s">
        <v>199</v>
      </c>
      <c r="M32" s="332" t="s">
        <v>199</v>
      </c>
      <c r="N32" s="323">
        <f>K32-'[11]Maijs'!K32</f>
        <v>297</v>
      </c>
      <c r="P32" s="381">
        <f t="shared" si="6"/>
        <v>1271</v>
      </c>
      <c r="Q32">
        <f>'[11]Maijs'!K32</f>
        <v>974</v>
      </c>
      <c r="R32">
        <f t="shared" si="4"/>
        <v>297</v>
      </c>
    </row>
    <row r="33" spans="1:18" ht="14.25">
      <c r="A33" s="250" t="s">
        <v>649</v>
      </c>
      <c r="B33" s="342" t="s">
        <v>199</v>
      </c>
      <c r="C33" s="342" t="s">
        <v>199</v>
      </c>
      <c r="D33" s="339">
        <v>0</v>
      </c>
      <c r="E33" s="115" t="s">
        <v>199</v>
      </c>
      <c r="F33" s="115" t="s">
        <v>199</v>
      </c>
      <c r="G33" s="323">
        <f>D33-'[11]Maijs'!D33</f>
        <v>0</v>
      </c>
      <c r="H33" s="250" t="s">
        <v>649</v>
      </c>
      <c r="I33" s="342" t="s">
        <v>199</v>
      </c>
      <c r="J33" s="342" t="s">
        <v>199</v>
      </c>
      <c r="K33" s="321">
        <f t="shared" si="8"/>
        <v>0</v>
      </c>
      <c r="L33" s="332" t="s">
        <v>199</v>
      </c>
      <c r="M33" s="332" t="s">
        <v>199</v>
      </c>
      <c r="N33" s="323">
        <f>K33-'[11]Maijs'!K33</f>
        <v>0</v>
      </c>
      <c r="P33" s="381">
        <f t="shared" si="6"/>
        <v>0</v>
      </c>
      <c r="Q33">
        <f>'[11]Maijs'!K33</f>
        <v>0</v>
      </c>
      <c r="R33">
        <f t="shared" si="4"/>
        <v>0</v>
      </c>
    </row>
    <row r="34" spans="1:18" ht="409.5">
      <c r="A34" s="69" t="s">
        <v>650</v>
      </c>
      <c r="B34" s="331">
        <v>155178987</v>
      </c>
      <c r="C34" s="343">
        <f>72410239+653315+1118302+1128230+1094947+1111947+1096947</f>
        <v>78613927</v>
      </c>
      <c r="D34" s="339">
        <f>'[10]Junijs'!$Z$23-D41</f>
        <v>75546377</v>
      </c>
      <c r="E34" s="317">
        <f>D34/B34*100</f>
        <v>48.683380695093724</v>
      </c>
      <c r="F34" s="318">
        <f>D34/C34*100</f>
        <v>96.09795602756239</v>
      </c>
      <c r="G34" s="323">
        <f>D34-'[11]Maijs'!D34</f>
        <v>12916221</v>
      </c>
      <c r="H34" s="69" t="s">
        <v>650</v>
      </c>
      <c r="I34" s="321">
        <f>ROUND(B34/1000,0)</f>
        <v>155179</v>
      </c>
      <c r="J34" s="321">
        <f>ROUND(C34/1000,0)</f>
        <v>78614</v>
      </c>
      <c r="K34" s="321">
        <f t="shared" si="8"/>
        <v>75546</v>
      </c>
      <c r="L34" s="324">
        <f>K34/I34*100</f>
        <v>48.6831336714375</v>
      </c>
      <c r="M34" s="324">
        <f>K34/J34*100</f>
        <v>96.09738723382604</v>
      </c>
      <c r="N34" s="323">
        <f>K34-'[11]Maijs'!K34</f>
        <v>12916</v>
      </c>
      <c r="P34" s="381">
        <f t="shared" si="6"/>
        <v>75546</v>
      </c>
      <c r="Q34">
        <f>'[11]Maijs'!K34</f>
        <v>62630</v>
      </c>
      <c r="R34">
        <f t="shared" si="4"/>
        <v>12916</v>
      </c>
    </row>
    <row r="35" spans="1:18" ht="17.25" customHeight="1">
      <c r="A35" s="69" t="s">
        <v>651</v>
      </c>
      <c r="B35" s="331">
        <v>509376221</v>
      </c>
      <c r="C35" s="343">
        <f>33348+43369702+42599868+41381667+42298478+43057668+40994265</f>
        <v>253734996</v>
      </c>
      <c r="D35" s="339">
        <f>SUM(D36:D39)</f>
        <v>237760057</v>
      </c>
      <c r="E35" s="317">
        <f>D35/B35*100</f>
        <v>46.67670911948597</v>
      </c>
      <c r="F35" s="318">
        <f>D35/C35*100</f>
        <v>93.70408526540028</v>
      </c>
      <c r="G35" s="323">
        <f>D35-'[11]Maijs'!D35</f>
        <v>35810168</v>
      </c>
      <c r="H35" s="69" t="s">
        <v>651</v>
      </c>
      <c r="I35" s="321">
        <f>ROUND(B35/1000,0)</f>
        <v>509376</v>
      </c>
      <c r="J35" s="321">
        <f>ROUND(C35/1000,0)</f>
        <v>253735</v>
      </c>
      <c r="K35" s="321">
        <f>SUM(K36:K39)</f>
        <v>237761</v>
      </c>
      <c r="L35" s="324">
        <f>K35/I35*100</f>
        <v>46.67691449930896</v>
      </c>
      <c r="M35" s="324">
        <f>K35/J35*100</f>
        <v>93.7044554357893</v>
      </c>
      <c r="N35" s="323">
        <f>K35-'[11]Maijs'!K35</f>
        <v>35811</v>
      </c>
      <c r="P35" s="381">
        <f t="shared" si="6"/>
        <v>237761</v>
      </c>
      <c r="Q35">
        <f>'[11]Maijs'!K35</f>
        <v>201950</v>
      </c>
      <c r="R35">
        <f t="shared" si="4"/>
        <v>35811</v>
      </c>
    </row>
    <row r="36" spans="1:18" ht="17.25" customHeight="1">
      <c r="A36" s="344" t="s">
        <v>652</v>
      </c>
      <c r="B36" s="345" t="s">
        <v>199</v>
      </c>
      <c r="C36" s="345" t="s">
        <v>199</v>
      </c>
      <c r="D36" s="346">
        <v>218648698</v>
      </c>
      <c r="E36" s="317"/>
      <c r="F36" s="115" t="s">
        <v>199</v>
      </c>
      <c r="G36" s="323">
        <f>D36-'[11]Maijs'!D36</f>
        <v>32947806</v>
      </c>
      <c r="H36" s="344" t="s">
        <v>652</v>
      </c>
      <c r="I36" s="345" t="s">
        <v>199</v>
      </c>
      <c r="J36" s="345" t="s">
        <v>199</v>
      </c>
      <c r="K36" s="321">
        <f aca="true" t="shared" si="9" ref="K36:K41">ROUND(D36/1000,0)</f>
        <v>218649</v>
      </c>
      <c r="L36" s="332" t="s">
        <v>199</v>
      </c>
      <c r="M36" s="332" t="s">
        <v>199</v>
      </c>
      <c r="N36" s="323">
        <f>K36-'[11]Maijs'!K36</f>
        <v>32948</v>
      </c>
      <c r="P36" s="381">
        <f t="shared" si="6"/>
        <v>218649</v>
      </c>
      <c r="Q36">
        <f>'[11]Maijs'!K36</f>
        <v>185701</v>
      </c>
      <c r="R36">
        <f t="shared" si="4"/>
        <v>32948</v>
      </c>
    </row>
    <row r="37" spans="1:18" ht="17.25" customHeight="1">
      <c r="A37" s="344" t="s">
        <v>653</v>
      </c>
      <c r="B37" s="345" t="s">
        <v>199</v>
      </c>
      <c r="C37" s="345" t="s">
        <v>199</v>
      </c>
      <c r="D37" s="346">
        <v>18369806</v>
      </c>
      <c r="E37" s="317"/>
      <c r="F37" s="115" t="s">
        <v>199</v>
      </c>
      <c r="G37" s="323">
        <f>D37-'[11]Maijs'!D37</f>
        <v>2626446</v>
      </c>
      <c r="H37" s="344" t="s">
        <v>653</v>
      </c>
      <c r="I37" s="345" t="s">
        <v>199</v>
      </c>
      <c r="J37" s="345" t="s">
        <v>199</v>
      </c>
      <c r="K37" s="321">
        <f t="shared" si="9"/>
        <v>18370</v>
      </c>
      <c r="L37" s="332" t="s">
        <v>199</v>
      </c>
      <c r="M37" s="332" t="s">
        <v>199</v>
      </c>
      <c r="N37" s="323">
        <f>K37-'[11]Maijs'!K37</f>
        <v>2627</v>
      </c>
      <c r="P37" s="381">
        <f t="shared" si="6"/>
        <v>18370</v>
      </c>
      <c r="Q37">
        <f>'[11]Maijs'!K37</f>
        <v>15743</v>
      </c>
      <c r="R37">
        <f t="shared" si="4"/>
        <v>2627</v>
      </c>
    </row>
    <row r="38" spans="1:18" ht="17.25" customHeight="1">
      <c r="A38" s="344" t="s">
        <v>654</v>
      </c>
      <c r="B38" s="345" t="s">
        <v>199</v>
      </c>
      <c r="C38" s="345" t="s">
        <v>199</v>
      </c>
      <c r="D38" s="749">
        <v>328639</v>
      </c>
      <c r="E38" s="317"/>
      <c r="F38" s="115" t="s">
        <v>199</v>
      </c>
      <c r="G38" s="323">
        <f>D38-'[11]Maijs'!D38</f>
        <v>3974</v>
      </c>
      <c r="H38" s="344" t="s">
        <v>654</v>
      </c>
      <c r="I38" s="345" t="s">
        <v>199</v>
      </c>
      <c r="J38" s="345" t="s">
        <v>199</v>
      </c>
      <c r="K38" s="321">
        <f t="shared" si="9"/>
        <v>329</v>
      </c>
      <c r="L38" s="332" t="s">
        <v>199</v>
      </c>
      <c r="M38" s="332" t="s">
        <v>199</v>
      </c>
      <c r="N38" s="323">
        <f>K38-'[11]Maijs'!K38</f>
        <v>4</v>
      </c>
      <c r="P38" s="381">
        <f t="shared" si="6"/>
        <v>329</v>
      </c>
      <c r="Q38">
        <f>'[11]Maijs'!K38</f>
        <v>325</v>
      </c>
      <c r="R38">
        <f t="shared" si="4"/>
        <v>4</v>
      </c>
    </row>
    <row r="39" spans="1:18" ht="17.25" customHeight="1">
      <c r="A39" s="344" t="s">
        <v>655</v>
      </c>
      <c r="B39" s="345" t="s">
        <v>199</v>
      </c>
      <c r="C39" s="345" t="s">
        <v>199</v>
      </c>
      <c r="D39" s="347">
        <v>412914</v>
      </c>
      <c r="E39" s="317"/>
      <c r="F39" s="115" t="s">
        <v>199</v>
      </c>
      <c r="G39" s="323">
        <f>D39-'[11]Maijs'!D39</f>
        <v>231942</v>
      </c>
      <c r="H39" s="344" t="s">
        <v>655</v>
      </c>
      <c r="I39" s="345" t="s">
        <v>199</v>
      </c>
      <c r="J39" s="345" t="s">
        <v>199</v>
      </c>
      <c r="K39" s="321">
        <f t="shared" si="9"/>
        <v>413</v>
      </c>
      <c r="L39" s="332" t="s">
        <v>199</v>
      </c>
      <c r="M39" s="332" t="s">
        <v>199</v>
      </c>
      <c r="N39" s="323">
        <f>K39-'[11]Maijs'!K39</f>
        <v>232</v>
      </c>
      <c r="P39" s="381">
        <f t="shared" si="6"/>
        <v>413</v>
      </c>
      <c r="Q39">
        <f>'[11]Maijs'!K39</f>
        <v>181</v>
      </c>
      <c r="R39">
        <f t="shared" si="4"/>
        <v>232</v>
      </c>
    </row>
    <row r="40" spans="1:18" ht="409.5">
      <c r="A40" s="69" t="s">
        <v>656</v>
      </c>
      <c r="B40" s="348">
        <v>84850</v>
      </c>
      <c r="C40" s="349">
        <v>14850</v>
      </c>
      <c r="D40" s="348">
        <f>'[10]Junijs'!$Z$29</f>
        <v>5011</v>
      </c>
      <c r="E40" s="317">
        <f aca="true" t="shared" si="10" ref="E40:E45">D40/B40*100</f>
        <v>5.90571596935769</v>
      </c>
      <c r="F40" s="318">
        <f>D40/C40*100</f>
        <v>33.744107744107744</v>
      </c>
      <c r="G40" s="323">
        <f>D40-'[11]Maijs'!D40</f>
        <v>0</v>
      </c>
      <c r="H40" s="69" t="s">
        <v>656</v>
      </c>
      <c r="I40" s="321">
        <f>ROUND(B40/1000,0)</f>
        <v>85</v>
      </c>
      <c r="J40" s="321">
        <f>ROUND(C40/1000,0)</f>
        <v>15</v>
      </c>
      <c r="K40" s="321">
        <f t="shared" si="9"/>
        <v>5</v>
      </c>
      <c r="L40" s="324">
        <f aca="true" t="shared" si="11" ref="L40:L45">K40/I40*100</f>
        <v>5.88235294117647</v>
      </c>
      <c r="M40" s="324">
        <f>K40/J40*100</f>
        <v>33.33333333333333</v>
      </c>
      <c r="N40" s="323">
        <f>K40-'[11]Maijs'!K40</f>
        <v>0</v>
      </c>
      <c r="P40" s="381">
        <f t="shared" si="6"/>
        <v>5</v>
      </c>
      <c r="Q40">
        <f>'[11]Maijs'!K40</f>
        <v>5</v>
      </c>
      <c r="R40">
        <f t="shared" si="4"/>
        <v>0</v>
      </c>
    </row>
    <row r="41" spans="1:18" ht="409.5">
      <c r="A41" s="69" t="s">
        <v>657</v>
      </c>
      <c r="B41" s="348">
        <v>1201200</v>
      </c>
      <c r="C41" s="350">
        <v>600600</v>
      </c>
      <c r="D41" s="321">
        <v>600600</v>
      </c>
      <c r="E41" s="317">
        <f t="shared" si="10"/>
        <v>50</v>
      </c>
      <c r="F41" s="115" t="s">
        <v>199</v>
      </c>
      <c r="G41" s="323">
        <f>D41-'[11]Maijs'!D41</f>
        <v>100100</v>
      </c>
      <c r="H41" s="69" t="s">
        <v>657</v>
      </c>
      <c r="I41" s="321">
        <f>ROUND(B41/1000,0)</f>
        <v>1201</v>
      </c>
      <c r="J41" s="321">
        <f>ROUND(C41/1000,0)</f>
        <v>601</v>
      </c>
      <c r="K41" s="321">
        <f t="shared" si="9"/>
        <v>601</v>
      </c>
      <c r="L41" s="324">
        <f t="shared" si="11"/>
        <v>50.041631973355535</v>
      </c>
      <c r="M41" s="324">
        <f>K41/J41*100</f>
        <v>100</v>
      </c>
      <c r="N41" s="323">
        <f>K41-'[11]Maijs'!K41</f>
        <v>100</v>
      </c>
      <c r="P41" s="381">
        <f t="shared" si="6"/>
        <v>601</v>
      </c>
      <c r="Q41">
        <f>'[11]Maijs'!K41</f>
        <v>501</v>
      </c>
      <c r="R41">
        <f t="shared" si="4"/>
        <v>100</v>
      </c>
    </row>
    <row r="42" spans="1:18" ht="17.25" customHeight="1">
      <c r="A42" s="351" t="s">
        <v>658</v>
      </c>
      <c r="B42" s="337">
        <f>SUM(B43:B44)</f>
        <v>33237707</v>
      </c>
      <c r="C42" s="337">
        <f>SUM(C43:C44)</f>
        <v>15821564</v>
      </c>
      <c r="D42" s="337">
        <f>SUM(D43:D44)</f>
        <v>8737038</v>
      </c>
      <c r="E42" s="317">
        <f t="shared" si="10"/>
        <v>26.286524518673925</v>
      </c>
      <c r="F42" s="318">
        <f>D42/C42*100</f>
        <v>55.22234085075281</v>
      </c>
      <c r="G42" s="323">
        <f>D42-'[11]Maijs'!D42</f>
        <v>2099250</v>
      </c>
      <c r="H42" s="351" t="s">
        <v>658</v>
      </c>
      <c r="I42" s="319">
        <f>SUM(I43:I44)</f>
        <v>33238</v>
      </c>
      <c r="J42" s="319">
        <f>SUM(J43:J44)</f>
        <v>15821</v>
      </c>
      <c r="K42" s="319">
        <f>SUM(K43:K44)</f>
        <v>8737</v>
      </c>
      <c r="L42" s="320">
        <f t="shared" si="11"/>
        <v>26.286178470425416</v>
      </c>
      <c r="M42" s="320">
        <f>K42/J42*100</f>
        <v>55.22406927501422</v>
      </c>
      <c r="N42" s="323">
        <f>K42-'[11]Maijs'!K42</f>
        <v>2099</v>
      </c>
      <c r="P42" s="381">
        <f t="shared" si="6"/>
        <v>8737</v>
      </c>
      <c r="Q42">
        <f>'[11]Maijs'!K42</f>
        <v>6638</v>
      </c>
      <c r="R42">
        <f t="shared" si="4"/>
        <v>2099</v>
      </c>
    </row>
    <row r="43" spans="1:18" ht="230.25">
      <c r="A43" s="69" t="s">
        <v>659</v>
      </c>
      <c r="B43" s="330">
        <f>11728286+810000</f>
        <v>12538286</v>
      </c>
      <c r="C43" s="330">
        <v>7278066</v>
      </c>
      <c r="D43" s="321">
        <f>'[10]Junijs'!$Z$31</f>
        <v>5160737</v>
      </c>
      <c r="E43" s="317">
        <f t="shared" si="10"/>
        <v>41.15982838483665</v>
      </c>
      <c r="F43" s="318">
        <f>D43/C43*100</f>
        <v>70.90808189977942</v>
      </c>
      <c r="G43" s="323">
        <f>D43-'[11]Maijs'!D43</f>
        <v>340569</v>
      </c>
      <c r="H43" s="69" t="s">
        <v>659</v>
      </c>
      <c r="I43" s="321">
        <f>ROUND(B43/1000,0)+1</f>
        <v>12539</v>
      </c>
      <c r="J43" s="321">
        <f>ROUND(C43/1000,0)</f>
        <v>7278</v>
      </c>
      <c r="K43" s="321">
        <f>ROUND(D43/1000,0)</f>
        <v>5161</v>
      </c>
      <c r="L43" s="324">
        <f t="shared" si="11"/>
        <v>41.15958210383604</v>
      </c>
      <c r="M43" s="324">
        <f>K43/J43*100</f>
        <v>70.91233855454794</v>
      </c>
      <c r="N43" s="323">
        <f>K43-'[11]Maijs'!K43</f>
        <v>341</v>
      </c>
      <c r="P43" s="381">
        <f t="shared" si="6"/>
        <v>5161</v>
      </c>
      <c r="Q43">
        <f>'[11]Maijs'!K43</f>
        <v>4820</v>
      </c>
      <c r="R43">
        <f t="shared" si="4"/>
        <v>341</v>
      </c>
    </row>
    <row r="44" spans="1:18" ht="166.5">
      <c r="A44" s="69" t="s">
        <v>660</v>
      </c>
      <c r="B44" s="330">
        <v>20699421</v>
      </c>
      <c r="C44" s="330">
        <f>7029498+234780+215420+194320+168470+222820+478190</f>
        <v>8543498</v>
      </c>
      <c r="D44" s="321">
        <f>'[10]Junijs'!$Z$32</f>
        <v>3576301</v>
      </c>
      <c r="E44" s="317">
        <f t="shared" si="10"/>
        <v>17.277299688720763</v>
      </c>
      <c r="F44" s="318">
        <f>D44/C44*100</f>
        <v>41.85991499032364</v>
      </c>
      <c r="G44" s="323">
        <f>D44-'[11]Maijs'!D44</f>
        <v>1758681</v>
      </c>
      <c r="H44" s="69" t="s">
        <v>660</v>
      </c>
      <c r="I44" s="321">
        <f>ROUND(B44/1000,0)</f>
        <v>20699</v>
      </c>
      <c r="J44" s="321">
        <f>ROUND(C44/1000,0)</f>
        <v>8543</v>
      </c>
      <c r="K44" s="321">
        <f>ROUND(D44/1000,0)</f>
        <v>3576</v>
      </c>
      <c r="L44" s="324">
        <f t="shared" si="11"/>
        <v>17.276196917725496</v>
      </c>
      <c r="M44" s="324">
        <f>K44/J44*100</f>
        <v>41.8588317921105</v>
      </c>
      <c r="N44" s="323">
        <f>K44-'[11]Maijs'!K44</f>
        <v>1758</v>
      </c>
      <c r="P44" s="381">
        <f t="shared" si="6"/>
        <v>3576</v>
      </c>
      <c r="Q44">
        <f>'[11]Maijs'!K44</f>
        <v>1818</v>
      </c>
      <c r="R44">
        <f t="shared" si="4"/>
        <v>1758</v>
      </c>
    </row>
    <row r="45" spans="1:18" ht="409.5">
      <c r="A45" s="333" t="s">
        <v>661</v>
      </c>
      <c r="B45" s="328">
        <v>6699203</v>
      </c>
      <c r="C45" s="352" t="s">
        <v>199</v>
      </c>
      <c r="D45" s="328">
        <f>D46-D47</f>
        <v>3503854</v>
      </c>
      <c r="E45" s="317">
        <f t="shared" si="10"/>
        <v>52.302550019756076</v>
      </c>
      <c r="F45" s="115" t="s">
        <v>199</v>
      </c>
      <c r="G45" s="323">
        <f>D45-'[11]Maijs'!D45</f>
        <v>341633</v>
      </c>
      <c r="H45" s="333" t="s">
        <v>661</v>
      </c>
      <c r="I45" s="319">
        <f>ROUND(B45/1000,0)</f>
        <v>6699</v>
      </c>
      <c r="J45" s="353" t="s">
        <v>199</v>
      </c>
      <c r="K45" s="319">
        <f>ROUND(D45/1000,0)</f>
        <v>3504</v>
      </c>
      <c r="L45" s="320">
        <f t="shared" si="11"/>
        <v>52.3063143752799</v>
      </c>
      <c r="M45" s="99" t="s">
        <v>199</v>
      </c>
      <c r="N45" s="316">
        <f>K45-'[11]Maijs'!K45</f>
        <v>342</v>
      </c>
      <c r="P45" s="381">
        <f t="shared" si="6"/>
        <v>3504</v>
      </c>
      <c r="Q45">
        <f>'[11]Maijs'!K45</f>
        <v>3162</v>
      </c>
      <c r="R45">
        <f t="shared" si="4"/>
        <v>342</v>
      </c>
    </row>
    <row r="46" spans="1:18" ht="15">
      <c r="A46" s="250" t="s">
        <v>662</v>
      </c>
      <c r="B46" s="352" t="s">
        <v>199</v>
      </c>
      <c r="C46" s="321"/>
      <c r="D46" s="321">
        <f>'[10]Junijs'!$Z$34</f>
        <v>3624776</v>
      </c>
      <c r="E46" s="317"/>
      <c r="F46" s="318" t="e">
        <f>D46/C46*100</f>
        <v>#DIV/0!</v>
      </c>
      <c r="G46" s="323">
        <f>D46-'[11]Maijs'!D46</f>
        <v>373777</v>
      </c>
      <c r="H46" s="250" t="s">
        <v>662</v>
      </c>
      <c r="I46" s="352" t="s">
        <v>199</v>
      </c>
      <c r="J46" s="321">
        <f>ROUND(C46/1000,0)</f>
        <v>0</v>
      </c>
      <c r="K46" s="321">
        <f>ROUND(D46/1000,0)</f>
        <v>3625</v>
      </c>
      <c r="L46" s="332" t="s">
        <v>199</v>
      </c>
      <c r="M46" s="324"/>
      <c r="N46" s="323">
        <f>K46-'[11]Maijs'!K46</f>
        <v>374</v>
      </c>
      <c r="P46" s="381">
        <f t="shared" si="6"/>
        <v>3625</v>
      </c>
      <c r="Q46">
        <f>'[11]Maijs'!K46</f>
        <v>3251</v>
      </c>
      <c r="R46">
        <f t="shared" si="4"/>
        <v>374</v>
      </c>
    </row>
    <row r="47" spans="1:18" ht="409.5">
      <c r="A47" s="134" t="s">
        <v>663</v>
      </c>
      <c r="B47" s="352" t="s">
        <v>199</v>
      </c>
      <c r="C47" s="321"/>
      <c r="D47" s="346">
        <f>-'[10]Junijs'!$Z$35</f>
        <v>120922</v>
      </c>
      <c r="E47" s="317"/>
      <c r="F47" s="318" t="e">
        <f>D47/C47*100</f>
        <v>#DIV/0!</v>
      </c>
      <c r="G47" s="323">
        <f>D47-'[11]Maijs'!D47</f>
        <v>32144</v>
      </c>
      <c r="H47" s="134" t="s">
        <v>663</v>
      </c>
      <c r="I47" s="352" t="s">
        <v>199</v>
      </c>
      <c r="J47" s="321">
        <f>ROUND(C47/1000,0)</f>
        <v>0</v>
      </c>
      <c r="K47" s="321">
        <f>ROUND(D47/1000,0)</f>
        <v>121</v>
      </c>
      <c r="L47" s="332" t="s">
        <v>199</v>
      </c>
      <c r="M47" s="324"/>
      <c r="N47" s="323">
        <f>K47-'[11]Maijs'!K47</f>
        <v>32</v>
      </c>
      <c r="P47" s="381">
        <f t="shared" si="6"/>
        <v>121</v>
      </c>
      <c r="Q47">
        <f>'[11]Maijs'!K47</f>
        <v>89</v>
      </c>
      <c r="R47">
        <f t="shared" si="4"/>
        <v>32</v>
      </c>
    </row>
    <row r="48" spans="1:18" ht="17.25" customHeight="1">
      <c r="A48" s="333" t="s">
        <v>664</v>
      </c>
      <c r="B48" s="337">
        <f>B10-B15-B45</f>
        <v>-46327102</v>
      </c>
      <c r="C48" s="352" t="s">
        <v>199</v>
      </c>
      <c r="D48" s="337">
        <f>D10-D15-D45</f>
        <v>-13907419</v>
      </c>
      <c r="E48" s="317">
        <f>D48/B48*100</f>
        <v>30.020049602930047</v>
      </c>
      <c r="F48" s="115" t="s">
        <v>199</v>
      </c>
      <c r="G48" s="337">
        <f>G10-G15-G45</f>
        <v>-364545</v>
      </c>
      <c r="H48" s="333" t="s">
        <v>664</v>
      </c>
      <c r="I48" s="337">
        <f>I10-I15-I45</f>
        <v>-46327</v>
      </c>
      <c r="J48" s="353" t="s">
        <v>199</v>
      </c>
      <c r="K48" s="319">
        <f>K10-K15-K45</f>
        <v>-13908</v>
      </c>
      <c r="L48" s="320">
        <f>K48/I48*100</f>
        <v>30.021369827530382</v>
      </c>
      <c r="M48" s="332" t="s">
        <v>199</v>
      </c>
      <c r="N48" s="319">
        <f>N10-N15-N45</f>
        <v>-363</v>
      </c>
      <c r="P48" s="381">
        <f t="shared" si="6"/>
        <v>-13908</v>
      </c>
      <c r="Q48">
        <f>'[11]Maijs'!K48</f>
        <v>-13545</v>
      </c>
      <c r="R48">
        <f t="shared" si="4"/>
        <v>-363</v>
      </c>
    </row>
    <row r="49" spans="1:18" ht="17.25" customHeight="1">
      <c r="A49" s="333" t="s">
        <v>507</v>
      </c>
      <c r="B49" s="328">
        <f>-B48</f>
        <v>46327102</v>
      </c>
      <c r="C49" s="331" t="s">
        <v>199</v>
      </c>
      <c r="D49" s="328">
        <f>-D48</f>
        <v>13907419</v>
      </c>
      <c r="E49" s="317">
        <f>D49/B49*100</f>
        <v>30.020049602930047</v>
      </c>
      <c r="F49" s="115" t="s">
        <v>199</v>
      </c>
      <c r="G49" s="316">
        <f>D49-'[11]Maijs'!D49</f>
        <v>364545</v>
      </c>
      <c r="H49" s="333" t="s">
        <v>507</v>
      </c>
      <c r="I49" s="328">
        <f>-I48</f>
        <v>46327</v>
      </c>
      <c r="J49" s="354" t="s">
        <v>199</v>
      </c>
      <c r="K49" s="328">
        <f>-K48</f>
        <v>13908</v>
      </c>
      <c r="L49" s="320">
        <f>K49/I49*100</f>
        <v>30.021369827530382</v>
      </c>
      <c r="M49" s="332" t="s">
        <v>199</v>
      </c>
      <c r="N49" s="328">
        <f>-N48</f>
        <v>363</v>
      </c>
      <c r="P49" s="381">
        <f t="shared" si="6"/>
        <v>13908</v>
      </c>
      <c r="Q49">
        <f>'[11]Maijs'!K49</f>
        <v>13545</v>
      </c>
      <c r="R49">
        <f t="shared" si="4"/>
        <v>363</v>
      </c>
    </row>
    <row r="50" spans="1:18" ht="17.25" customHeight="1">
      <c r="A50" s="69" t="s">
        <v>665</v>
      </c>
      <c r="B50" s="321">
        <v>48698241</v>
      </c>
      <c r="C50" s="331">
        <f>'[9]Junijs'!$C$17</f>
        <v>35449114</v>
      </c>
      <c r="D50" s="321">
        <f>'[10]Junijs'!$Z$43+'[10]Junijs'!$Z$39</f>
        <v>22049712</v>
      </c>
      <c r="E50" s="317">
        <f>D50/B50*100</f>
        <v>45.27825142596013</v>
      </c>
      <c r="F50" s="318">
        <f>D50/C50*100</f>
        <v>62.20102426255279</v>
      </c>
      <c r="G50" s="323">
        <f>D50-'[11]Maijs'!D50</f>
        <v>24666</v>
      </c>
      <c r="H50" s="69" t="s">
        <v>665</v>
      </c>
      <c r="I50" s="321">
        <f>ROUND(B50/1000,0)</f>
        <v>48698</v>
      </c>
      <c r="J50" s="321">
        <f>ROUND(C50/1000,0)</f>
        <v>35449</v>
      </c>
      <c r="K50" s="321">
        <f>ROUND(D50/1000,0)</f>
        <v>22050</v>
      </c>
      <c r="L50" s="324">
        <f>K50/I50*100</f>
        <v>45.279066902131504</v>
      </c>
      <c r="M50" s="324">
        <f>K50/J50*100</f>
        <v>62.20203672882169</v>
      </c>
      <c r="N50" s="323">
        <f>K50-'[11]Maijs'!K50</f>
        <v>25</v>
      </c>
      <c r="P50" s="381">
        <f t="shared" si="6"/>
        <v>22050</v>
      </c>
      <c r="Q50">
        <f>'[11]Maijs'!K50</f>
        <v>22025</v>
      </c>
      <c r="R50">
        <f t="shared" si="4"/>
        <v>25</v>
      </c>
    </row>
    <row r="51" spans="1:18" ht="409.5">
      <c r="A51" s="69" t="s">
        <v>666</v>
      </c>
      <c r="B51" s="321">
        <f>-(B48+B50)</f>
        <v>-2371139</v>
      </c>
      <c r="C51" s="115" t="s">
        <v>199</v>
      </c>
      <c r="D51" s="321">
        <f>-(D48+D50)</f>
        <v>-8142293</v>
      </c>
      <c r="E51" s="317">
        <f>D51/B51*100</f>
        <v>343.3916358340865</v>
      </c>
      <c r="F51" s="115" t="s">
        <v>199</v>
      </c>
      <c r="G51" s="323">
        <f>D51-'[11]Maijs'!D51</f>
        <v>339879</v>
      </c>
      <c r="H51" s="69" t="s">
        <v>666</v>
      </c>
      <c r="I51" s="321">
        <f>-(I48+I50)</f>
        <v>-2371</v>
      </c>
      <c r="J51" s="115" t="s">
        <v>199</v>
      </c>
      <c r="K51" s="321">
        <f>-(K48+K50)</f>
        <v>-8142</v>
      </c>
      <c r="L51" s="324">
        <f>K51/I51*100</f>
        <v>343.3994095318431</v>
      </c>
      <c r="M51" s="332" t="s">
        <v>199</v>
      </c>
      <c r="N51" s="321">
        <f>-(N48+N50)</f>
        <v>338</v>
      </c>
      <c r="P51" s="381">
        <f t="shared" si="6"/>
        <v>-8142</v>
      </c>
      <c r="Q51">
        <f>'[11]Maijs'!K51</f>
        <v>-8480</v>
      </c>
      <c r="R51">
        <f t="shared" si="4"/>
        <v>338</v>
      </c>
    </row>
    <row r="52" spans="1:14" ht="17.25" customHeight="1">
      <c r="A52" s="355"/>
      <c r="B52" s="356"/>
      <c r="C52" s="356"/>
      <c r="D52" s="357"/>
      <c r="E52" s="358"/>
      <c r="F52" s="359"/>
      <c r="G52" s="85"/>
      <c r="H52" s="355"/>
      <c r="I52" s="356"/>
      <c r="J52" s="356"/>
      <c r="K52" s="357"/>
      <c r="L52" s="358"/>
      <c r="M52" s="359"/>
      <c r="N52" s="85"/>
    </row>
    <row r="53" spans="1:14" ht="14.25" hidden="1">
      <c r="A53" s="360" t="s">
        <v>667</v>
      </c>
      <c r="B53" s="356"/>
      <c r="C53" s="356"/>
      <c r="D53" s="357"/>
      <c r="E53" s="358"/>
      <c r="F53" s="359"/>
      <c r="G53" s="85"/>
      <c r="H53" s="360" t="s">
        <v>667</v>
      </c>
      <c r="I53" s="356"/>
      <c r="J53" s="356"/>
      <c r="K53" s="357"/>
      <c r="L53" s="358"/>
      <c r="M53" s="359"/>
      <c r="N53" s="85"/>
    </row>
    <row r="54" spans="1:14" ht="357" hidden="1">
      <c r="A54" s="69" t="s">
        <v>677</v>
      </c>
      <c r="B54" s="342"/>
      <c r="C54" s="342"/>
      <c r="D54" s="258"/>
      <c r="E54" s="361"/>
      <c r="F54" s="115"/>
      <c r="G54" s="60"/>
      <c r="H54" s="69" t="s">
        <v>677</v>
      </c>
      <c r="I54" s="342"/>
      <c r="J54" s="342"/>
      <c r="K54" s="258"/>
      <c r="L54" s="361"/>
      <c r="M54" s="115"/>
      <c r="N54" s="60"/>
    </row>
    <row r="55" spans="1:14" ht="12.75" hidden="1">
      <c r="A55" s="60" t="s">
        <v>559</v>
      </c>
      <c r="B55" s="342"/>
      <c r="C55" s="342"/>
      <c r="D55" s="258"/>
      <c r="E55" s="361"/>
      <c r="F55" s="115"/>
      <c r="G55" s="60"/>
      <c r="H55" s="60" t="s">
        <v>559</v>
      </c>
      <c r="I55" s="342"/>
      <c r="J55" s="342"/>
      <c r="K55" s="258"/>
      <c r="L55" s="361"/>
      <c r="M55" s="115"/>
      <c r="N55" s="60"/>
    </row>
    <row r="56" spans="1:14" ht="409.5" hidden="1">
      <c r="A56" s="69" t="s">
        <v>678</v>
      </c>
      <c r="B56" s="342"/>
      <c r="C56" s="342"/>
      <c r="D56" s="258"/>
      <c r="E56" s="361"/>
      <c r="F56" s="115"/>
      <c r="G56" s="60"/>
      <c r="H56" s="69" t="s">
        <v>678</v>
      </c>
      <c r="I56" s="342"/>
      <c r="J56" s="342"/>
      <c r="K56" s="258"/>
      <c r="L56" s="361"/>
      <c r="M56" s="115"/>
      <c r="N56" s="60"/>
    </row>
    <row r="57" spans="1:14" ht="17.25" customHeight="1">
      <c r="A57" s="85"/>
      <c r="B57" s="356"/>
      <c r="C57" s="356"/>
      <c r="D57" s="357"/>
      <c r="E57" s="358"/>
      <c r="F57" s="359"/>
      <c r="G57" s="85"/>
      <c r="H57" s="85"/>
      <c r="I57" s="356"/>
      <c r="J57" s="356"/>
      <c r="K57" s="357"/>
      <c r="L57" s="358"/>
      <c r="M57" s="359"/>
      <c r="N57" s="85"/>
    </row>
    <row r="58" spans="1:14" ht="17.25" customHeight="1">
      <c r="A58" s="49"/>
      <c r="B58" s="362"/>
      <c r="C58" s="362"/>
      <c r="D58" s="47"/>
      <c r="E58" s="358"/>
      <c r="F58" s="363"/>
      <c r="G58" s="49"/>
      <c r="H58" s="364" t="s">
        <v>142</v>
      </c>
      <c r="I58" s="364"/>
      <c r="J58" s="364"/>
      <c r="K58" s="364"/>
      <c r="M58" s="824" t="s">
        <v>376</v>
      </c>
      <c r="N58" s="824"/>
    </row>
    <row r="59" spans="2:14" ht="17.25" customHeight="1">
      <c r="B59" s="362"/>
      <c r="C59" s="362"/>
      <c r="D59" s="47"/>
      <c r="E59" s="365"/>
      <c r="F59" s="363"/>
      <c r="G59" s="49"/>
      <c r="I59" s="362"/>
      <c r="J59" s="362"/>
      <c r="K59" s="47"/>
      <c r="L59" s="365"/>
      <c r="M59" s="363"/>
      <c r="N59" s="49"/>
    </row>
    <row r="60" spans="2:14" ht="17.25" customHeight="1">
      <c r="B60" s="49"/>
      <c r="C60" s="49"/>
      <c r="D60" s="49"/>
      <c r="E60" s="366"/>
      <c r="F60" s="367"/>
      <c r="G60" s="49"/>
      <c r="I60" s="49"/>
      <c r="J60" s="49"/>
      <c r="K60" s="49"/>
      <c r="L60" s="366"/>
      <c r="M60" s="367"/>
      <c r="N60" s="49"/>
    </row>
    <row r="61" spans="2:14" ht="17.25" customHeight="1">
      <c r="B61" s="362"/>
      <c r="C61" s="368"/>
      <c r="D61" s="47"/>
      <c r="E61" s="368"/>
      <c r="F61" s="363"/>
      <c r="G61" s="49"/>
      <c r="I61" s="362"/>
      <c r="J61" s="368"/>
      <c r="K61" s="47"/>
      <c r="L61" s="368"/>
      <c r="M61" s="363"/>
      <c r="N61" s="49"/>
    </row>
    <row r="62" spans="2:13" ht="17.25" customHeight="1">
      <c r="B62" s="6"/>
      <c r="C62" s="6"/>
      <c r="E62" s="369"/>
      <c r="F62" s="370"/>
      <c r="I62" s="6"/>
      <c r="J62" s="6"/>
      <c r="L62" s="369"/>
      <c r="M62" s="370"/>
    </row>
    <row r="63" spans="2:13" ht="17.25" customHeight="1">
      <c r="B63" s="6"/>
      <c r="C63" s="6"/>
      <c r="E63" s="369"/>
      <c r="F63" s="370"/>
      <c r="H63" s="355"/>
      <c r="I63" s="355"/>
      <c r="J63" s="355"/>
      <c r="K63" s="355"/>
      <c r="L63" s="355"/>
      <c r="M63" s="355"/>
    </row>
    <row r="64" spans="1:6" ht="17.25" customHeight="1">
      <c r="A64" s="41" t="s">
        <v>456</v>
      </c>
      <c r="B64" s="39"/>
      <c r="C64" s="39"/>
      <c r="E64" s="368" t="s">
        <v>457</v>
      </c>
      <c r="F64" s="370"/>
    </row>
    <row r="65" spans="2:13" ht="17.25" customHeight="1">
      <c r="B65" s="371"/>
      <c r="C65" s="369"/>
      <c r="D65" s="372"/>
      <c r="E65" s="369"/>
      <c r="F65" s="370"/>
      <c r="H65" s="5" t="s">
        <v>621</v>
      </c>
      <c r="I65" s="355"/>
      <c r="J65" s="355"/>
      <c r="K65" s="355"/>
      <c r="L65" s="355"/>
      <c r="M65" s="355"/>
    </row>
    <row r="66" spans="2:13" ht="17.25" customHeight="1">
      <c r="B66" s="371"/>
      <c r="C66" s="369"/>
      <c r="D66" s="372"/>
      <c r="E66" s="369"/>
      <c r="F66" s="370"/>
      <c r="H66" s="5" t="s">
        <v>530</v>
      </c>
      <c r="I66" s="371"/>
      <c r="J66" s="369"/>
      <c r="K66" s="372"/>
      <c r="L66" s="369"/>
      <c r="M66" s="370"/>
    </row>
    <row r="67" spans="2:13" ht="17.25" customHeight="1">
      <c r="B67" s="6"/>
      <c r="C67" s="6"/>
      <c r="E67" s="369"/>
      <c r="F67" s="370"/>
      <c r="I67" s="6"/>
      <c r="J67" s="6"/>
      <c r="L67" s="369"/>
      <c r="M67" s="370"/>
    </row>
    <row r="68" spans="2:13" ht="17.25" customHeight="1">
      <c r="B68" s="6"/>
      <c r="C68" s="6"/>
      <c r="E68" s="369"/>
      <c r="F68" s="370"/>
      <c r="I68" s="6"/>
      <c r="J68" s="6"/>
      <c r="L68" s="369"/>
      <c r="M68" s="370"/>
    </row>
    <row r="69" spans="5:13" ht="17.25" customHeight="1">
      <c r="E69" s="369"/>
      <c r="F69" s="370"/>
      <c r="L69" s="369"/>
      <c r="M69" s="370"/>
    </row>
    <row r="70" spans="1:13" ht="17.25" customHeight="1">
      <c r="A70" s="364"/>
      <c r="E70" s="369"/>
      <c r="F70" s="370"/>
      <c r="H70" s="364"/>
      <c r="L70" s="369"/>
      <c r="M70" s="370"/>
    </row>
    <row r="71" spans="5:13" ht="17.25" customHeight="1">
      <c r="E71" s="369"/>
      <c r="F71" s="370"/>
      <c r="L71" s="369"/>
      <c r="M71" s="370"/>
    </row>
    <row r="72" spans="5:13" ht="17.25" customHeight="1">
      <c r="E72" s="369"/>
      <c r="F72" s="370"/>
      <c r="L72" s="369"/>
      <c r="M72" s="370"/>
    </row>
    <row r="79" ht="17.25" customHeight="1">
      <c r="A79" s="5" t="s">
        <v>621</v>
      </c>
    </row>
    <row r="80" ht="17.25" customHeight="1">
      <c r="A80" s="5" t="s">
        <v>679</v>
      </c>
    </row>
    <row r="91" ht="17.25" customHeight="1">
      <c r="A91" s="1"/>
    </row>
    <row r="92" spans="1:8" ht="17.25" customHeight="1">
      <c r="A92" s="1"/>
      <c r="H92" s="1"/>
    </row>
  </sheetData>
  <mergeCells count="8">
    <mergeCell ref="A6:G6"/>
    <mergeCell ref="H6:N6"/>
    <mergeCell ref="M58:N58"/>
    <mergeCell ref="H2:N2"/>
    <mergeCell ref="A4:G4"/>
    <mergeCell ref="H4:N4"/>
    <mergeCell ref="A5:G5"/>
    <mergeCell ref="H5:N5"/>
  </mergeCells>
  <printOptions/>
  <pageMargins left="0.75" right="0.27" top="1" bottom="1" header="0.5" footer="0.5"/>
  <pageSetup firstPageNumber="20" useFirstPageNumber="1" fitToHeight="2" fitToWidth="1" horizontalDpi="600" verticalDpi="600" orientation="portrait" paperSize="9" scale="88" r:id="rId1"/>
  <headerFooter alignWithMargins="0">
    <oddFooter>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8"/>
  <sheetViews>
    <sheetView workbookViewId="0" topLeftCell="G1">
      <selection activeCell="G7" sqref="G7"/>
    </sheetView>
  </sheetViews>
  <sheetFormatPr defaultColWidth="9.140625" defaultRowHeight="17.25" customHeight="1"/>
  <cols>
    <col min="1" max="1" width="46.8515625" style="85" hidden="1" customWidth="1"/>
    <col min="2" max="2" width="10.8515625" style="85" hidden="1" customWidth="1"/>
    <col min="3" max="3" width="13.140625" style="85" hidden="1" customWidth="1"/>
    <col min="4" max="4" width="11.7109375" style="85" hidden="1" customWidth="1"/>
    <col min="5" max="5" width="8.7109375" style="85" hidden="1" customWidth="1"/>
    <col min="6" max="6" width="12.8515625" style="85" hidden="1" customWidth="1"/>
    <col min="7" max="7" width="46.8515625" style="85" customWidth="1"/>
    <col min="8" max="8" width="10.8515625" style="85" customWidth="1"/>
    <col min="9" max="9" width="12.00390625" style="85" customWidth="1"/>
    <col min="10" max="10" width="11.7109375" style="85" customWidth="1"/>
    <col min="11" max="11" width="8.7109375" style="85" customWidth="1"/>
    <col min="12" max="12" width="10.140625" style="85" customWidth="1"/>
    <col min="13" max="13" width="0.13671875" style="0" customWidth="1"/>
    <col min="14" max="19" width="9.140625" style="0" hidden="1" customWidth="1"/>
  </cols>
  <sheetData>
    <row r="2" spans="1:12" ht="17.25" customHeight="1">
      <c r="A2" s="85" t="s">
        <v>680</v>
      </c>
      <c r="F2" s="373" t="s">
        <v>681</v>
      </c>
      <c r="G2" s="85" t="s">
        <v>680</v>
      </c>
      <c r="L2" s="373" t="s">
        <v>681</v>
      </c>
    </row>
    <row r="4" spans="1:12" ht="17.25" customHeight="1">
      <c r="A4" s="811" t="s">
        <v>682</v>
      </c>
      <c r="B4" s="811"/>
      <c r="C4" s="811"/>
      <c r="D4" s="811"/>
      <c r="E4" s="811"/>
      <c r="F4" s="811"/>
      <c r="G4" s="811" t="s">
        <v>682</v>
      </c>
      <c r="H4" s="811"/>
      <c r="I4" s="811"/>
      <c r="J4" s="811"/>
      <c r="K4" s="811"/>
      <c r="L4" s="811"/>
    </row>
    <row r="5" spans="1:12" ht="17.25" customHeight="1">
      <c r="A5" s="811" t="s">
        <v>319</v>
      </c>
      <c r="B5" s="811"/>
      <c r="C5" s="811"/>
      <c r="D5" s="811"/>
      <c r="E5" s="811"/>
      <c r="F5" s="811"/>
      <c r="G5" s="812" t="s">
        <v>525</v>
      </c>
      <c r="H5" s="812"/>
      <c r="I5" s="812"/>
      <c r="J5" s="812"/>
      <c r="K5" s="812"/>
      <c r="L5" s="812"/>
    </row>
    <row r="6" spans="1:12" ht="17.25" customHeight="1">
      <c r="A6" s="85" t="s">
        <v>143</v>
      </c>
      <c r="F6" s="373" t="s">
        <v>548</v>
      </c>
      <c r="L6" s="375" t="s">
        <v>240</v>
      </c>
    </row>
    <row r="7" spans="1:12" ht="51">
      <c r="A7" s="274" t="s">
        <v>193</v>
      </c>
      <c r="B7" s="312" t="s">
        <v>518</v>
      </c>
      <c r="C7" s="312" t="s">
        <v>241</v>
      </c>
      <c r="D7" s="312" t="s">
        <v>242</v>
      </c>
      <c r="E7" s="312" t="s">
        <v>519</v>
      </c>
      <c r="F7" s="312" t="s">
        <v>317</v>
      </c>
      <c r="G7" s="274" t="s">
        <v>193</v>
      </c>
      <c r="H7" s="312" t="s">
        <v>518</v>
      </c>
      <c r="I7" s="312" t="s">
        <v>241</v>
      </c>
      <c r="J7" s="312" t="s">
        <v>242</v>
      </c>
      <c r="K7" s="312" t="s">
        <v>520</v>
      </c>
      <c r="L7" s="312" t="s">
        <v>317</v>
      </c>
    </row>
    <row r="8" spans="1:12" ht="17.25" customHeight="1">
      <c r="A8" s="274">
        <v>1</v>
      </c>
      <c r="B8" s="274">
        <v>2</v>
      </c>
      <c r="C8" s="312">
        <v>3</v>
      </c>
      <c r="D8" s="312">
        <v>4</v>
      </c>
      <c r="E8" s="312">
        <v>5</v>
      </c>
      <c r="F8" s="257">
        <v>6</v>
      </c>
      <c r="G8" s="274">
        <v>1</v>
      </c>
      <c r="H8" s="274">
        <v>2</v>
      </c>
      <c r="I8" s="312">
        <v>3</v>
      </c>
      <c r="J8" s="312">
        <v>4</v>
      </c>
      <c r="K8" s="312">
        <v>5</v>
      </c>
      <c r="L8" s="257">
        <v>6</v>
      </c>
    </row>
    <row r="9" spans="1:19" ht="30" customHeight="1">
      <c r="A9" s="100" t="s">
        <v>521</v>
      </c>
      <c r="B9" s="244"/>
      <c r="C9" s="376">
        <f>SUM(C10:C23)-C14</f>
        <v>771845803</v>
      </c>
      <c r="D9" s="376">
        <f>SUM(D10:D13,D15:D24)</f>
        <v>356685479</v>
      </c>
      <c r="E9" s="377">
        <f>D9/C9*100</f>
        <v>46.21201250478264</v>
      </c>
      <c r="F9" s="376">
        <f>D9-'[12]Maijs'!D9</f>
        <v>55777961</v>
      </c>
      <c r="G9" s="109" t="s">
        <v>521</v>
      </c>
      <c r="H9" s="257"/>
      <c r="I9" s="378">
        <f>SUM(I10:I13,I15:I24)</f>
        <v>771846</v>
      </c>
      <c r="J9" s="378">
        <f>SUM(J10:J13,J15:J24)</f>
        <v>356687</v>
      </c>
      <c r="K9" s="379">
        <f>J9/I9*100</f>
        <v>46.212197770021476</v>
      </c>
      <c r="L9" s="378">
        <f>SUM(L10:L13,L15:L24)</f>
        <v>55779</v>
      </c>
      <c r="N9">
        <v>356693</v>
      </c>
      <c r="O9" s="380">
        <v>239532</v>
      </c>
      <c r="P9" s="381">
        <f>N9-O9</f>
        <v>117161</v>
      </c>
      <c r="R9">
        <v>64793</v>
      </c>
      <c r="S9" s="381">
        <f>P9-R9</f>
        <v>52368</v>
      </c>
    </row>
    <row r="10" spans="1:16" ht="30" customHeight="1">
      <c r="A10" s="250" t="s">
        <v>522</v>
      </c>
      <c r="B10" s="251">
        <v>1</v>
      </c>
      <c r="C10" s="280">
        <v>756987</v>
      </c>
      <c r="D10" s="382">
        <f>'[10]Junijs'!$P$7</f>
        <v>62993</v>
      </c>
      <c r="E10" s="377">
        <f>D10/C10*100</f>
        <v>8.321543170490378</v>
      </c>
      <c r="F10" s="376">
        <f>D10-'[12]Maijs'!D10</f>
        <v>8712</v>
      </c>
      <c r="G10" s="250" t="s">
        <v>522</v>
      </c>
      <c r="H10" s="251">
        <v>1</v>
      </c>
      <c r="I10" s="289">
        <f aca="true" t="shared" si="0" ref="I10:J12">ROUND(C10/1000,0)</f>
        <v>757</v>
      </c>
      <c r="J10" s="289">
        <f t="shared" si="0"/>
        <v>63</v>
      </c>
      <c r="K10" s="383">
        <f>J10/I10*100</f>
        <v>8.3223249669749</v>
      </c>
      <c r="L10" s="289">
        <f>J10-'[12]Maijs'!J10</f>
        <v>9</v>
      </c>
      <c r="N10">
        <v>63</v>
      </c>
      <c r="O10" s="380">
        <v>39</v>
      </c>
      <c r="P10" s="381">
        <f aca="true" t="shared" si="1" ref="P10:P24">N10-O10</f>
        <v>24</v>
      </c>
    </row>
    <row r="11" spans="1:16" ht="30" customHeight="1">
      <c r="A11" s="60" t="s">
        <v>523</v>
      </c>
      <c r="B11" s="251">
        <v>2</v>
      </c>
      <c r="C11" s="280"/>
      <c r="D11" s="382"/>
      <c r="E11" s="377"/>
      <c r="F11" s="376">
        <f>D11-'[12]Maijs'!D11</f>
        <v>0</v>
      </c>
      <c r="G11" s="60" t="s">
        <v>523</v>
      </c>
      <c r="H11" s="251">
        <v>2</v>
      </c>
      <c r="I11" s="289">
        <f t="shared" si="0"/>
        <v>0</v>
      </c>
      <c r="J11" s="289">
        <f t="shared" si="0"/>
        <v>0</v>
      </c>
      <c r="K11" s="383"/>
      <c r="L11" s="289">
        <f>J11-'[12]Maijs'!J11</f>
        <v>0</v>
      </c>
      <c r="N11">
        <v>0</v>
      </c>
      <c r="O11" s="380">
        <v>0</v>
      </c>
      <c r="P11" s="381">
        <f t="shared" si="1"/>
        <v>0</v>
      </c>
    </row>
    <row r="12" spans="1:16" ht="30" customHeight="1">
      <c r="A12" s="69" t="s">
        <v>524</v>
      </c>
      <c r="B12" s="251">
        <v>3</v>
      </c>
      <c r="C12" s="280"/>
      <c r="D12" s="382"/>
      <c r="E12" s="377"/>
      <c r="F12" s="376">
        <f>D12-'[12]Maijs'!D12</f>
        <v>0</v>
      </c>
      <c r="G12" s="69" t="s">
        <v>524</v>
      </c>
      <c r="H12" s="251">
        <v>3</v>
      </c>
      <c r="I12" s="289">
        <f t="shared" si="0"/>
        <v>0</v>
      </c>
      <c r="J12" s="289">
        <f t="shared" si="0"/>
        <v>0</v>
      </c>
      <c r="K12" s="383"/>
      <c r="L12" s="289">
        <f>J12-'[12]Maijs'!J12</f>
        <v>0</v>
      </c>
      <c r="N12">
        <v>0</v>
      </c>
      <c r="O12" s="380">
        <v>0</v>
      </c>
      <c r="P12" s="381">
        <f t="shared" si="1"/>
        <v>0</v>
      </c>
    </row>
    <row r="13" spans="1:19" ht="30" customHeight="1">
      <c r="A13" s="60" t="s">
        <v>683</v>
      </c>
      <c r="B13" s="251">
        <v>4</v>
      </c>
      <c r="C13" s="280">
        <f>1238299+C14</f>
        <v>7937502</v>
      </c>
      <c r="D13" s="382">
        <f>'[10]Junijs'!$O$7+D14-1000</f>
        <v>4092119</v>
      </c>
      <c r="E13" s="377">
        <f>D13/C13*100</f>
        <v>51.55424212806498</v>
      </c>
      <c r="F13" s="376">
        <f>D13-'[12]Maijs'!D13</f>
        <v>360052</v>
      </c>
      <c r="G13" s="60" t="s">
        <v>684</v>
      </c>
      <c r="H13" s="251">
        <v>4</v>
      </c>
      <c r="I13" s="289">
        <f>ROUND(C13/1000,0)-1</f>
        <v>7937</v>
      </c>
      <c r="J13" s="289">
        <f>ROUND(D13/1000,0)</f>
        <v>4092</v>
      </c>
      <c r="K13" s="383">
        <f aca="true" t="shared" si="2" ref="K13:K18">J13/I13*100</f>
        <v>51.55600352778128</v>
      </c>
      <c r="L13" s="289">
        <f>J13-'[12]Maijs'!J13</f>
        <v>360</v>
      </c>
      <c r="N13">
        <v>4093</v>
      </c>
      <c r="O13" s="380">
        <v>3136</v>
      </c>
      <c r="P13" s="381">
        <f t="shared" si="1"/>
        <v>957</v>
      </c>
      <c r="S13" s="384"/>
    </row>
    <row r="14" spans="1:18" ht="30" customHeight="1">
      <c r="A14" s="385" t="s">
        <v>685</v>
      </c>
      <c r="B14" s="251"/>
      <c r="C14" s="280">
        <v>6699203</v>
      </c>
      <c r="D14" s="382">
        <f>'[10]Junijs'!$O$33</f>
        <v>3503854</v>
      </c>
      <c r="E14" s="377"/>
      <c r="F14" s="376">
        <f>D14-'[12]Maijs'!D14</f>
        <v>341633</v>
      </c>
      <c r="G14" s="385" t="s">
        <v>685</v>
      </c>
      <c r="H14" s="251"/>
      <c r="I14" s="289">
        <f aca="true" t="shared" si="3" ref="I14:J21">ROUND(C14/1000,0)</f>
        <v>6699</v>
      </c>
      <c r="J14" s="289">
        <f t="shared" si="3"/>
        <v>3504</v>
      </c>
      <c r="K14" s="383">
        <f t="shared" si="2"/>
        <v>52.3063143752799</v>
      </c>
      <c r="L14" s="289">
        <f>J14-'[12]Maijs'!J14</f>
        <v>342</v>
      </c>
      <c r="N14">
        <v>3504</v>
      </c>
      <c r="O14" s="380">
        <v>2569</v>
      </c>
      <c r="P14" s="381">
        <f t="shared" si="1"/>
        <v>935</v>
      </c>
      <c r="R14" s="386"/>
    </row>
    <row r="15" spans="1:16" ht="30" customHeight="1">
      <c r="A15" s="60" t="s">
        <v>532</v>
      </c>
      <c r="B15" s="251">
        <v>5</v>
      </c>
      <c r="C15" s="280">
        <v>141458002</v>
      </c>
      <c r="D15" s="387">
        <f>'[10]Junijs'!$D$7</f>
        <v>70181744</v>
      </c>
      <c r="E15" s="377">
        <f>D15/C15*100</f>
        <v>49.613131111522414</v>
      </c>
      <c r="F15" s="376">
        <f>D15-'[12]Maijs'!D15</f>
        <v>11737731</v>
      </c>
      <c r="G15" s="60" t="s">
        <v>532</v>
      </c>
      <c r="H15" s="251">
        <v>5</v>
      </c>
      <c r="I15" s="289">
        <f t="shared" si="3"/>
        <v>141458</v>
      </c>
      <c r="J15" s="289">
        <f t="shared" si="3"/>
        <v>70182</v>
      </c>
      <c r="K15" s="383">
        <f t="shared" si="2"/>
        <v>49.613312785420405</v>
      </c>
      <c r="L15" s="289">
        <f>J15-'[12]Maijs'!J15</f>
        <v>11738</v>
      </c>
      <c r="N15">
        <v>70182</v>
      </c>
      <c r="O15" s="380">
        <v>44530</v>
      </c>
      <c r="P15" s="381">
        <f t="shared" si="1"/>
        <v>25652</v>
      </c>
    </row>
    <row r="16" spans="1:16" ht="30" customHeight="1">
      <c r="A16" s="69" t="s">
        <v>533</v>
      </c>
      <c r="B16" s="251">
        <v>6</v>
      </c>
      <c r="C16" s="280">
        <v>531273828</v>
      </c>
      <c r="D16" s="387">
        <f>'[10]Junijs'!$C$7</f>
        <v>246684241</v>
      </c>
      <c r="E16" s="377">
        <f>D16/C16*100</f>
        <v>46.43259803116068</v>
      </c>
      <c r="F16" s="376">
        <f>D16-'[12]Maijs'!D16</f>
        <v>37134978</v>
      </c>
      <c r="G16" s="69" t="s">
        <v>533</v>
      </c>
      <c r="H16" s="251">
        <v>6</v>
      </c>
      <c r="I16" s="289">
        <f t="shared" si="3"/>
        <v>531274</v>
      </c>
      <c r="J16" s="289">
        <f t="shared" si="3"/>
        <v>246684</v>
      </c>
      <c r="K16" s="383">
        <f t="shared" si="2"/>
        <v>46.4325376359468</v>
      </c>
      <c r="L16" s="289">
        <f>J16-'[12]Maijs'!J16</f>
        <v>37135</v>
      </c>
      <c r="N16">
        <v>246684</v>
      </c>
      <c r="O16" s="380">
        <v>168119</v>
      </c>
      <c r="P16" s="381">
        <f t="shared" si="1"/>
        <v>78565</v>
      </c>
    </row>
    <row r="17" spans="1:16" ht="30" customHeight="1">
      <c r="A17" s="69" t="s">
        <v>534</v>
      </c>
      <c r="B17" s="251">
        <v>7</v>
      </c>
      <c r="C17" s="280">
        <v>9370924</v>
      </c>
      <c r="D17" s="387">
        <f>'[10]Junijs'!$E$7</f>
        <v>1614991</v>
      </c>
      <c r="E17" s="377">
        <f>D17/C17*100</f>
        <v>17.234063577935324</v>
      </c>
      <c r="F17" s="376">
        <f>D17-'[12]Maijs'!D17</f>
        <v>341683</v>
      </c>
      <c r="G17" s="69" t="s">
        <v>534</v>
      </c>
      <c r="H17" s="251">
        <v>7</v>
      </c>
      <c r="I17" s="289">
        <f t="shared" si="3"/>
        <v>9371</v>
      </c>
      <c r="J17" s="289">
        <f t="shared" si="3"/>
        <v>1615</v>
      </c>
      <c r="K17" s="383">
        <f t="shared" si="2"/>
        <v>17.23401984846868</v>
      </c>
      <c r="L17" s="289">
        <f>J17-'[12]Maijs'!J17</f>
        <v>342</v>
      </c>
      <c r="N17">
        <v>1615</v>
      </c>
      <c r="O17" s="380">
        <v>788</v>
      </c>
      <c r="P17" s="381">
        <f t="shared" si="1"/>
        <v>827</v>
      </c>
    </row>
    <row r="18" spans="1:16" ht="30" customHeight="1">
      <c r="A18" s="60" t="s">
        <v>535</v>
      </c>
      <c r="B18" s="251">
        <v>8</v>
      </c>
      <c r="C18" s="280">
        <f>1508663+2272860</f>
        <v>3781523</v>
      </c>
      <c r="D18" s="387">
        <f>'[10]Junijs'!$N$7+'[10]Junijs'!$Q$7</f>
        <v>1771615</v>
      </c>
      <c r="E18" s="377">
        <f>D18/C18*100</f>
        <v>46.849245661073596</v>
      </c>
      <c r="F18" s="376">
        <f>D18-'[12]Maijs'!D18</f>
        <v>299822</v>
      </c>
      <c r="G18" s="60" t="s">
        <v>535</v>
      </c>
      <c r="H18" s="251">
        <v>8</v>
      </c>
      <c r="I18" s="289">
        <f t="shared" si="3"/>
        <v>3782</v>
      </c>
      <c r="J18" s="289">
        <f t="shared" si="3"/>
        <v>1772</v>
      </c>
      <c r="K18" s="383">
        <f t="shared" si="2"/>
        <v>46.85351665785299</v>
      </c>
      <c r="L18" s="289">
        <f>J18-'[12]Maijs'!J18</f>
        <v>300</v>
      </c>
      <c r="N18">
        <v>1772</v>
      </c>
      <c r="O18" s="380">
        <v>1264</v>
      </c>
      <c r="P18" s="381">
        <f t="shared" si="1"/>
        <v>508</v>
      </c>
    </row>
    <row r="19" spans="1:16" ht="30" customHeight="1">
      <c r="A19" s="60" t="s">
        <v>536</v>
      </c>
      <c r="B19" s="251">
        <v>9</v>
      </c>
      <c r="C19" s="280"/>
      <c r="D19" s="387"/>
      <c r="E19" s="377"/>
      <c r="F19" s="376">
        <f>D19-'[12]Maijs'!D19</f>
        <v>0</v>
      </c>
      <c r="G19" s="60" t="s">
        <v>536</v>
      </c>
      <c r="H19" s="251">
        <v>9</v>
      </c>
      <c r="I19" s="289">
        <f t="shared" si="3"/>
        <v>0</v>
      </c>
      <c r="J19" s="289">
        <f t="shared" si="3"/>
        <v>0</v>
      </c>
      <c r="K19" s="383"/>
      <c r="L19" s="289">
        <f>J19-'[12]Maijs'!J19</f>
        <v>0</v>
      </c>
      <c r="N19">
        <v>0</v>
      </c>
      <c r="O19" s="380">
        <v>0</v>
      </c>
      <c r="P19" s="381">
        <f t="shared" si="1"/>
        <v>0</v>
      </c>
    </row>
    <row r="20" spans="1:16" ht="30" customHeight="1">
      <c r="A20" s="69" t="s">
        <v>537</v>
      </c>
      <c r="B20" s="388">
        <v>10</v>
      </c>
      <c r="C20" s="280">
        <v>500000</v>
      </c>
      <c r="D20" s="387">
        <f>'[10]Junijs'!$L$7</f>
        <v>265315</v>
      </c>
      <c r="E20" s="377">
        <f>D20/C20*100</f>
        <v>53.063</v>
      </c>
      <c r="F20" s="376">
        <f>D20-'[12]Maijs'!D20</f>
        <v>55876</v>
      </c>
      <c r="G20" s="69" t="s">
        <v>537</v>
      </c>
      <c r="H20" s="388">
        <v>10</v>
      </c>
      <c r="I20" s="289">
        <f t="shared" si="3"/>
        <v>500</v>
      </c>
      <c r="J20" s="289">
        <f>ROUND(D20/1000,0)+1</f>
        <v>266</v>
      </c>
      <c r="K20" s="383">
        <f>J20/I20*100</f>
        <v>53.2</v>
      </c>
      <c r="L20" s="289">
        <f>J20-'[12]Maijs'!J20</f>
        <v>56</v>
      </c>
      <c r="N20">
        <v>271</v>
      </c>
      <c r="O20" s="380">
        <v>146</v>
      </c>
      <c r="P20" s="381">
        <f t="shared" si="1"/>
        <v>125</v>
      </c>
    </row>
    <row r="21" spans="1:16" ht="30" customHeight="1">
      <c r="A21" s="69" t="s">
        <v>538</v>
      </c>
      <c r="B21" s="388">
        <v>11</v>
      </c>
      <c r="C21" s="280"/>
      <c r="D21" s="387"/>
      <c r="E21" s="377"/>
      <c r="F21" s="376">
        <f>D21-'[12]Maijs'!D21</f>
        <v>0</v>
      </c>
      <c r="G21" s="69" t="s">
        <v>538</v>
      </c>
      <c r="H21" s="388">
        <v>11</v>
      </c>
      <c r="I21" s="289">
        <f t="shared" si="3"/>
        <v>0</v>
      </c>
      <c r="J21" s="289">
        <f>ROUND(D21/1000,0)</f>
        <v>0</v>
      </c>
      <c r="K21" s="383"/>
      <c r="L21" s="289">
        <f>J21-'[12]Maijs'!J21</f>
        <v>0</v>
      </c>
      <c r="N21">
        <v>0</v>
      </c>
      <c r="O21" s="380">
        <v>0</v>
      </c>
      <c r="P21" s="381">
        <f t="shared" si="1"/>
        <v>0</v>
      </c>
    </row>
    <row r="22" spans="1:16" ht="30" customHeight="1">
      <c r="A22" s="60" t="s">
        <v>539</v>
      </c>
      <c r="B22" s="251">
        <v>12</v>
      </c>
      <c r="C22" s="280">
        <f>69029520+700000+2000000+926917</f>
        <v>72656437</v>
      </c>
      <c r="D22" s="387">
        <f>'[10]Junijs'!$F$7+'[10]Junijs'!$G$7+'[10]Junijs'!$I$7</f>
        <v>30716942</v>
      </c>
      <c r="E22" s="377">
        <f>D22/C22*100</f>
        <v>42.276972651438996</v>
      </c>
      <c r="F22" s="376">
        <f>D22-'[12]Maijs'!D22</f>
        <v>5605132</v>
      </c>
      <c r="G22" s="60" t="s">
        <v>539</v>
      </c>
      <c r="H22" s="251">
        <v>12</v>
      </c>
      <c r="I22" s="289">
        <f>ROUND(C22/1000,0)+1</f>
        <v>72657</v>
      </c>
      <c r="J22" s="289">
        <f>ROUND(D22/1000,0)</f>
        <v>30717</v>
      </c>
      <c r="K22" s="383">
        <f>J22/I22*100</f>
        <v>42.276724885420535</v>
      </c>
      <c r="L22" s="289">
        <f>J22-'[12]Maijs'!J22</f>
        <v>5605</v>
      </c>
      <c r="N22">
        <v>30717</v>
      </c>
      <c r="O22" s="380">
        <v>20610</v>
      </c>
      <c r="P22" s="381">
        <f t="shared" si="1"/>
        <v>10107</v>
      </c>
    </row>
    <row r="23" spans="1:16" ht="30" customHeight="1">
      <c r="A23" s="60" t="s">
        <v>540</v>
      </c>
      <c r="B23" s="251">
        <v>13</v>
      </c>
      <c r="C23" s="280">
        <f>2874300+1205000+31300</f>
        <v>4110600</v>
      </c>
      <c r="D23" s="382">
        <f>'[10]Junijs'!$W$7+'[10]Junijs'!$X$7+'[10]Junijs'!$K$7</f>
        <v>1295519</v>
      </c>
      <c r="E23" s="377">
        <f>D23/C23*100</f>
        <v>31.516542597187758</v>
      </c>
      <c r="F23" s="376">
        <f>D23-'[12]Maijs'!D23</f>
        <v>233975</v>
      </c>
      <c r="G23" s="60" t="s">
        <v>540</v>
      </c>
      <c r="H23" s="251">
        <v>13</v>
      </c>
      <c r="I23" s="289">
        <f>ROUND(C23/1000,0)-1</f>
        <v>4110</v>
      </c>
      <c r="J23" s="289">
        <f>ROUND(D23/1000,0)</f>
        <v>1296</v>
      </c>
      <c r="K23" s="383">
        <f>J23/I23*100</f>
        <v>31.532846715328468</v>
      </c>
      <c r="L23" s="289">
        <f>J23-'[12]Maijs'!J23</f>
        <v>234</v>
      </c>
      <c r="N23">
        <v>1296</v>
      </c>
      <c r="O23">
        <v>900</v>
      </c>
      <c r="P23" s="381">
        <f t="shared" si="1"/>
        <v>396</v>
      </c>
    </row>
    <row r="24" spans="1:16" ht="30" customHeight="1">
      <c r="A24" s="69" t="s">
        <v>686</v>
      </c>
      <c r="B24" s="251">
        <v>14</v>
      </c>
      <c r="C24" s="382"/>
      <c r="D24" s="382"/>
      <c r="E24" s="377"/>
      <c r="F24" s="376">
        <f>D24-'[12]Maijs'!D24</f>
        <v>0</v>
      </c>
      <c r="G24" s="69" t="s">
        <v>686</v>
      </c>
      <c r="H24" s="251">
        <v>14</v>
      </c>
      <c r="I24" s="289">
        <f>ROUND(C24/1000,0)</f>
        <v>0</v>
      </c>
      <c r="J24" s="289"/>
      <c r="K24" s="383"/>
      <c r="L24" s="289">
        <f>J24-'[12]Maijs'!L24</f>
        <v>0</v>
      </c>
      <c r="P24" s="381">
        <f t="shared" si="1"/>
        <v>0</v>
      </c>
    </row>
    <row r="25" spans="2:16" ht="17.25" customHeight="1">
      <c r="B25" s="389"/>
      <c r="C25" s="357"/>
      <c r="D25" s="357"/>
      <c r="E25" s="390"/>
      <c r="H25" s="389"/>
      <c r="I25" s="357"/>
      <c r="J25" s="357"/>
      <c r="K25" s="390"/>
      <c r="N25" s="381"/>
      <c r="P25" s="381"/>
    </row>
    <row r="26" spans="2:11" ht="17.25" customHeight="1">
      <c r="B26" s="389"/>
      <c r="C26" s="357"/>
      <c r="D26" s="357"/>
      <c r="E26" s="390"/>
      <c r="H26" s="389"/>
      <c r="I26" s="357"/>
      <c r="J26" s="357"/>
      <c r="K26" s="390"/>
    </row>
    <row r="27" spans="2:11" ht="17.25" customHeight="1">
      <c r="B27" s="389"/>
      <c r="C27" s="357"/>
      <c r="D27" s="357"/>
      <c r="E27" s="390"/>
      <c r="G27" s="41" t="s">
        <v>144</v>
      </c>
      <c r="H27" s="39"/>
      <c r="I27" s="39"/>
      <c r="J27" s="39" t="s">
        <v>376</v>
      </c>
      <c r="K27" s="390"/>
    </row>
    <row r="28" spans="2:11" ht="17.25" customHeight="1">
      <c r="B28" s="389"/>
      <c r="C28" s="357"/>
      <c r="D28" s="357"/>
      <c r="E28" s="390"/>
      <c r="H28" s="389"/>
      <c r="I28" s="357"/>
      <c r="J28" s="357"/>
      <c r="K28" s="390"/>
    </row>
    <row r="29" spans="2:11" ht="17.25" customHeight="1">
      <c r="B29" s="389"/>
      <c r="C29" s="357"/>
      <c r="D29" s="357"/>
      <c r="E29" s="390"/>
      <c r="H29" s="389"/>
      <c r="I29" s="357"/>
      <c r="J29" s="357"/>
      <c r="K29" s="390"/>
    </row>
    <row r="30" spans="2:11" ht="17.25" customHeight="1">
      <c r="B30" s="389"/>
      <c r="C30" s="357"/>
      <c r="D30" s="357"/>
      <c r="E30" s="390"/>
      <c r="H30" s="389"/>
      <c r="I30" s="357"/>
      <c r="J30" s="357"/>
      <c r="K30" s="390"/>
    </row>
    <row r="31" spans="4:11" ht="17.25" customHeight="1">
      <c r="D31" s="357"/>
      <c r="E31" s="390"/>
      <c r="J31" s="357"/>
      <c r="K31" s="390"/>
    </row>
    <row r="32" spans="2:11" ht="17.25" customHeight="1">
      <c r="B32" s="389"/>
      <c r="C32" s="357"/>
      <c r="D32" s="357"/>
      <c r="E32" s="390"/>
      <c r="H32" s="389"/>
      <c r="I32" s="357"/>
      <c r="J32" s="357"/>
      <c r="K32" s="390"/>
    </row>
    <row r="33" spans="2:11" ht="17.25" customHeight="1">
      <c r="B33" s="389"/>
      <c r="C33" s="357"/>
      <c r="D33" s="357"/>
      <c r="E33" s="390"/>
      <c r="H33" s="389"/>
      <c r="I33" s="357"/>
      <c r="J33" s="357"/>
      <c r="K33" s="390"/>
    </row>
    <row r="34" spans="2:11" ht="17.25" customHeight="1">
      <c r="B34" s="389"/>
      <c r="C34" s="357"/>
      <c r="D34" s="357"/>
      <c r="E34" s="390"/>
      <c r="G34" s="85" t="s">
        <v>621</v>
      </c>
      <c r="H34" s="389"/>
      <c r="I34" s="357"/>
      <c r="J34" s="357"/>
      <c r="K34" s="390"/>
    </row>
    <row r="35" spans="1:11" ht="17.25" customHeight="1">
      <c r="A35" s="41" t="s">
        <v>456</v>
      </c>
      <c r="B35" s="39"/>
      <c r="C35" s="39"/>
      <c r="D35" s="39" t="s">
        <v>457</v>
      </c>
      <c r="E35" s="1"/>
      <c r="G35" s="85" t="s">
        <v>530</v>
      </c>
      <c r="I35" s="357"/>
      <c r="J35" s="357"/>
      <c r="K35" s="390"/>
    </row>
    <row r="36" spans="6:12" ht="17.25" customHeight="1">
      <c r="F36" s="357"/>
      <c r="K36" s="1"/>
      <c r="L36" s="357"/>
    </row>
    <row r="37" spans="3:11" ht="17.25" customHeight="1">
      <c r="C37" s="357"/>
      <c r="D37" s="357"/>
      <c r="E37" s="390"/>
      <c r="I37" s="357"/>
      <c r="J37" s="357"/>
      <c r="K37" s="390"/>
    </row>
    <row r="38" spans="3:11" ht="17.25" customHeight="1">
      <c r="C38" s="357"/>
      <c r="D38" s="357"/>
      <c r="E38" s="390"/>
      <c r="I38" s="357"/>
      <c r="J38" s="357"/>
      <c r="K38" s="390"/>
    </row>
    <row r="39" spans="3:11" ht="17.25" customHeight="1">
      <c r="C39" s="357"/>
      <c r="D39" s="357"/>
      <c r="E39" s="390"/>
      <c r="I39" s="357"/>
      <c r="J39" s="357"/>
      <c r="K39" s="390"/>
    </row>
    <row r="40" spans="3:11" ht="17.25" customHeight="1">
      <c r="C40" s="357"/>
      <c r="D40" s="357"/>
      <c r="E40" s="390"/>
      <c r="I40" s="357"/>
      <c r="J40" s="357"/>
      <c r="K40" s="390"/>
    </row>
    <row r="41" spans="3:11" ht="17.25" customHeight="1">
      <c r="C41" s="357"/>
      <c r="D41" s="357"/>
      <c r="E41" s="390"/>
      <c r="I41" s="357"/>
      <c r="J41" s="357"/>
      <c r="K41" s="390"/>
    </row>
    <row r="42" spans="3:11" ht="17.25" customHeight="1">
      <c r="C42" s="357"/>
      <c r="D42" s="357"/>
      <c r="E42" s="390"/>
      <c r="I42" s="357"/>
      <c r="J42" s="357"/>
      <c r="K42" s="390"/>
    </row>
    <row r="43" spans="3:11" ht="17.25" customHeight="1">
      <c r="C43" s="357"/>
      <c r="D43" s="357"/>
      <c r="E43" s="390"/>
      <c r="I43" s="357"/>
      <c r="J43" s="357"/>
      <c r="K43" s="390"/>
    </row>
    <row r="44" spans="3:11" ht="17.25" customHeight="1">
      <c r="C44" s="357"/>
      <c r="D44" s="357"/>
      <c r="E44" s="390"/>
      <c r="I44" s="357"/>
      <c r="J44" s="357"/>
      <c r="K44" s="390"/>
    </row>
    <row r="45" spans="3:11" ht="17.25" customHeight="1">
      <c r="C45" s="357"/>
      <c r="D45" s="357"/>
      <c r="E45" s="390"/>
      <c r="I45" s="357"/>
      <c r="J45" s="357"/>
      <c r="K45" s="390"/>
    </row>
    <row r="46" spans="3:11" ht="17.25" customHeight="1">
      <c r="C46" s="357"/>
      <c r="D46" s="357"/>
      <c r="E46" s="390"/>
      <c r="I46" s="357"/>
      <c r="J46" s="357"/>
      <c r="K46" s="390"/>
    </row>
    <row r="47" spans="1:11" ht="17.25" customHeight="1">
      <c r="A47" s="49"/>
      <c r="C47" s="357"/>
      <c r="D47" s="357"/>
      <c r="E47" s="390"/>
      <c r="G47" s="49"/>
      <c r="I47" s="357"/>
      <c r="J47" s="357"/>
      <c r="K47" s="390"/>
    </row>
    <row r="48" spans="1:11" ht="17.25" customHeight="1">
      <c r="A48" s="49"/>
      <c r="C48" s="357"/>
      <c r="D48" s="357"/>
      <c r="E48" s="390"/>
      <c r="G48" s="49"/>
      <c r="I48" s="357"/>
      <c r="J48" s="357"/>
      <c r="K48" s="390"/>
    </row>
    <row r="49" spans="3:11" ht="17.25" customHeight="1">
      <c r="C49" s="357"/>
      <c r="D49" s="357"/>
      <c r="E49" s="390"/>
      <c r="I49" s="357"/>
      <c r="J49" s="357"/>
      <c r="K49" s="390"/>
    </row>
    <row r="50" spans="3:11" ht="17.25" customHeight="1">
      <c r="C50" s="357"/>
      <c r="D50" s="357"/>
      <c r="E50" s="390"/>
      <c r="I50" s="357"/>
      <c r="J50" s="357"/>
      <c r="K50" s="390"/>
    </row>
    <row r="51" spans="3:11" ht="17.25" customHeight="1">
      <c r="C51" s="357"/>
      <c r="D51" s="357"/>
      <c r="E51" s="390"/>
      <c r="I51" s="357"/>
      <c r="J51" s="357"/>
      <c r="K51" s="390"/>
    </row>
    <row r="52" spans="3:11" ht="17.25" customHeight="1">
      <c r="C52" s="357"/>
      <c r="D52" s="357"/>
      <c r="E52" s="390"/>
      <c r="I52" s="357"/>
      <c r="J52" s="357"/>
      <c r="K52" s="390"/>
    </row>
    <row r="53" spans="3:11" ht="17.25" customHeight="1">
      <c r="C53" s="357"/>
      <c r="E53" s="390"/>
      <c r="I53" s="357"/>
      <c r="K53" s="390"/>
    </row>
    <row r="54" spans="3:11" ht="17.25" customHeight="1">
      <c r="C54" s="357"/>
      <c r="E54" s="390"/>
      <c r="I54" s="357"/>
      <c r="K54" s="390"/>
    </row>
    <row r="55" spans="3:11" ht="17.25" customHeight="1">
      <c r="C55" s="357"/>
      <c r="E55" s="390"/>
      <c r="I55" s="357"/>
      <c r="K55" s="390"/>
    </row>
    <row r="56" spans="3:11" ht="17.25" customHeight="1">
      <c r="C56" s="357"/>
      <c r="E56" s="390"/>
      <c r="I56" s="357"/>
      <c r="K56" s="390"/>
    </row>
    <row r="57" spans="3:11" ht="17.25" customHeight="1">
      <c r="C57" s="357"/>
      <c r="E57" s="390"/>
      <c r="I57" s="357"/>
      <c r="K57" s="390"/>
    </row>
    <row r="58" spans="3:11" ht="17.25" customHeight="1">
      <c r="C58" s="357"/>
      <c r="E58" s="390"/>
      <c r="I58" s="357"/>
      <c r="K58" s="390"/>
    </row>
    <row r="59" spans="3:11" ht="17.25" customHeight="1">
      <c r="C59" s="357"/>
      <c r="E59" s="390"/>
      <c r="I59" s="357"/>
      <c r="K59" s="390"/>
    </row>
    <row r="60" spans="3:11" ht="17.25" customHeight="1">
      <c r="C60" s="357"/>
      <c r="E60" s="390"/>
      <c r="I60" s="357"/>
      <c r="K60" s="390"/>
    </row>
    <row r="61" spans="3:11" ht="17.25" customHeight="1">
      <c r="C61" s="357"/>
      <c r="E61" s="390"/>
      <c r="I61" s="357"/>
      <c r="K61" s="390"/>
    </row>
    <row r="62" spans="3:11" ht="17.25" customHeight="1">
      <c r="C62" s="357"/>
      <c r="E62" s="390"/>
      <c r="I62" s="357"/>
      <c r="K62" s="390"/>
    </row>
    <row r="63" spans="3:11" ht="17.25" customHeight="1">
      <c r="C63" s="357"/>
      <c r="E63" s="390"/>
      <c r="I63" s="357"/>
      <c r="K63" s="390"/>
    </row>
    <row r="64" spans="3:11" ht="17.25" customHeight="1">
      <c r="C64" s="357"/>
      <c r="E64" s="390"/>
      <c r="I64" s="357"/>
      <c r="K64" s="390"/>
    </row>
    <row r="65" spans="3:11" ht="17.25" customHeight="1">
      <c r="C65" s="357"/>
      <c r="E65" s="390"/>
      <c r="I65" s="357"/>
      <c r="K65" s="390"/>
    </row>
    <row r="66" spans="3:11" ht="17.25" customHeight="1">
      <c r="C66" s="357"/>
      <c r="E66" s="390"/>
      <c r="I66" s="357"/>
      <c r="K66" s="390"/>
    </row>
    <row r="67" spans="3:11" ht="17.25" customHeight="1">
      <c r="C67" s="357"/>
      <c r="E67" s="390"/>
      <c r="I67" s="357"/>
      <c r="K67" s="390"/>
    </row>
    <row r="68" spans="3:11" ht="17.25" customHeight="1">
      <c r="C68" s="357"/>
      <c r="E68" s="390"/>
      <c r="I68" s="357"/>
      <c r="K68" s="390"/>
    </row>
    <row r="69" spans="3:11" ht="17.25" customHeight="1">
      <c r="C69" s="357"/>
      <c r="E69" s="390"/>
      <c r="I69" s="357"/>
      <c r="K69" s="390"/>
    </row>
    <row r="70" spans="3:11" ht="17.25" customHeight="1">
      <c r="C70" s="357"/>
      <c r="E70" s="390"/>
      <c r="I70" s="357"/>
      <c r="K70" s="390"/>
    </row>
    <row r="71" spans="3:11" ht="17.25" customHeight="1">
      <c r="C71" s="357"/>
      <c r="E71" s="390"/>
      <c r="I71" s="357"/>
      <c r="K71" s="390"/>
    </row>
    <row r="72" spans="3:11" ht="17.25" customHeight="1">
      <c r="C72" s="357"/>
      <c r="E72" s="390"/>
      <c r="I72" s="357"/>
      <c r="K72" s="390"/>
    </row>
    <row r="73" spans="3:11" ht="17.25" customHeight="1">
      <c r="C73" s="357"/>
      <c r="E73" s="390"/>
      <c r="I73" s="357"/>
      <c r="K73" s="390"/>
    </row>
    <row r="74" spans="3:11" ht="17.25" customHeight="1">
      <c r="C74" s="357"/>
      <c r="E74" s="390"/>
      <c r="I74" s="357"/>
      <c r="K74" s="390"/>
    </row>
    <row r="75" spans="3:11" ht="17.25" customHeight="1">
      <c r="C75" s="357"/>
      <c r="E75" s="390"/>
      <c r="I75" s="357"/>
      <c r="K75" s="390"/>
    </row>
    <row r="76" spans="3:11" ht="17.25" customHeight="1">
      <c r="C76" s="357"/>
      <c r="E76" s="390"/>
      <c r="I76" s="357"/>
      <c r="K76" s="390"/>
    </row>
    <row r="77" spans="3:11" ht="17.25" customHeight="1">
      <c r="C77" s="357"/>
      <c r="E77" s="390"/>
      <c r="I77" s="357"/>
      <c r="K77" s="390"/>
    </row>
    <row r="78" spans="3:11" ht="17.25" customHeight="1">
      <c r="C78" s="357"/>
      <c r="E78" s="390"/>
      <c r="I78" s="357"/>
      <c r="K78" s="390"/>
    </row>
    <row r="79" spans="3:11" ht="17.25" customHeight="1">
      <c r="C79" s="357"/>
      <c r="E79" s="390"/>
      <c r="I79" s="357"/>
      <c r="K79" s="390"/>
    </row>
    <row r="80" spans="2:10" ht="17.25" customHeight="1">
      <c r="B80" s="357"/>
      <c r="D80" s="390"/>
      <c r="H80" s="357"/>
      <c r="J80" s="390"/>
    </row>
    <row r="81" spans="2:10" ht="17.25" customHeight="1">
      <c r="B81" s="357"/>
      <c r="D81" s="390"/>
      <c r="H81" s="357"/>
      <c r="J81" s="390"/>
    </row>
    <row r="82" spans="2:10" ht="17.25" customHeight="1">
      <c r="B82" s="357"/>
      <c r="D82" s="390"/>
      <c r="H82" s="357"/>
      <c r="J82" s="390"/>
    </row>
    <row r="83" spans="2:10" ht="17.25" customHeight="1">
      <c r="B83" s="357"/>
      <c r="D83" s="390"/>
      <c r="H83" s="357"/>
      <c r="J83" s="390"/>
    </row>
    <row r="84" spans="2:10" ht="17.25" customHeight="1">
      <c r="B84" s="357"/>
      <c r="D84" s="390"/>
      <c r="H84" s="357"/>
      <c r="J84" s="390"/>
    </row>
    <row r="85" spans="2:10" ht="17.25" customHeight="1">
      <c r="B85" s="357"/>
      <c r="D85" s="390"/>
      <c r="H85" s="357"/>
      <c r="J85" s="390"/>
    </row>
    <row r="86" spans="2:10" ht="17.25" customHeight="1">
      <c r="B86" s="357"/>
      <c r="D86" s="390"/>
      <c r="H86" s="357"/>
      <c r="J86" s="390"/>
    </row>
    <row r="87" spans="2:10" ht="17.25" customHeight="1">
      <c r="B87" s="357"/>
      <c r="D87" s="390"/>
      <c r="H87" s="357"/>
      <c r="J87" s="390"/>
    </row>
    <row r="88" spans="2:10" ht="17.25" customHeight="1">
      <c r="B88" s="357"/>
      <c r="D88" s="390"/>
      <c r="H88" s="357"/>
      <c r="J88" s="390"/>
    </row>
    <row r="89" spans="2:10" ht="17.25" customHeight="1">
      <c r="B89" s="357"/>
      <c r="D89" s="390"/>
      <c r="H89" s="357"/>
      <c r="J89" s="390"/>
    </row>
    <row r="90" spans="2:10" ht="17.25" customHeight="1">
      <c r="B90" s="357"/>
      <c r="D90" s="390"/>
      <c r="H90" s="357"/>
      <c r="J90" s="390"/>
    </row>
    <row r="91" spans="2:10" ht="17.25" customHeight="1">
      <c r="B91" s="357"/>
      <c r="D91" s="390"/>
      <c r="H91" s="357"/>
      <c r="J91" s="390"/>
    </row>
    <row r="92" spans="2:10" ht="17.25" customHeight="1">
      <c r="B92" s="357"/>
      <c r="D92" s="390"/>
      <c r="H92" s="357"/>
      <c r="J92" s="390"/>
    </row>
    <row r="93" spans="2:10" ht="17.25" customHeight="1">
      <c r="B93" s="357"/>
      <c r="D93" s="390"/>
      <c r="H93" s="357"/>
      <c r="J93" s="390"/>
    </row>
    <row r="94" spans="2:10" ht="17.25" customHeight="1">
      <c r="B94" s="357"/>
      <c r="D94" s="390"/>
      <c r="H94" s="357"/>
      <c r="J94" s="390"/>
    </row>
    <row r="95" spans="2:10" ht="17.25" customHeight="1">
      <c r="B95" s="357"/>
      <c r="D95" s="390"/>
      <c r="H95" s="357"/>
      <c r="J95" s="390"/>
    </row>
    <row r="96" spans="2:10" ht="17.25" customHeight="1">
      <c r="B96" s="357"/>
      <c r="D96" s="390"/>
      <c r="H96" s="357"/>
      <c r="J96" s="390"/>
    </row>
    <row r="97" spans="2:10" ht="17.25" customHeight="1">
      <c r="B97" s="357"/>
      <c r="D97" s="390"/>
      <c r="H97" s="357"/>
      <c r="J97" s="390"/>
    </row>
    <row r="98" spans="2:10" ht="17.25" customHeight="1">
      <c r="B98" s="357"/>
      <c r="D98" s="390"/>
      <c r="H98" s="357"/>
      <c r="J98" s="390"/>
    </row>
    <row r="99" spans="2:10" ht="17.25" customHeight="1">
      <c r="B99" s="357"/>
      <c r="D99" s="390"/>
      <c r="H99" s="357"/>
      <c r="J99" s="390"/>
    </row>
    <row r="100" spans="2:8" ht="17.25" customHeight="1">
      <c r="B100" s="357"/>
      <c r="H100" s="357"/>
    </row>
    <row r="101" spans="2:8" ht="17.25" customHeight="1">
      <c r="B101" s="357"/>
      <c r="H101" s="357"/>
    </row>
    <row r="102" spans="2:8" ht="17.25" customHeight="1">
      <c r="B102" s="357"/>
      <c r="H102" s="357"/>
    </row>
    <row r="103" spans="2:8" ht="17.25" customHeight="1">
      <c r="B103" s="357"/>
      <c r="H103" s="357"/>
    </row>
    <row r="104" spans="2:8" ht="17.25" customHeight="1">
      <c r="B104" s="357"/>
      <c r="H104" s="357"/>
    </row>
    <row r="105" spans="2:8" ht="17.25" customHeight="1">
      <c r="B105" s="357"/>
      <c r="H105" s="357"/>
    </row>
    <row r="106" spans="2:8" ht="17.25" customHeight="1">
      <c r="B106" s="357"/>
      <c r="H106" s="357"/>
    </row>
    <row r="107" spans="2:8" ht="17.25" customHeight="1">
      <c r="B107" s="357"/>
      <c r="H107" s="357"/>
    </row>
    <row r="108" spans="2:8" ht="17.25" customHeight="1">
      <c r="B108" s="357"/>
      <c r="H108" s="357"/>
    </row>
  </sheetData>
  <mergeCells count="4">
    <mergeCell ref="A4:F4"/>
    <mergeCell ref="G4:L4"/>
    <mergeCell ref="A5:F5"/>
    <mergeCell ref="G5:L5"/>
  </mergeCells>
  <printOptions/>
  <pageMargins left="0.75" right="0.27" top="0.25" bottom="0.2" header="0.5" footer="0.5"/>
  <pageSetup firstPageNumber="22" useFirstPageNumber="1" fitToHeight="1" fitToWidth="1" horizontalDpi="600" verticalDpi="600" orientation="portrait" paperSize="9" scale="93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IlonaE</dc:creator>
  <cp:keywords/>
  <dc:description/>
  <cp:lastModifiedBy>GuntarsM</cp:lastModifiedBy>
  <cp:lastPrinted>2001-07-16T07:42:38Z</cp:lastPrinted>
  <dcterms:created xsi:type="dcterms:W3CDTF">2001-06-15T10:50:04Z</dcterms:created>
  <dcterms:modified xsi:type="dcterms:W3CDTF">2002-09-26T10:19:46Z</dcterms:modified>
  <cp:category/>
  <cp:version/>
  <cp:contentType/>
  <cp:contentStatus/>
</cp:coreProperties>
</file>