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5" activeTab="6"/>
  </bookViews>
  <sheets>
    <sheet name="kopbudzets" sheetId="1" r:id="rId1"/>
    <sheet name="konsolidetais" sheetId="2" r:id="rId2"/>
    <sheet name="bilances-kopsavilkums" sheetId="3" r:id="rId3"/>
    <sheet name="ministriju bilances" sheetId="4" r:id="rId4"/>
    <sheet name="pasvaldibu bilances" sheetId="5" r:id="rId5"/>
    <sheet name="finansu bilance" sheetId="6" r:id="rId6"/>
    <sheet name="valsts parads" sheetId="7" r:id="rId7"/>
    <sheet name="arejais parads" sheetId="8" r:id="rId8"/>
    <sheet name="talakaizdevumi" sheetId="9" r:id="rId9"/>
    <sheet name="parada prognoze" sheetId="10" r:id="rId10"/>
    <sheet name="galvojumi" sheetId="11" r:id="rId11"/>
    <sheet name="aizdevumu saraksts" sheetId="12" r:id="rId12"/>
    <sheet name="galvojumu saraksts" sheetId="13" r:id="rId13"/>
    <sheet name="lidz.nep.gad." sheetId="14" r:id="rId14"/>
    <sheet name="depoziti" sheetId="15" r:id="rId15"/>
    <sheet name="deb-kred valsts" sheetId="16" r:id="rId16"/>
    <sheet name="deb-kred pasv." sheetId="17" r:id="rId17"/>
    <sheet name="zied-dav" sheetId="18" r:id="rId18"/>
    <sheet name="kontu atlikumi" sheetId="19" r:id="rId19"/>
  </sheets>
  <externalReferences>
    <externalReference r:id="rId22"/>
    <externalReference r:id="rId23"/>
    <externalReference r:id="rId24"/>
  </externalReferences>
  <definedNames>
    <definedName name="_xlnm.Print_Titles" localSheetId="11">'aizdevumu saraksts'!$4:$7</definedName>
    <definedName name="_xlnm.Print_Titles" localSheetId="7">'arejais parads'!$3:$9</definedName>
    <definedName name="_xlnm.Print_Titles" localSheetId="2">'bilances-kopsavilkums'!$5:$7</definedName>
    <definedName name="_xlnm.Print_Titles" localSheetId="16">'deb-kred pasv.'!$4:$7</definedName>
    <definedName name="_xlnm.Print_Titles" localSheetId="15">'deb-kred valsts'!$5:$8</definedName>
    <definedName name="_xlnm.Print_Titles" localSheetId="14">'depoziti'!$4:$6</definedName>
    <definedName name="_xlnm.Print_Titles" localSheetId="5">'finansu bilance'!$3:$4</definedName>
    <definedName name="_xlnm.Print_Titles" localSheetId="10">'galvojumi'!$3:$9</definedName>
    <definedName name="_xlnm.Print_Titles" localSheetId="12">'galvojumu saraksts'!$5:$8</definedName>
    <definedName name="_xlnm.Print_Titles" localSheetId="1">'konsolidetais'!$3:$6</definedName>
    <definedName name="_xlnm.Print_Titles" localSheetId="18">'kontu atlikumi'!$7:$7</definedName>
    <definedName name="_xlnm.Print_Titles" localSheetId="3">'ministriju bilances'!$5:$7</definedName>
    <definedName name="_xlnm.Print_Titles" localSheetId="9">'parada prognoze'!$4:$6</definedName>
    <definedName name="_xlnm.Print_Titles" localSheetId="4">'pasvaldibu bilances'!$5:$7</definedName>
    <definedName name="_xlnm.Print_Titles" localSheetId="8">'talakaizdevumi'!$3:$4</definedName>
  </definedNames>
  <calcPr fullCalcOnLoad="1"/>
</workbook>
</file>

<file path=xl/comments2.xml><?xml version="1.0" encoding="utf-8"?>
<comments xmlns="http://schemas.openxmlformats.org/spreadsheetml/2006/main">
  <authors>
    <author>VinetaP</author>
  </authors>
  <commentList>
    <comment ref="G5" authorId="0">
      <text>
        <r>
          <rPr>
            <b/>
            <sz val="8"/>
            <rFont val="Tahoma"/>
            <family val="0"/>
          </rPr>
          <t>VinetaP: izdevumi bez norēķiniem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<sst xmlns="http://schemas.openxmlformats.org/spreadsheetml/2006/main" count="4607" uniqueCount="2184">
  <si>
    <t>Saldus (15 000 120 050) LVL</t>
  </si>
  <si>
    <t>Talsi (28 700 100 001) LVL</t>
  </si>
  <si>
    <t>Tukums (32 000 120 602) LVL</t>
  </si>
  <si>
    <t>Valka (17 000 120 409) LVL</t>
  </si>
  <si>
    <t>Valmiera (18 000 120 901) LVL</t>
  </si>
  <si>
    <t>Liepāja (12 111 120 201) LVL</t>
  </si>
  <si>
    <t>Norēķinu kontu atlikumi valūtās</t>
  </si>
  <si>
    <t>Atsevišķo valūtu aizdevumu konti</t>
  </si>
  <si>
    <t>Atsevišķo valūtu aizdevuma apkalpošanas maksājumi (010 337 031) USD</t>
  </si>
  <si>
    <t>Atsevišķo valūtu aizdevuma apkalpošanas maksājumi (660 337 232) EUR</t>
  </si>
  <si>
    <t>"Investīcija Energoefektivitātes fondā" LE 9704.01.01/0002 (660 338 516) EUR</t>
  </si>
  <si>
    <t>"Latvijas Vides investīciju fonds"LE 9704.02.03/0001 (660 338 817) EUR</t>
  </si>
  <si>
    <t>Valsts kases pieprasījuma noguldījums (010 339 709) USD</t>
  </si>
  <si>
    <t>Valsts kases pieprasījuma noguldījums (660 339 609) EUR</t>
  </si>
  <si>
    <t>Valsts kases pieprasījuma noguldījums (160 339 109) XDR</t>
  </si>
  <si>
    <t>Atsevišķo valūtu tranzīta konti</t>
  </si>
  <si>
    <t>Atsevišķo valūtu aizdevuma kredītlīnijas atmaksas ( 660 337 229 ) EUR</t>
  </si>
  <si>
    <t>Atsevišķo valūtu aizdevuma kredītlīnijas atmaksas (010 337 125) USD</t>
  </si>
  <si>
    <t>PB privat,aizdevums USD ( 010337620)</t>
  </si>
  <si>
    <t>Nacionālie fondi</t>
  </si>
  <si>
    <t>Finansu memorands LE9803 - LE9809 (660 338 202) EUR</t>
  </si>
  <si>
    <t>Finansu memorands LE9812 (660 338 503) EUR</t>
  </si>
  <si>
    <t>Finansu memorands LE9810 (660 338 804) EUR</t>
  </si>
  <si>
    <t>Finansu memorands LE9811 (660 338 105) EUR</t>
  </si>
  <si>
    <t>Finansu memorands LE9902-9905 (660 338 011) EUR</t>
  </si>
  <si>
    <t>Finansu memorands LE9908 (660 338 613) EUR</t>
  </si>
  <si>
    <t>Finansu memorands LE9911 (660 338 914) EUR</t>
  </si>
  <si>
    <t>Finansu memorands LE9913 (660 338 215) EUR</t>
  </si>
  <si>
    <t>Finansu memorands programmai LV 9915 (660 338 121) EUR</t>
  </si>
  <si>
    <t xml:space="preserve">Phare </t>
  </si>
  <si>
    <t>Programmai "Eiropas integrācija" LE9701 (660 338 008) EUR</t>
  </si>
  <si>
    <t>Programmai "Ekonomikas attīstība" LE9702 (660 338 309) EUR</t>
  </si>
  <si>
    <t>Finansu memorands CBC LE9615 (660 338 406) EUR</t>
  </si>
  <si>
    <t>Finansu memorands CBC LE9707 (660 338 707) EUR</t>
  </si>
  <si>
    <t>Programmai "Infrastruktūra" LE9704 (660 338 710) EUR</t>
  </si>
  <si>
    <t xml:space="preserve">Valūta komercbankās - kopā </t>
  </si>
  <si>
    <t>Hansabanka - kopā</t>
  </si>
  <si>
    <t>RUB 254 01 031 202</t>
  </si>
  <si>
    <t>USD 194 01 031 202</t>
  </si>
  <si>
    <t>JPY 144 01 031 202</t>
  </si>
  <si>
    <t>GBP 124 01 031 202</t>
  </si>
  <si>
    <t xml:space="preserve">CHF 064 01 031 202 </t>
  </si>
  <si>
    <t>EUR 214 01 031 202</t>
  </si>
  <si>
    <t>Parex Banka - kopā</t>
  </si>
  <si>
    <t xml:space="preserve">EUR 400 075 1001  </t>
  </si>
  <si>
    <t>USD 400 075 2001</t>
  </si>
  <si>
    <t>CAD 400 075 3001</t>
  </si>
  <si>
    <t>AUD 400 075 4001</t>
  </si>
  <si>
    <t>CHF 400 075 5001</t>
  </si>
  <si>
    <t>DKK 400 075 6001</t>
  </si>
  <si>
    <t>NOK 400 075 7001</t>
  </si>
  <si>
    <t>GBP 400 075 8001</t>
  </si>
  <si>
    <t>EEK 400 0759 001</t>
  </si>
  <si>
    <t>SEK 400 075 9101</t>
  </si>
  <si>
    <t>JPY 400 075 9201</t>
  </si>
  <si>
    <t>EUR 400 075 1002</t>
  </si>
  <si>
    <t>USD 400 075 2003</t>
  </si>
  <si>
    <t>USD 400 075 2004</t>
  </si>
  <si>
    <t>USD 400 075 2005</t>
  </si>
  <si>
    <t>USD 400 075 2007</t>
  </si>
  <si>
    <t>USD 400 075 2008</t>
  </si>
  <si>
    <t>EUR 400 075 1015</t>
  </si>
  <si>
    <t>EUR 400 075 1016</t>
  </si>
  <si>
    <t>RUB 400 075 9301</t>
  </si>
  <si>
    <t>EUR 400 075 1021</t>
  </si>
  <si>
    <t>EUR 400 075 1022</t>
  </si>
  <si>
    <t>EUR 400 075 1023</t>
  </si>
  <si>
    <t>Norēķinu konts (400 075 1999) LTL</t>
  </si>
  <si>
    <t>Norēķinu konts (400 075 1999) PLZ</t>
  </si>
  <si>
    <t>Latvijas Unibanka - kopā</t>
  </si>
  <si>
    <t>USD 200 307 4349</t>
  </si>
  <si>
    <t>Bankers Trust Company - kopā</t>
  </si>
  <si>
    <t>USD 04 408 273</t>
  </si>
  <si>
    <t>Deutche Bank AG - kopā</t>
  </si>
  <si>
    <t>EUR 100 947 623 500</t>
  </si>
  <si>
    <t>EUR 100 947 623 501</t>
  </si>
  <si>
    <t>HSBC Bank USA - kopā</t>
  </si>
  <si>
    <t>USD 000 101 419</t>
  </si>
  <si>
    <t>USD 000 101 389</t>
  </si>
  <si>
    <t>Svenska Handelsbanken - kopā</t>
  </si>
  <si>
    <t>USD 99-480 066 29</t>
  </si>
  <si>
    <t>USD 99-420 645 89</t>
  </si>
  <si>
    <t>USD 99-420 652 59</t>
  </si>
  <si>
    <t>USD 99-420 653 99</t>
  </si>
  <si>
    <t>USD 99-424 221 59</t>
  </si>
  <si>
    <t>Bank of America - kopā</t>
  </si>
  <si>
    <t>USD 360 390 23</t>
  </si>
  <si>
    <t>USD 360 390 49</t>
  </si>
  <si>
    <t>USD 360 390 81</t>
  </si>
  <si>
    <t>DEM 360 390 31</t>
  </si>
  <si>
    <t>DEM 360 390 57</t>
  </si>
  <si>
    <t>DEM 360 390 65</t>
  </si>
  <si>
    <t>EUR 360 391 14</t>
  </si>
  <si>
    <t>SEK 360 390 73</t>
  </si>
  <si>
    <t>Depozīti latos un valūtās</t>
  </si>
  <si>
    <t>Ieguldījumi depozītos</t>
  </si>
  <si>
    <t>Ieguldījumi depozītos latos - kopā</t>
  </si>
  <si>
    <t>Ieguldījumi depozītos  valūtā - kopā</t>
  </si>
  <si>
    <t>Valsts kases termiņnoguldījums (660 328 209) EUR</t>
  </si>
  <si>
    <t>Nacionālā fonda līdzekļu termiņnoguldījums (660 328 940) EUR</t>
  </si>
  <si>
    <t>Valsts kases termiņnoguldījums (010 328 309) USD</t>
  </si>
  <si>
    <t xml:space="preserve">Komercbankas - kopā </t>
  </si>
  <si>
    <t>Pirmā Latvijas Komercbanka - kopā</t>
  </si>
  <si>
    <t>USD 448 0000 646</t>
  </si>
  <si>
    <t>USD 448 0000 680</t>
  </si>
  <si>
    <t>Neizsniegtā SVF kredīta atlikums (010 330 601) USD</t>
  </si>
  <si>
    <t>Naudas līdzekļi kopā</t>
  </si>
  <si>
    <t xml:space="preserve">Līdzekļi kopā </t>
  </si>
  <si>
    <t>Naudas līdzekļu atlikums latos Valsts kases kontos Latvijas Bankā un komercbankās 2000. gada 31. decembrī</t>
  </si>
  <si>
    <t xml:space="preserve">14 597 437 lati (Četrpadsmit miljoni pieci simti deviņdesmit septiņi tūkstoši četri simti trīsdesmit septiņi lati) </t>
  </si>
  <si>
    <t>Naudas līdzekļu atlikumi valūtā Valsts kases kontos Latvijas Bankā un komercbankās 2000. gada 31. decembrī</t>
  </si>
  <si>
    <t xml:space="preserve">pēc Latvijas Bankas valūtas kursa 9 276 007 lati (Deviņi miljoni divi simti septiņdesmit seši tūkstoši septiņi lati) </t>
  </si>
  <si>
    <t>Valdības ieguldījumi latos Latvijas Bankā 2000. gada 31. decembrī 11 000 000 lati (Vienpadsmit miljoni latu)</t>
  </si>
  <si>
    <t xml:space="preserve">Valdības ieguldījumi valūtā Latvijas Bankā un komercbankās 2000. gada 31. decembrī pēc Latvijas Bankas kursa </t>
  </si>
  <si>
    <t>13 813 848 lati (Trīspadsmit miljoni astoņi simti trīspadsmit tūkstoši astoņi simti četrdesmit astoņi lati)</t>
  </si>
  <si>
    <t xml:space="preserve">Valdības kredītlīdzekļu atlikumi valūtā Latvijas Bankā 2000. gada 31. decembrī pēc Latvijas Bankas kursa </t>
  </si>
  <si>
    <t>344 350 lati (Trīs simti četrdesmit četri tūkstoši trīs simti piecdesmit lati)</t>
  </si>
  <si>
    <t xml:space="preserve">Latvijas Republikas pašvaldību budžetu līdzekļu atlikumi komercbankās un pagastu kasēs 2000. gada 31. decembrī </t>
  </si>
  <si>
    <t>31 564 433 lati (Trīsdesmit viens miljons pieci simti sešdesmit četri tūkstoši četri simti trīsdesmit trīs lati)</t>
  </si>
  <si>
    <t>Valsts un pašvaldību naudas līdzekļi kopā</t>
  </si>
  <si>
    <t>Naudas līdzekļu atlikumi apstiprināti ar Latvijas Bankas un komercbanku izziņām</t>
  </si>
  <si>
    <t xml:space="preserve">Valsts kases pārvaldnieks                                                                         </t>
  </si>
  <si>
    <t xml:space="preserve">Pielikums Nr.13  </t>
  </si>
  <si>
    <t>Informācija</t>
  </si>
  <si>
    <t xml:space="preserve">   par līdzekļu neparedzētiem gadījumiem izlietojumu 2000.gadā</t>
  </si>
  <si>
    <t>1.Sadalījumā pa ministrijām</t>
  </si>
  <si>
    <t xml:space="preserve">            (latos)</t>
  </si>
  <si>
    <t>Piešķirtā summa 2000.gadā</t>
  </si>
  <si>
    <t>Atjaunoti izdevumi</t>
  </si>
  <si>
    <t xml:space="preserve">        tai skaitā  pašvaldībām:</t>
  </si>
  <si>
    <t xml:space="preserve">  Limbažu rajona padomei</t>
  </si>
  <si>
    <t xml:space="preserve">  Preiļu rajona padomei</t>
  </si>
  <si>
    <t xml:space="preserve">  Ludzas rajona padomei</t>
  </si>
  <si>
    <t xml:space="preserve">  Daugavpils rajona padomei</t>
  </si>
  <si>
    <t xml:space="preserve">  Rēzeknes rajona padomei</t>
  </si>
  <si>
    <t>Ārlietu ministrija</t>
  </si>
  <si>
    <t>Satversmes aizsardzības birojs</t>
  </si>
  <si>
    <t>Centrālā vēlēšanu  komisija</t>
  </si>
  <si>
    <t>Atmaksāti piešķirtie līdzekļi neparedzētiem gadījumiem</t>
  </si>
  <si>
    <t>Apstiprināts budžetā</t>
  </si>
  <si>
    <t>Gada plāns</t>
  </si>
  <si>
    <t>Kases izpilde</t>
  </si>
  <si>
    <t>2.Izlietojums pēc budžeta izdevumu ekonomiskās klasifikācijas</t>
  </si>
  <si>
    <t>Izdevumi -  pavisam</t>
  </si>
  <si>
    <t>Uzturēšanas  izdevumi</t>
  </si>
  <si>
    <t xml:space="preserve">  Kārtējie  izdevumi</t>
  </si>
  <si>
    <t xml:space="preserve">      1100.  Atalgojumi</t>
  </si>
  <si>
    <t xml:space="preserve">      1200.  Valsts sociālās apdrošināšanas iemaksas</t>
  </si>
  <si>
    <t xml:space="preserve">      1300.  Komandējumi un dienesta braucienu izdevumi</t>
  </si>
  <si>
    <t xml:space="preserve">      1400.  Pakalpojumu apmaksa</t>
  </si>
  <si>
    <t xml:space="preserve">      1500.  Materiālu,energoresursu,ūdens un inventāra </t>
  </si>
  <si>
    <t xml:space="preserve">                (vērtībā līdz Ls 50 par 1 vienību) iegāde</t>
  </si>
  <si>
    <t xml:space="preserve">      1600.  Grāmatu un žurnālu  iegāde</t>
  </si>
  <si>
    <t xml:space="preserve">      1800.   Aizņēmumu atmaksa</t>
  </si>
  <si>
    <t xml:space="preserve">  Subsīdijas un dotācijas</t>
  </si>
  <si>
    <t xml:space="preserve">         t.sk.dotācijas iedzīvotājiem</t>
  </si>
  <si>
    <t xml:space="preserve">                iestādēm un organizācijām</t>
  </si>
  <si>
    <t xml:space="preserve">      4000.  Kapitālie izdevumi</t>
  </si>
  <si>
    <t xml:space="preserve">         t.sk. Kustamais īpašums (virs Ls 50)</t>
  </si>
  <si>
    <t xml:space="preserve">                Kapitālais remonts</t>
  </si>
  <si>
    <t xml:space="preserve">Valsts kases pārvaldnieks </t>
  </si>
  <si>
    <t xml:space="preserve"> Pārskats par valsts konsolidētā  kopbudžeta izpildi  2000.gadā</t>
  </si>
  <si>
    <t>Rādītāji</t>
  </si>
  <si>
    <t>1999.gada izpilde</t>
  </si>
  <si>
    <t>2000.gada plāns</t>
  </si>
  <si>
    <t>2000.gada izpilde</t>
  </si>
  <si>
    <t xml:space="preserve">Ieņēmumi </t>
  </si>
  <si>
    <t>Nodokļu ieņēmumi</t>
  </si>
  <si>
    <t>Nenodokļu ieņēmumi</t>
  </si>
  <si>
    <t>Budžeta iestāžu ieņēmumi no maksas pakalpojumiem un citiem pašu ieņēmumiem</t>
  </si>
  <si>
    <t>Citu valdības līmeņu maksājumi</t>
  </si>
  <si>
    <t>Saņemtie ziedojumi un dāvinājumi</t>
  </si>
  <si>
    <t>Ārvalstu finansu palīdzība</t>
  </si>
  <si>
    <t xml:space="preserve">Izdevumi </t>
  </si>
  <si>
    <t>Uzturēšanas izdevumi</t>
  </si>
  <si>
    <t>Izdevumi kapitālieguldījumiem</t>
  </si>
  <si>
    <t>Finansiālais deficīts(-) vai pārpalikums(+)</t>
  </si>
  <si>
    <t xml:space="preserve">Tīrie aizdevumi </t>
  </si>
  <si>
    <t>Fiskālais deficīts(-) vai pārpalikums(+)</t>
  </si>
  <si>
    <t>Finansēšana</t>
  </si>
  <si>
    <t>Iekšējā finansēšana</t>
  </si>
  <si>
    <t>No citām valsts pārvaldes struktūrām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</si>
  <si>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</si>
  <si>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</si>
  <si>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</si>
  <si>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Depozītu apjoma izmaiņas</t>
  </si>
  <si>
    <t xml:space="preserve">         Norēķinu kontu
         apjoma izmaiņas</t>
  </si>
  <si>
    <t xml:space="preserve">         Valsts iekšējā aizņēmuma vērtspapīri</t>
  </si>
  <si>
    <t>No komercbankām</t>
  </si>
  <si>
    <t xml:space="preserve"> t.sk.Tīrais aizņēmumu apjoms</t>
  </si>
  <si>
    <t xml:space="preserve">         Depozītu apjoma izmaiņas</t>
  </si>
  <si>
    <t>Pārējā iekšējā finansēšana</t>
  </si>
  <si>
    <t>Ārējā finansēšana</t>
  </si>
  <si>
    <t xml:space="preserve">Finansu ministrs                                                                                      </t>
  </si>
  <si>
    <t>G. Bērziņš</t>
  </si>
  <si>
    <t xml:space="preserve">Valsts kases pārvaldnieks                                                                          </t>
  </si>
  <si>
    <t xml:space="preserve"> A.Veiss</t>
  </si>
  <si>
    <t>Pielikums Nr. 1</t>
  </si>
  <si>
    <t xml:space="preserve">  Konsolidētā kopbudžeta izpilde 2000.gadā</t>
  </si>
  <si>
    <t>(latos)</t>
  </si>
  <si>
    <t>tajā skaitā</t>
  </si>
  <si>
    <t>valsts pamatbudžets</t>
  </si>
  <si>
    <t xml:space="preserve">valsts speciālais budžets </t>
  </si>
  <si>
    <t>pašvaldību pamatbudžets</t>
  </si>
  <si>
    <t>pašvaldību speciālais budžets</t>
  </si>
  <si>
    <t>spec.</t>
  </si>
  <si>
    <t>ziedojumi</t>
  </si>
  <si>
    <t>I. Kopbudžeta ieņēmumi - kopā</t>
  </si>
  <si>
    <t>Iedzīvotāju ienākuma nodoklis</t>
  </si>
  <si>
    <t>Uzņēmumu ienākuma nodoklis</t>
  </si>
  <si>
    <t>Sociālās apdrošināšanas iemaksas</t>
  </si>
  <si>
    <t>Nekustamā īpašuma nodoklis</t>
  </si>
  <si>
    <t>Īpašuma nodoklis</t>
  </si>
  <si>
    <t>Zemes nodoklis</t>
  </si>
  <si>
    <t>Pievienotās vērtības nodoklis</t>
  </si>
  <si>
    <t>Akcīzes nodoklis</t>
  </si>
  <si>
    <t>Dabas resursu nodoklis</t>
  </si>
  <si>
    <t>Iekšējie nodokļi par pakalpojumiem un precēm</t>
  </si>
  <si>
    <t>Muitas nodoklis</t>
  </si>
  <si>
    <t>Ieņēmumi no uzņēmējdarbības un īpašuma</t>
  </si>
  <si>
    <t>Valsts (pašvaldību) nodevas un maksājumi</t>
  </si>
  <si>
    <t>Sodi un sankcijas</t>
  </si>
  <si>
    <t>Pārējie nenodokļu maksājumi</t>
  </si>
  <si>
    <t>bruto</t>
  </si>
  <si>
    <t>soc.apdrošin.administr. No spec.bu</t>
  </si>
  <si>
    <t>autoceļu nauda no pam.bu -pašvaldībām</t>
  </si>
  <si>
    <t>Ieņēmumi no valsts (pašvaldības) nekustamā īpašuma pārdošanas</t>
  </si>
  <si>
    <t>Ieņēmumi no zemes īpašuma pārdošanas</t>
  </si>
  <si>
    <t>Maksājumi par budžeta iestāžu sniegtajiem maksas pakalpojumiem un citi pašu ieņēmumi</t>
  </si>
  <si>
    <t>Citu valdības līmeņu maksājumi un norēķini</t>
  </si>
  <si>
    <t>II. Kopbudžeta izdevumi pēc valdības funkcijām un tīrie aizdevumi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</si>
  <si>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</si>
  <si>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</si>
  <si>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</si>
  <si>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</si>
  <si>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</si>
  <si>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</si>
  <si>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</si>
  <si>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</si>
  <si>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</si>
  <si>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</si>
  <si>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rūpniecība,celtniecība, derīgie izrakteņi (izņemot kurināmo)</t>
  </si>
  <si>
    <t>Transports, sakari</t>
  </si>
  <si>
    <t>Pārējā ekonomiskā darbība un dienesti</t>
  </si>
  <si>
    <t>Pārējie izdevumi, kas nav atspoguļoti pamatgrupās</t>
  </si>
  <si>
    <t xml:space="preserve">III. Kopbudžeta izdevumi pēc budžeta izdevumu ekonomiskās klasifikācijas un tīrie aizdevumi </t>
  </si>
  <si>
    <t xml:space="preserve">Kopbudžeta izdevumi  </t>
  </si>
  <si>
    <t>Kārtējie izdevumi</t>
  </si>
  <si>
    <t>Sadalāmie izdevumi</t>
  </si>
  <si>
    <t>Atalgojumi</t>
  </si>
  <si>
    <t xml:space="preserve">Valsts sociālās apdrošināšanas obligātās iemaksas </t>
  </si>
  <si>
    <t>Komandējumu un dienesta braucienu izdevumi</t>
  </si>
  <si>
    <t>Pakalpojumu apmaksa</t>
  </si>
  <si>
    <t xml:space="preserve">Materiālu, energoresursu, ūdens un inventāra vērtībā līdz 50 Ls par 1 vienību iegāde </t>
  </si>
  <si>
    <t>Grāmatu un žurnālu iegāde</t>
  </si>
  <si>
    <t>Aizņēmumu atmaksa</t>
  </si>
  <si>
    <t>Valsts budžeta tranzīta pārskaitījumi</t>
  </si>
  <si>
    <t>Pārējie izdevumi</t>
  </si>
  <si>
    <t>Maksājumi par aizņēmumiem un kredītiem</t>
  </si>
  <si>
    <t>Subsīdijas un dotācijas</t>
  </si>
  <si>
    <t>Kapitālie izdevumi</t>
  </si>
  <si>
    <t>Zemes iegāde</t>
  </si>
  <si>
    <t>Investīcijas neto</t>
  </si>
  <si>
    <t xml:space="preserve">Kopbudžeta tīrie aizdevumi </t>
  </si>
  <si>
    <t>Valsts kases pārvaldnieks</t>
  </si>
  <si>
    <t>A.Veiss</t>
  </si>
  <si>
    <t xml:space="preserve">Pielikums Nr.2 </t>
  </si>
  <si>
    <t>Valsts un pašvaldību budžeta iestāžu grāmatvedības bilanču kopsavilkums 2000.gadā</t>
  </si>
  <si>
    <t xml:space="preserve"> </t>
  </si>
  <si>
    <t>Rādītāja nosaukums</t>
  </si>
  <si>
    <t>Uz 2000.gada 1.janvāri</t>
  </si>
  <si>
    <t>Uz 2001.gada 1.janvāri</t>
  </si>
  <si>
    <t>stils</t>
  </si>
  <si>
    <t>ekrans</t>
  </si>
  <si>
    <t>npk</t>
  </si>
  <si>
    <t>rkods</t>
  </si>
  <si>
    <t>kods</t>
  </si>
  <si>
    <t>nosaukums</t>
  </si>
  <si>
    <t>rinda</t>
  </si>
  <si>
    <t>l3</t>
  </si>
  <si>
    <t>l4</t>
  </si>
  <si>
    <t/>
  </si>
  <si>
    <t>AKTĪVS</t>
  </si>
  <si>
    <t xml:space="preserve"> ILGTERMIŅA IEGULDĪJUMI</t>
  </si>
  <si>
    <t xml:space="preserve">Nemateriālie ieguldījumi </t>
  </si>
  <si>
    <t>010</t>
  </si>
  <si>
    <t>Koncesijas, patenti, licences, preču zīmes un tamlīdzīgas tiesības</t>
  </si>
  <si>
    <t>020</t>
  </si>
  <si>
    <t>Citi nemateriālie ieguldījumi</t>
  </si>
  <si>
    <t>030</t>
  </si>
  <si>
    <t xml:space="preserve">Pamatlīdzekļi </t>
  </si>
  <si>
    <t>040</t>
  </si>
  <si>
    <t>nolietojums (-)</t>
  </si>
  <si>
    <t>050</t>
  </si>
  <si>
    <t>Zemes gabali, ēkas, būves un ilggadīgie stādījumi</t>
  </si>
  <si>
    <t>060</t>
  </si>
  <si>
    <t>apdzīvojamās mājas</t>
  </si>
  <si>
    <t>neapdzīvojamās mājas</t>
  </si>
  <si>
    <t>citas celtnes un būves</t>
  </si>
  <si>
    <t>ceļi</t>
  </si>
  <si>
    <t>zeme</t>
  </si>
  <si>
    <t>kultivētie  aktīvi un stādījumi</t>
  </si>
  <si>
    <t>meži</t>
  </si>
  <si>
    <t>neražotie aktīvi (atradnes)</t>
  </si>
  <si>
    <t>ūdens resursi</t>
  </si>
  <si>
    <t>pārējais nekustamais īpašums</t>
  </si>
  <si>
    <t>Pamatlīdzekļu izveidošana un nepabeigtās celtniecības izmaksas</t>
  </si>
  <si>
    <t>070</t>
  </si>
  <si>
    <t>Tehnoloģiskās iekārtas un mašīnas</t>
  </si>
  <si>
    <t>080</t>
  </si>
  <si>
    <t>Pārējie pamatlīdzekļi un inventārs</t>
  </si>
  <si>
    <t>090</t>
  </si>
  <si>
    <t>transporta līdzekļi</t>
  </si>
  <si>
    <t>saimneiciskais inventārs</t>
  </si>
  <si>
    <t>bibliotēku fondi</t>
  </si>
  <si>
    <t>dārgakmeņi un dārgmetālu izstrādājumi</t>
  </si>
  <si>
    <t>antīkie un citi māksalas priekšmeti</t>
  </si>
  <si>
    <t>pārējie pamatlīdzekļi un inventārs</t>
  </si>
  <si>
    <t xml:space="preserve">Ilgtermiņa finansu ieguldījumi </t>
  </si>
  <si>
    <t>100</t>
  </si>
  <si>
    <t>Līdzdalība radniecīgo uzņēmumu kapitālā</t>
  </si>
  <si>
    <t>110</t>
  </si>
  <si>
    <t>Pārējie vērtspapīri un ieguldījumi</t>
  </si>
  <si>
    <t>120</t>
  </si>
  <si>
    <t>Pārējie aizdevumi</t>
  </si>
  <si>
    <t>130</t>
  </si>
  <si>
    <t>Pašu akcijas un daļas</t>
  </si>
  <si>
    <t>140</t>
  </si>
  <si>
    <t>APGROZĀMIE LĪDZEKĻI</t>
  </si>
  <si>
    <t>Krājumi</t>
  </si>
  <si>
    <t>160</t>
  </si>
  <si>
    <t>Izejvielas un materiāli</t>
  </si>
  <si>
    <t>170</t>
  </si>
  <si>
    <t>Nepabeigtie ražojumi</t>
  </si>
  <si>
    <t>180</t>
  </si>
  <si>
    <t>Gatavie ražojumi un preces pārdošanai</t>
  </si>
  <si>
    <t>190</t>
  </si>
  <si>
    <t>Nepabeigtie pasūtījumi</t>
  </si>
  <si>
    <t>200</t>
  </si>
  <si>
    <t>Zinātnes gatavie pasūtījumi</t>
  </si>
  <si>
    <t>210</t>
  </si>
  <si>
    <t>Produktīvie un darba dzīvnieki</t>
  </si>
  <si>
    <t>220</t>
  </si>
  <si>
    <t>Norēķini par prāsībām (debitoriem)</t>
  </si>
  <si>
    <t>230</t>
  </si>
  <si>
    <t>Nākamo periodu izdevumi</t>
  </si>
  <si>
    <t>240</t>
  </si>
  <si>
    <t>Vērtspapīri un līdzdalība kapitālos</t>
  </si>
  <si>
    <t>250</t>
  </si>
  <si>
    <t>Naudas līdzekļi</t>
  </si>
  <si>
    <t>260</t>
  </si>
  <si>
    <t>Kase</t>
  </si>
  <si>
    <t>270</t>
  </si>
  <si>
    <t>Pamatbudžeta konti</t>
  </si>
  <si>
    <t>280</t>
  </si>
  <si>
    <t>Speciālā budžeta konti</t>
  </si>
  <si>
    <t>290</t>
  </si>
  <si>
    <t>Dāvinājumu konti</t>
  </si>
  <si>
    <t>300</t>
  </si>
  <si>
    <t>Depozītu konti</t>
  </si>
  <si>
    <t>310</t>
  </si>
  <si>
    <t>Citu budžetu līdzekļu konti</t>
  </si>
  <si>
    <t>320</t>
  </si>
  <si>
    <t>Akreditīvi, čeki un īpaši norēķinu formu konti</t>
  </si>
  <si>
    <t>330</t>
  </si>
  <si>
    <t>Pārējie naudas līdzekļi</t>
  </si>
  <si>
    <t>340</t>
  </si>
  <si>
    <t>350</t>
  </si>
  <si>
    <t>AKTĪVI KOPĀ</t>
  </si>
  <si>
    <t>440</t>
  </si>
  <si>
    <t>PASĪVS</t>
  </si>
  <si>
    <t>PAŠU KAPITĀLS</t>
  </si>
  <si>
    <t>Pamatkapitāls vai līdzdalības kapitāls</t>
  </si>
  <si>
    <t>450</t>
  </si>
  <si>
    <t>Rezerves</t>
  </si>
  <si>
    <t>460</t>
  </si>
  <si>
    <t xml:space="preserve">Iepriekšējā budžeta gada izpildes rezultāts </t>
  </si>
  <si>
    <t>470</t>
  </si>
  <si>
    <t>pamatbudžeta</t>
  </si>
  <si>
    <t>480</t>
  </si>
  <si>
    <t>speciālā budžeta</t>
  </si>
  <si>
    <t>490</t>
  </si>
  <si>
    <t>citu budžetu</t>
  </si>
  <si>
    <t>500</t>
  </si>
  <si>
    <t>saņemto ziedojumu un dāvinājumu</t>
  </si>
  <si>
    <t>510</t>
  </si>
  <si>
    <t>520</t>
  </si>
  <si>
    <t>KREDITORI</t>
  </si>
  <si>
    <t>Norēķini par aizņēmumiem</t>
  </si>
  <si>
    <t>530</t>
  </si>
  <si>
    <t>Norēkini par saņemtajiem avansiem</t>
  </si>
  <si>
    <t>540</t>
  </si>
  <si>
    <t>Norēķini ar piegādātājiem un darbuzņēmējiem</t>
  </si>
  <si>
    <t>550</t>
  </si>
  <si>
    <t>Maksājamie vekseļi</t>
  </si>
  <si>
    <t>560</t>
  </si>
  <si>
    <t>Norēķini ar uzņēmumiem, dalībniekiem un personālu</t>
  </si>
  <si>
    <t>570</t>
  </si>
  <si>
    <t>Norēķini par darba samaksu un ieturējumiem (izņemot nodokļus)</t>
  </si>
  <si>
    <t>580</t>
  </si>
  <si>
    <t>Norēķini par nodokļiem</t>
  </si>
  <si>
    <t>590</t>
  </si>
  <si>
    <t>600</t>
  </si>
  <si>
    <t>PASĪVI KOPĀ</t>
  </si>
  <si>
    <t xml:space="preserve">Pielikums Nr.3 </t>
  </si>
  <si>
    <t>Valsts budžeta iestāžu grāmatvedības bilanču kopsavilkums 2000.gadā</t>
  </si>
  <si>
    <t xml:space="preserve">Pielikums Nr.4 </t>
  </si>
  <si>
    <t>Pašvaldību budžeta iestāžu grāmatvedības bilanču kopsavilkums 2000.gadā</t>
  </si>
  <si>
    <t xml:space="preserve">Pielikums Nr.5 </t>
  </si>
  <si>
    <t>Valsts budžeta finansu bilance 2000. gadā</t>
  </si>
  <si>
    <t>LVL Latvijas Bankā</t>
  </si>
  <si>
    <t>Valūtas groza apgrozāmie līdzekļi Latvijas Bankā</t>
  </si>
  <si>
    <t>LVL Komercbankās</t>
  </si>
  <si>
    <t>Valūta Latvijas Bankā</t>
  </si>
  <si>
    <t>Valūta Komercbankās</t>
  </si>
  <si>
    <t>Valūta Komercbankās ārzemēs</t>
  </si>
  <si>
    <t>Īstermiņa ieguldījumi</t>
  </si>
  <si>
    <t>Ieguldījumi   depozītos Latvijas Bankā LVL</t>
  </si>
  <si>
    <t>Ieguldījumi   depozītos Latvijas Bankā valūtā</t>
  </si>
  <si>
    <t>Ieguldījumi   depozītos komercbankās LVL</t>
  </si>
  <si>
    <t>Ieguldījumi   depozītos komercbankās  valūtā</t>
  </si>
  <si>
    <t>Pamatsummas atmaksas iekšējiem aizņēmumiem</t>
  </si>
  <si>
    <t>Krājbankas ilgtermiņa vērtspapīri</t>
  </si>
  <si>
    <t>Maksājumi par Latvijas valsts iekšējā aizņēmuma vērtspapīriem*</t>
  </si>
  <si>
    <t>Maksājumi par ārvalstu aizņēmumiem un kredītiem *</t>
  </si>
  <si>
    <t>Valsts budžeta prasības</t>
  </si>
  <si>
    <t>Aizdevumi citu līmeņu budžetiem</t>
  </si>
  <si>
    <t>Aizdevumi uzņēmējsabiedrībām</t>
  </si>
  <si>
    <t>" Latvijas Gāzes '' pārņemtās saistības</t>
  </si>
  <si>
    <t>Kredītlīdzekļi Latvijas Bankā</t>
  </si>
  <si>
    <t>BILANCE</t>
  </si>
  <si>
    <t>Rezerves un fondi</t>
  </si>
  <si>
    <t>Rezerves fonds</t>
  </si>
  <si>
    <t>Pasšvaldību finansu izlīdzināšanas fonds</t>
  </si>
  <si>
    <t>Iedzīvotāju ienākuma nodokļa sadales fonds</t>
  </si>
  <si>
    <t>Valsts budžeta saistības</t>
  </si>
  <si>
    <t>Ārvalstu aizņēmumi</t>
  </si>
  <si>
    <t>Saistības budžeta iestāžu noguldījumiem</t>
  </si>
  <si>
    <t>Valdības parādzīmes</t>
  </si>
  <si>
    <t>Krājbankas ilgtermiņa parādzīmes</t>
  </si>
  <si>
    <t>Pārējās saistības pret A/S "Liepājas siltums ''</t>
  </si>
  <si>
    <t>Rezultāts</t>
  </si>
  <si>
    <t>* iekļauti 2000.gada laikā uzkrātie nākamo periodu izdevumi ( % maksājumi par vētspapīriem)</t>
  </si>
  <si>
    <t xml:space="preserve">Valsts kases pārvaldnieks                                                                              </t>
  </si>
  <si>
    <t>Valsts parāda saistību pārskats (1998., 1999. un 2000. gadā)</t>
  </si>
  <si>
    <t>1998. gads</t>
  </si>
  <si>
    <t>1999. gads</t>
  </si>
  <si>
    <t>2000. gads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</si>
  <si>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</si>
  <si>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</si>
  <si>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</si>
  <si>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 *</t>
  </si>
  <si>
    <t xml:space="preserve">              Īstermiņa banku aizņēmumi</t>
  </si>
  <si>
    <t xml:space="preserve">              Kredīta līnijas izmantošana komercbankās</t>
  </si>
  <si>
    <t>1.1.2. Vidējā termiņa parāds</t>
  </si>
  <si>
    <t xml:space="preserve">             Valsts iekšējā aizņēmuma vidējā termiņa obligācijas *</t>
  </si>
  <si>
    <t xml:space="preserve"> 1.1.3. Ilgtermiņa parāds</t>
  </si>
  <si>
    <t xml:space="preserve">             Valsts iekšējā aizņēmuma ilgtermiņa obligācijas  </t>
  </si>
  <si>
    <t>1.2. IEKŠĒJAIS  VALŪTU  PARĀDS  (1.2.1.+1.2.2.)</t>
  </si>
  <si>
    <t>1.2.1.  Īstermiņa parāds</t>
  </si>
  <si>
    <t>1.2.2. Vidējā / Ilgtermiņa parāds ***</t>
  </si>
  <si>
    <t>2. ĀRĒJAIS  PARĀDS  (2.1.+2.2)</t>
  </si>
  <si>
    <t xml:space="preserve">2.1. ĀRĒJAIS  LATU  PARĀDS  </t>
  </si>
  <si>
    <t>2.2. ĀRĒJAIS  VALŪTU  PARĀDS  (2.2.1.+2.2.2.)</t>
  </si>
  <si>
    <t>2.2.1.  Īstermiņa parāds</t>
  </si>
  <si>
    <t>2.2.2. Vidējā / Ilgtermiņa parāds</t>
  </si>
  <si>
    <t xml:space="preserve">              Aizņēmumi</t>
  </si>
  <si>
    <t xml:space="preserve">              Eiroobligācijas **</t>
  </si>
  <si>
    <t>VALSTS   PARĀDS  (1.+2.)</t>
  </si>
  <si>
    <t>Izziņa:</t>
  </si>
  <si>
    <t>*   pēc nomināla - valsts iekšējā aizņēmuma parādzīmes
                                  un vidējā termiņa obligācijas</t>
  </si>
  <si>
    <t>**   pēc nomināla - eiroobligācijas</t>
  </si>
  <si>
    <t>*** saskaņā ar SWAP līgumu ar Latvijas Banku par EEK aizdevumu</t>
  </si>
  <si>
    <t>A. Veiss</t>
  </si>
  <si>
    <t>Pielikums Nr. 7</t>
  </si>
  <si>
    <t xml:space="preserve">Valsts ārējā parāda 2000. gada pārskats </t>
  </si>
  <si>
    <t>Aizņēmuma</t>
  </si>
  <si>
    <t>Parāds</t>
  </si>
  <si>
    <t>Pārskata gadā</t>
  </si>
  <si>
    <t>Aizņēmums</t>
  </si>
  <si>
    <t>summa</t>
  </si>
  <si>
    <t>pārskata gada</t>
  </si>
  <si>
    <t>pārskata</t>
  </si>
  <si>
    <t>Valūtas</t>
  </si>
  <si>
    <t>neizmaksātā</t>
  </si>
  <si>
    <t>(Aizdevējs)</t>
  </si>
  <si>
    <t>beigās</t>
  </si>
  <si>
    <t>gada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</si>
  <si>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</si>
  <si>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</si>
  <si>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</si>
  <si>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</si>
  <si>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</si>
  <si>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</si>
  <si>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</si>
  <si>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 xml:space="preserve">sākumā </t>
  </si>
  <si>
    <t>daļa</t>
  </si>
  <si>
    <t>izmaiņas</t>
  </si>
  <si>
    <t>izdevumi</t>
  </si>
  <si>
    <t>gada beigās</t>
  </si>
  <si>
    <t>valūtā</t>
  </si>
  <si>
    <t>latos</t>
  </si>
  <si>
    <t>Aizņēmumi Šveices frankos (CHF)</t>
  </si>
  <si>
    <t>VPA/s ''Latvenergo'' (Credit Suisse)</t>
  </si>
  <si>
    <t>Kopā   CHF</t>
  </si>
  <si>
    <t>Aizņēmumi Dānijas kronās (DKK)</t>
  </si>
  <si>
    <t>Liepājas ostai (Den Danske Bank)</t>
  </si>
  <si>
    <t>Cēsu pašvaldībai (Den Danske Bank)</t>
  </si>
  <si>
    <t>Kopā   DKK</t>
  </si>
  <si>
    <t>Aizņēmumi Eiropas vienotā valūtā (EUR)</t>
  </si>
  <si>
    <t xml:space="preserve">Lata International'' (Finnish Export Credit) </t>
  </si>
  <si>
    <t xml:space="preserve">G-24 (Eiropas Savienība) </t>
  </si>
  <si>
    <t xml:space="preserve">Uzņēmumu un fin. sekt. pārstrukturēsana (PB) </t>
  </si>
  <si>
    <t xml:space="preserve">Lauku attīstības projekts (PB) </t>
  </si>
  <si>
    <t xml:space="preserve">Labklājības ministrijai (Credit Lyonnais) </t>
  </si>
  <si>
    <r>
      <t>Nacionālajai operai (AEG company)</t>
    </r>
    <r>
      <rPr>
        <vertAlign val="superscript"/>
        <sz val="8"/>
        <rFont val="Arial"/>
        <family val="2"/>
      </rPr>
      <t xml:space="preserve"> </t>
    </r>
  </si>
  <si>
    <t xml:space="preserve">Strukturālo pārkārtojumu projekts (PB) </t>
  </si>
  <si>
    <t xml:space="preserve">Labklājības reformas projekts (PB) </t>
  </si>
  <si>
    <t>Vides aizsardzībai (Nordic Investment Bank)</t>
  </si>
  <si>
    <t>Veselības reformas projekts (PB)</t>
  </si>
  <si>
    <t>VID modernizēšanas projekts (PB)</t>
  </si>
  <si>
    <t>Izglītības reformu projekts (PB)</t>
  </si>
  <si>
    <r>
      <t xml:space="preserve">Eiroobligācijas </t>
    </r>
    <r>
      <rPr>
        <vertAlign val="superscript"/>
        <sz val="8"/>
        <rFont val="Arial"/>
        <family val="2"/>
      </rPr>
      <t>1</t>
    </r>
  </si>
  <si>
    <t xml:space="preserve">Latvijas pašvaldību un vides infrastrukt. proj. (EIB) </t>
  </si>
  <si>
    <t>Kopā   EUR</t>
  </si>
  <si>
    <t>Aizņēmumi Japānas jēnās (JPY)</t>
  </si>
  <si>
    <t>Rehabilitācijas aizdevums (JEIB)</t>
  </si>
  <si>
    <t>Ceļu projekts, Daugavas kaskāde (JEIB)</t>
  </si>
  <si>
    <r>
      <t xml:space="preserve">A/s ''Tolaram Fibers'' (''Marubeni Corporation'') </t>
    </r>
    <r>
      <rPr>
        <vertAlign val="superscript"/>
        <sz val="8"/>
        <rFont val="Arial"/>
        <family val="2"/>
      </rPr>
      <t>2</t>
    </r>
  </si>
  <si>
    <t>Kopā   JPY</t>
  </si>
  <si>
    <t>Aizņēmumi Zviedrijas kronās (SEK)</t>
  </si>
  <si>
    <t>Liepas pagastam (Zviedrijas Nac. Enerģ. Admin.)</t>
  </si>
  <si>
    <t>Talsu pilsētas Domei (Zviedrijas Nac. Enerģ. Admin.)</t>
  </si>
  <si>
    <t>Kopā SEK</t>
  </si>
  <si>
    <t>Aizņēmumi ASV dolāros (USD)</t>
  </si>
  <si>
    <t>Rehabilitācijas aizdevums (PB)</t>
  </si>
  <si>
    <t>Lauksaimniecības attīstībai (PB)</t>
  </si>
  <si>
    <t>'Lata International'' (Finnish Export Credit)</t>
  </si>
  <si>
    <t>G-24 (AB Svensk Exportcredit)</t>
  </si>
  <si>
    <t xml:space="preserve">'Lata International'' (Commodity Credit Corp.) </t>
  </si>
  <si>
    <t xml:space="preserve">Liepājas vides projekts (PB) </t>
  </si>
  <si>
    <t>Uzņēmumu un fin. sekt. pārstrukturēsana (PB)</t>
  </si>
  <si>
    <t>Ceļu projekts (ERAB)</t>
  </si>
  <si>
    <t>Jelgavas projekts (PB)</t>
  </si>
  <si>
    <t>Ceļu vadības sistēmai (Dānijas Unibanka)</t>
  </si>
  <si>
    <t xml:space="preserve">'Rīgas Gāzei'' (Dānijas Unibanka) </t>
  </si>
  <si>
    <t>Strenču notekūdeņu attīrīšanai (Dānijas Unibanka)</t>
  </si>
  <si>
    <t>Strenču centrālapkurei (Dānijas Unibanka)</t>
  </si>
  <si>
    <t>Līgatnes notekūdeņu attīrīšanai (Dānijas Unibanka)</t>
  </si>
  <si>
    <t>Komunālo pakalp. attīst. proj. (PB)</t>
  </si>
  <si>
    <t>Nepilsoņu pasēm (Export Development Corporation)</t>
  </si>
  <si>
    <t>Bauskas pašvaldībai (Dānijas Unibanka)</t>
  </si>
  <si>
    <t>Gulbenes pašvaldībai (Dānijas Unibanka)</t>
  </si>
  <si>
    <t>Kokneses pašvaldībai (Dānijas Unibanka)</t>
  </si>
  <si>
    <t>Kuldīgas pašvaldībai (Dānijas Unibanka)</t>
  </si>
  <si>
    <t>Ogres pašvaldībai (Dānijas Unibanka)</t>
  </si>
  <si>
    <t>Rūjienas pašvaldībai (Dānijas Unibanka)</t>
  </si>
  <si>
    <t>Saldus pašvaldībai (Dānijas Unibanka)</t>
  </si>
  <si>
    <t>Valkas pašvaldībai (Dānijas Unibanka)</t>
  </si>
  <si>
    <t>Valmieras pašvaldībai (Dānijas Unibanka)</t>
  </si>
  <si>
    <t>Bērnu slimnīcai (Dānijas Unibanka)</t>
  </si>
  <si>
    <t>Iekšlietu ministrijai (Societe Generale)</t>
  </si>
  <si>
    <t>Ceļu projekts (PB)</t>
  </si>
  <si>
    <t>Rīgas cieto atkritumu saimn. projekts (PB)</t>
  </si>
  <si>
    <t>Programmātiskā struktur.pārkārt.proj.aizd. (PB)</t>
  </si>
  <si>
    <t>Liepājas reģ. sadzīves atkritumu apsaimn.proj. (PB)</t>
  </si>
  <si>
    <t>Kopā   USD</t>
  </si>
  <si>
    <t>Aizņēmumi SVF norēķinu vienībās (XDR)</t>
  </si>
  <si>
    <t>STF-1 (SVF)</t>
  </si>
  <si>
    <t>STF-2 (SVF)</t>
  </si>
  <si>
    <t>Kopā   XDR</t>
  </si>
  <si>
    <t>Kopā pārskata gadā</t>
  </si>
  <si>
    <t>X</t>
  </si>
  <si>
    <r>
      <t>1</t>
    </r>
    <r>
      <rPr>
        <sz val="8"/>
        <rFont val="Arial"/>
        <family val="2"/>
      </rPr>
      <t xml:space="preserve"> parāds pēc nomināla pārskata perioda beigās - 128 259 450 Ls </t>
    </r>
  </si>
  <si>
    <r>
      <t xml:space="preserve">2 </t>
    </r>
    <r>
      <rPr>
        <sz val="8"/>
        <rFont val="Arial"/>
        <family val="2"/>
      </rPr>
      <t>saskaņā ar uzņēmuma maksātnespēju, galvojuma atmaksu veica Finansu ministrija</t>
    </r>
  </si>
  <si>
    <t>Pielikums Nr. 10</t>
  </si>
  <si>
    <t>Valsts izsniegto galvojumu 2000. gada pārskats</t>
  </si>
  <si>
    <t>Galvojuma</t>
  </si>
  <si>
    <t>Galvojuma saņēmējs</t>
  </si>
  <si>
    <t>sākumā</t>
  </si>
  <si>
    <t>Galvojumi Šveices frankos (CHF)</t>
  </si>
  <si>
    <t xml:space="preserve">P/u ''Rīgas ūdens'' (EIB) </t>
  </si>
  <si>
    <t>Galvojumi Eiropas vienotā valūtā (EUR)</t>
  </si>
  <si>
    <t>A/s ''Rīgas Miesnieks'' (AKA)</t>
  </si>
  <si>
    <t xml:space="preserve">A/s ''Preses nams'' (KFW) </t>
  </si>
  <si>
    <t>Latvijas Investīciju banka (EIB)</t>
  </si>
  <si>
    <t>PVA/s ''Latvenergo'' (EIB)</t>
  </si>
  <si>
    <t>PVA/s ''Latvenergo'' (Societe Generale)</t>
  </si>
  <si>
    <t>VA/s ''Latvijas Dzelzceļš'' (EIB)</t>
  </si>
  <si>
    <t>Rīgas Juridiskā augstskola (ZIB)</t>
  </si>
  <si>
    <t>VA/S "Latvijas Hipotēku un zemes banka" (KFW)</t>
  </si>
  <si>
    <t>Ventspils ostas pārvalde (EIB)</t>
  </si>
  <si>
    <t>Galvojumi Japānas jēnās (JPY)</t>
  </si>
  <si>
    <t>A/s ''Tolaram Fibers'' (''Marubeni Corporation'')</t>
  </si>
  <si>
    <t>Galvojumi Latvijas latos (LVL)</t>
  </si>
  <si>
    <t>Liepājas SEZ (A/s ''Rīgas Komercbanka'')</t>
  </si>
  <si>
    <t>VA/s ''Latvijas Dzelzceļš'' (A/s "Latvijas Unibanka")</t>
  </si>
  <si>
    <t>Kopā   LVL</t>
  </si>
  <si>
    <t>Galvojumi ASV dolāros (USD)</t>
  </si>
  <si>
    <t>Mērsraga osta (A/s ''Latvijas Unibanka'')</t>
  </si>
  <si>
    <t xml:space="preserve">Rīgas Starptautiskā lidosta (ERAB) </t>
  </si>
  <si>
    <t>PVA/s ''Latvenergo'' (SEC)</t>
  </si>
  <si>
    <t>PVA/s ''Latvenergo'' (ERAB)</t>
  </si>
  <si>
    <t>P/u ''Rīgas ūdens'' (ERAB)</t>
  </si>
  <si>
    <t>Latvijas Jūras administrācija (A/s ''Parekss Banka'')</t>
  </si>
  <si>
    <t>Ventspils ostas pārvalde (VABB)</t>
  </si>
  <si>
    <t>Rīgas tirdzniecības osta (A/s ''Latvijas Unibanka'')</t>
  </si>
  <si>
    <t>Rīgas tirdzniecības osta (A/s ''Vereinsbank Rīga'')</t>
  </si>
  <si>
    <t>VA/s ''Latvijas Dzelzceļš'' (ERAB)</t>
  </si>
  <si>
    <t>Liepājas SEZ (A/s ''Vereinsbank Rīga'')</t>
  </si>
  <si>
    <t>Rīgas Ostas pārvalde (A/s ''Latvijas Unibanka'')</t>
  </si>
  <si>
    <t xml:space="preserve">Rīgas Starptautiskā lidosta (EIB) </t>
  </si>
  <si>
    <t>Salacgrīvas osta (A/s "Pirmā Latvijas Komercbanka")</t>
  </si>
  <si>
    <t>Ventspils ostas pārvalde (A/s "Pirmā Latvijas Komercbanka")</t>
  </si>
  <si>
    <t>A/s ''Tolaram Fibers'' (''Marubeni Corporation'') - saskaņā ar uzņēmuma maksātnespēju, galvojuma atmaksu veica Finansu min.</t>
  </si>
  <si>
    <t>Ventspils ostas pārvalde (VABB) - t.sk. 561 051 latu faktiski izmaksāja 1999. gadā</t>
  </si>
  <si>
    <t>Pielikums Nr. 11</t>
  </si>
  <si>
    <t>Valsts neatmaksāto aizdevumu saraksts uz 2000. gada 31. decembri</t>
  </si>
  <si>
    <t>(miljonos valūtas vienību)</t>
  </si>
  <si>
    <t>Parakstīšanas</t>
  </si>
  <si>
    <t>Aizdevuma</t>
  </si>
  <si>
    <t>Procentu</t>
  </si>
  <si>
    <t>Pēdējais</t>
  </si>
  <si>
    <t>Aizdevuma devējs</t>
  </si>
  <si>
    <t>datums</t>
  </si>
  <si>
    <t>mērķis</t>
  </si>
  <si>
    <t>galējais</t>
  </si>
  <si>
    <t xml:space="preserve"> summa,</t>
  </si>
  <si>
    <t>likme</t>
  </si>
  <si>
    <t>maksāšanas</t>
  </si>
  <si>
    <t>Moratorijs</t>
  </si>
  <si>
    <t xml:space="preserve">atmaksas </t>
  </si>
  <si>
    <t>saņēmējs</t>
  </si>
  <si>
    <t xml:space="preserve"> valūta</t>
  </si>
  <si>
    <t>datumi</t>
  </si>
  <si>
    <t>Credit Lyonnais</t>
  </si>
  <si>
    <t>20.marts</t>
  </si>
  <si>
    <t>Digitālā angiogrāfa</t>
  </si>
  <si>
    <t>Labklājības</t>
  </si>
  <si>
    <t>LIBOR+1.25%</t>
  </si>
  <si>
    <t>26.aprīlis</t>
  </si>
  <si>
    <t>1 gads</t>
  </si>
  <si>
    <t>2001.g.</t>
  </si>
  <si>
    <t>(Francija)</t>
  </si>
  <si>
    <t>1996.g.</t>
  </si>
  <si>
    <t>iegāde</t>
  </si>
  <si>
    <t>ministrija</t>
  </si>
  <si>
    <t>EUR</t>
  </si>
  <si>
    <t>26.oktobris</t>
  </si>
  <si>
    <t>Export Development Corporation</t>
  </si>
  <si>
    <t>9.aprīlis</t>
  </si>
  <si>
    <t>Nepilsoņu pasu</t>
  </si>
  <si>
    <t>Iekšlietu</t>
  </si>
  <si>
    <t>7.44%</t>
  </si>
  <si>
    <t>1.jūnijs,</t>
  </si>
  <si>
    <t>(Kanāda)</t>
  </si>
  <si>
    <t>projektam</t>
  </si>
  <si>
    <t>USD</t>
  </si>
  <si>
    <t>1.decembris</t>
  </si>
  <si>
    <t>katru mēnesi</t>
  </si>
  <si>
    <t>Credit Suisse</t>
  </si>
  <si>
    <t>15.aprīlis</t>
  </si>
  <si>
    <t>Enerģētikas</t>
  </si>
  <si>
    <t>VAS ''Latvenergo''</t>
  </si>
  <si>
    <t xml:space="preserve">SEBR+1.875% </t>
  </si>
  <si>
    <t>atkarībā</t>
  </si>
  <si>
    <t>2003.g.</t>
  </si>
  <si>
    <t>1994.g.</t>
  </si>
  <si>
    <t>sektors</t>
  </si>
  <si>
    <t>CHF</t>
  </si>
  <si>
    <t>mainīgā</t>
  </si>
  <si>
    <t>no izmaksas</t>
  </si>
  <si>
    <t>27.februāris</t>
  </si>
  <si>
    <t>Zviedrijas Nacionālā</t>
  </si>
  <si>
    <t>30.marts</t>
  </si>
  <si>
    <t>Apkures sistēmu</t>
  </si>
  <si>
    <t xml:space="preserve">Talsu pilsētas </t>
  </si>
  <si>
    <t>6 mēn. STIBOR</t>
  </si>
  <si>
    <t>31.marts</t>
  </si>
  <si>
    <t>2003. gada</t>
  </si>
  <si>
    <t>Enerģijas Administrācija</t>
  </si>
  <si>
    <t>1998.g.</t>
  </si>
  <si>
    <t>rekonstrukcijai</t>
  </si>
  <si>
    <t>Domei</t>
  </si>
  <si>
    <t>SEK</t>
  </si>
  <si>
    <t>30.septembris</t>
  </si>
  <si>
    <t>30. septembris</t>
  </si>
  <si>
    <t>Societe Generale</t>
  </si>
  <si>
    <t>14. februāris</t>
  </si>
  <si>
    <t>Kriminoloģiskās</t>
  </si>
  <si>
    <t>Iekšlietu ministrija</t>
  </si>
  <si>
    <t>14.februāris</t>
  </si>
  <si>
    <t>-</t>
  </si>
  <si>
    <t>2003. g.</t>
  </si>
  <si>
    <t>1997.g.</t>
  </si>
  <si>
    <t>izmeklēšanas centram</t>
  </si>
  <si>
    <t>14.novembris</t>
  </si>
  <si>
    <t>Februāra</t>
  </si>
  <si>
    <t>SVF</t>
  </si>
  <si>
    <t>13.aprīlī</t>
  </si>
  <si>
    <t>Maksājumu</t>
  </si>
  <si>
    <t>44 uzņēmumi</t>
  </si>
  <si>
    <t>3 mēn. LIBOR + 1%</t>
  </si>
  <si>
    <t>maija,augusta</t>
  </si>
  <si>
    <t>5 gadi</t>
  </si>
  <si>
    <t>(STF-1)</t>
  </si>
  <si>
    <t>1993.g.</t>
  </si>
  <si>
    <t>bilances</t>
  </si>
  <si>
    <t>XDR</t>
  </si>
  <si>
    <t>novembra</t>
  </si>
  <si>
    <t>19.decembris</t>
  </si>
  <si>
    <t>stabilizēšanai</t>
  </si>
  <si>
    <t>1.datums</t>
  </si>
  <si>
    <t xml:space="preserve">Budžeta </t>
  </si>
  <si>
    <t>Credit Suisse First Boston</t>
  </si>
  <si>
    <t>11.maijs</t>
  </si>
  <si>
    <t>Eiroobligācijas</t>
  </si>
  <si>
    <t>fiskālā</t>
  </si>
  <si>
    <t>6.25%</t>
  </si>
  <si>
    <t>13.maijs</t>
  </si>
  <si>
    <t>4 gadi</t>
  </si>
  <si>
    <t>2004.gada</t>
  </si>
  <si>
    <t>1999.g.</t>
  </si>
  <si>
    <t>deficīta</t>
  </si>
  <si>
    <t>finansēšana</t>
  </si>
  <si>
    <t>6.oktobrī</t>
  </si>
  <si>
    <t>23.aprīlis</t>
  </si>
  <si>
    <t>32 uzņēmumi</t>
  </si>
  <si>
    <t>2004.g.</t>
  </si>
  <si>
    <t>(STF-2)</t>
  </si>
  <si>
    <t>19.jūlijs</t>
  </si>
  <si>
    <t>Finnish Export Credit (Somija)</t>
  </si>
  <si>
    <t>26.jūnijs</t>
  </si>
  <si>
    <t>Lauksaimniecības</t>
  </si>
  <si>
    <t>Lata</t>
  </si>
  <si>
    <t>6-m-LIBOR + 0.5%</t>
  </si>
  <si>
    <t>10.jūnijs</t>
  </si>
  <si>
    <t>1992.g.</t>
  </si>
  <si>
    <t>mašīnu imports</t>
  </si>
  <si>
    <t>International</t>
  </si>
  <si>
    <t>10.decembris</t>
  </si>
  <si>
    <t>Den Danske Bank</t>
  </si>
  <si>
    <t>26.septembris</t>
  </si>
  <si>
    <t>Centrālapkures sistēmas</t>
  </si>
  <si>
    <t xml:space="preserve">Cēsu </t>
  </si>
  <si>
    <t>0.37</t>
  </si>
  <si>
    <t>bezprocentu</t>
  </si>
  <si>
    <t>30.jūnijs,</t>
  </si>
  <si>
    <t>2005.g.</t>
  </si>
  <si>
    <t>rekonstrukcija</t>
  </si>
  <si>
    <t>siltumtīklu uzņēmums</t>
  </si>
  <si>
    <t>DKK</t>
  </si>
  <si>
    <t>kredīts</t>
  </si>
  <si>
    <t>31.decembris</t>
  </si>
  <si>
    <t>Dānijas Unibanka</t>
  </si>
  <si>
    <t>10.novembris</t>
  </si>
  <si>
    <t>Ceļu seguma vadības</t>
  </si>
  <si>
    <t>Latvijas</t>
  </si>
  <si>
    <t>3 gadi</t>
  </si>
  <si>
    <t>2006.g.</t>
  </si>
  <si>
    <t>1995.g.</t>
  </si>
  <si>
    <t>sistēmas ieviešana</t>
  </si>
  <si>
    <t>Autoceļu direkcija</t>
  </si>
  <si>
    <t>30.septembrī</t>
  </si>
  <si>
    <t>22.novembris</t>
  </si>
  <si>
    <t>Notekūdeņu attīrīšanas</t>
  </si>
  <si>
    <t>Strenču pašvaldība</t>
  </si>
  <si>
    <t>iekārtas rekonstr.</t>
  </si>
  <si>
    <t>Centrālapkures sistēmu</t>
  </si>
  <si>
    <t>Līgatnes pašvaldība</t>
  </si>
  <si>
    <t>Bauskas</t>
  </si>
  <si>
    <t>2 gadi</t>
  </si>
  <si>
    <t>pašvaldība</t>
  </si>
  <si>
    <t>Kokneses</t>
  </si>
  <si>
    <t>Kuldīgas</t>
  </si>
  <si>
    <t>Ogres</t>
  </si>
  <si>
    <t>Rūjienas</t>
  </si>
  <si>
    <t>Saldus</t>
  </si>
  <si>
    <t>Valkas</t>
  </si>
  <si>
    <t>Valmieras</t>
  </si>
  <si>
    <t>12.decembris</t>
  </si>
  <si>
    <t>Liepājas ostas</t>
  </si>
  <si>
    <t>Liepājas SEZ</t>
  </si>
  <si>
    <t>pārvalde</t>
  </si>
  <si>
    <t>Swedish National Board for</t>
  </si>
  <si>
    <t>15.oktobris</t>
  </si>
  <si>
    <t>Katlu mājas</t>
  </si>
  <si>
    <t>Liepas</t>
  </si>
  <si>
    <t>6. mēn. STIBOR</t>
  </si>
  <si>
    <t>2007.g.</t>
  </si>
  <si>
    <t>Tehnical Development</t>
  </si>
  <si>
    <t>pagasts</t>
  </si>
  <si>
    <t>Gulbenes</t>
  </si>
  <si>
    <t>20.oktobris</t>
  </si>
  <si>
    <t>Iekārtu imports</t>
  </si>
  <si>
    <t>'Rīgas Gāze''</t>
  </si>
  <si>
    <t>30.jūnijs</t>
  </si>
  <si>
    <t>27.janvāris</t>
  </si>
  <si>
    <t>Bērnu slimnīcai</t>
  </si>
  <si>
    <t>2008.g.</t>
  </si>
  <si>
    <t>Eiropas Rekonstrukcijas</t>
  </si>
  <si>
    <t>14.decembris</t>
  </si>
  <si>
    <t>Ceļu projekts</t>
  </si>
  <si>
    <t xml:space="preserve">Latvijas </t>
  </si>
  <si>
    <t>6m-LIBOR+1%</t>
  </si>
  <si>
    <t>20.februāris</t>
  </si>
  <si>
    <t>2009.g.</t>
  </si>
  <si>
    <t>un attīstības banka</t>
  </si>
  <si>
    <t>(kopfin. ar JEIB)</t>
  </si>
  <si>
    <t>20.augusts</t>
  </si>
  <si>
    <t>Pasaules banka</t>
  </si>
  <si>
    <t>23.oktobris</t>
  </si>
  <si>
    <t>Rehabilitācijas</t>
  </si>
  <si>
    <t>15 uzņēmumi</t>
  </si>
  <si>
    <t>PB mainīgā</t>
  </si>
  <si>
    <t>15.marts</t>
  </si>
  <si>
    <t>6 gadi</t>
  </si>
  <si>
    <t>aizdevums</t>
  </si>
  <si>
    <t>+ 0.5%</t>
  </si>
  <si>
    <t>15.septembris</t>
  </si>
  <si>
    <t>Japānas Eksporta un importa</t>
  </si>
  <si>
    <t>17.novembris</t>
  </si>
  <si>
    <t>7 uzņēmumi</t>
  </si>
  <si>
    <t>Izmaksas</t>
  </si>
  <si>
    <t>banka</t>
  </si>
  <si>
    <t>JPY</t>
  </si>
  <si>
    <t>dienas likme</t>
  </si>
  <si>
    <t>17.jūlijs</t>
  </si>
  <si>
    <t>(kopfin. ar ERAB)</t>
  </si>
  <si>
    <t>Autoceļu direkcija,</t>
  </si>
  <si>
    <t>20.jūnijs</t>
  </si>
  <si>
    <t>Daugavas HES</t>
  </si>
  <si>
    <t>20.decembris</t>
  </si>
  <si>
    <t>Privatizācijas un</t>
  </si>
  <si>
    <t>9.novembris</t>
  </si>
  <si>
    <t>banku sistēmas</t>
  </si>
  <si>
    <t>6 bankas</t>
  </si>
  <si>
    <t>6 mēn. LIBOR + 0.5%</t>
  </si>
  <si>
    <t>15. janvāris</t>
  </si>
  <si>
    <t>2011.g.</t>
  </si>
  <si>
    <t>attīstībai</t>
  </si>
  <si>
    <t>15.jūlijs</t>
  </si>
  <si>
    <t>15.jūlijā</t>
  </si>
  <si>
    <t>16.februāris</t>
  </si>
  <si>
    <t>Lauksaimniecība</t>
  </si>
  <si>
    <t>4 uzņēmumi</t>
  </si>
  <si>
    <t>PB mainīgā+0.5%</t>
  </si>
  <si>
    <t>1.marts</t>
  </si>
  <si>
    <t>1.septembris</t>
  </si>
  <si>
    <t>7 bankas</t>
  </si>
  <si>
    <t>PB mainīgā + 0.5%</t>
  </si>
  <si>
    <t>1.jūnijs</t>
  </si>
  <si>
    <t>Pasaules Banka</t>
  </si>
  <si>
    <t>Strukturālā</t>
  </si>
  <si>
    <t>LR valdība</t>
  </si>
  <si>
    <t>PB fiksētā likme</t>
  </si>
  <si>
    <t>15.aprīlis,</t>
  </si>
  <si>
    <t>2012.g.</t>
  </si>
  <si>
    <t>reforma</t>
  </si>
  <si>
    <t>Latvijas autoceļu</t>
  </si>
  <si>
    <t>direkcija</t>
  </si>
  <si>
    <t>18.septembris</t>
  </si>
  <si>
    <t>Siltumapgādes</t>
  </si>
  <si>
    <t>Jelgavas</t>
  </si>
  <si>
    <t>1.maijs</t>
  </si>
  <si>
    <t>sistēmu</t>
  </si>
  <si>
    <t>pilsēta</t>
  </si>
  <si>
    <t>1.novembris</t>
  </si>
  <si>
    <t>SIA ''Liepājas ūdens'',</t>
  </si>
  <si>
    <t>9.janvāris</t>
  </si>
  <si>
    <t xml:space="preserve">Vides </t>
  </si>
  <si>
    <t>Rucavas pagasta</t>
  </si>
  <si>
    <t>15.februāris</t>
  </si>
  <si>
    <t>aizsardzībai</t>
  </si>
  <si>
    <t>padome</t>
  </si>
  <si>
    <t>15.augusts</t>
  </si>
  <si>
    <t>15.augustā</t>
  </si>
  <si>
    <t>Labklājības ministrija,</t>
  </si>
  <si>
    <t>VSAA,</t>
  </si>
  <si>
    <t>6 mēn. EUR LIBOR +</t>
  </si>
  <si>
    <t>15. maijs</t>
  </si>
  <si>
    <t>reformas projekts</t>
  </si>
  <si>
    <t>Kandavas pašvaldība</t>
  </si>
  <si>
    <t>0.75%;</t>
  </si>
  <si>
    <t>15. novembris</t>
  </si>
  <si>
    <t>15.novembris</t>
  </si>
  <si>
    <t xml:space="preserve"> izmaksai fiksētā</t>
  </si>
  <si>
    <t>Pašvaldības,</t>
  </si>
  <si>
    <t>26.janvāris</t>
  </si>
  <si>
    <t>Municipālo</t>
  </si>
  <si>
    <t>pašvaldību</t>
  </si>
  <si>
    <t>pakalpojumu projekts</t>
  </si>
  <si>
    <t>uzņēmumi,</t>
  </si>
  <si>
    <t>PKF</t>
  </si>
  <si>
    <t>Valsts obligātās</t>
  </si>
  <si>
    <t>25.novembris</t>
  </si>
  <si>
    <t>Veselības reformas</t>
  </si>
  <si>
    <t>veselības</t>
  </si>
  <si>
    <t>2014.gada</t>
  </si>
  <si>
    <t>projekts</t>
  </si>
  <si>
    <t>apdrošināšanas</t>
  </si>
  <si>
    <t>aģentūra</t>
  </si>
  <si>
    <t>2. maijs</t>
  </si>
  <si>
    <t>Ceļu attīstības</t>
  </si>
  <si>
    <t>6 mēn. LIBOR +</t>
  </si>
  <si>
    <t>15. marts</t>
  </si>
  <si>
    <t>2014. g.</t>
  </si>
  <si>
    <t>PB 0.5%</t>
  </si>
  <si>
    <t>15. septembris</t>
  </si>
  <si>
    <t>Izglītības kvalitātes</t>
  </si>
  <si>
    <t>19.augusts</t>
  </si>
  <si>
    <t>Izglītības reformu</t>
  </si>
  <si>
    <t>reforma un izmaksu</t>
  </si>
  <si>
    <t>efektivitātes</t>
  </si>
  <si>
    <t>palienināšana skolās</t>
  </si>
  <si>
    <t>13.janvāris</t>
  </si>
  <si>
    <t>VID modernizācijas</t>
  </si>
  <si>
    <t>Valsts</t>
  </si>
  <si>
    <t>Fiksētā</t>
  </si>
  <si>
    <t>15.maijs</t>
  </si>
  <si>
    <t>ieņēmumu</t>
  </si>
  <si>
    <t>dienests</t>
  </si>
  <si>
    <t>Atkritumu izgāztuves</t>
  </si>
  <si>
    <t>30.aprīlis</t>
  </si>
  <si>
    <t>modernizācija un</t>
  </si>
  <si>
    <t>Rīgas Dome</t>
  </si>
  <si>
    <t>2015.gada</t>
  </si>
  <si>
    <t>atkritumu saimniecība</t>
  </si>
  <si>
    <t>(SIA Getliņi Eko)</t>
  </si>
  <si>
    <t>9.septembris</t>
  </si>
  <si>
    <t>Lauku attīstības</t>
  </si>
  <si>
    <t>uzņēmumi</t>
  </si>
  <si>
    <t>Programmātiskā</t>
  </si>
  <si>
    <t>Valdības politikas</t>
  </si>
  <si>
    <t>17.martā</t>
  </si>
  <si>
    <t>strukturālo pārkārtojumu</t>
  </si>
  <si>
    <t>reformas uzdevumu</t>
  </si>
  <si>
    <t>6 mēn. LIBOR</t>
  </si>
  <si>
    <t>15.janvāris</t>
  </si>
  <si>
    <t>2017.gada</t>
  </si>
  <si>
    <t>2000.g.</t>
  </si>
  <si>
    <t>projekta</t>
  </si>
  <si>
    <t>izpildes</t>
  </si>
  <si>
    <t>nodrošināšanai</t>
  </si>
  <si>
    <t>Liepājas reģiona</t>
  </si>
  <si>
    <t>19.decembrī</t>
  </si>
  <si>
    <t>sadzīves atkritumu</t>
  </si>
  <si>
    <t>apsaimniekošanas</t>
  </si>
  <si>
    <t>projekta īstenošana</t>
  </si>
  <si>
    <t>Latvijas pašvaldību</t>
  </si>
  <si>
    <t>Vides un</t>
  </si>
  <si>
    <t>Eiropas Investīciju banka</t>
  </si>
  <si>
    <t>un vides</t>
  </si>
  <si>
    <t>infrastruktūras</t>
  </si>
  <si>
    <t>2019.gada</t>
  </si>
  <si>
    <t>projektu</t>
  </si>
  <si>
    <t>realizācija</t>
  </si>
  <si>
    <t>Pēc līgumu</t>
  </si>
  <si>
    <t>Peldošā</t>
  </si>
  <si>
    <t>Nordic Investment</t>
  </si>
  <si>
    <t>Ekoloģijas</t>
  </si>
  <si>
    <t>noslēgšanas</t>
  </si>
  <si>
    <t>vai fiksētā</t>
  </si>
  <si>
    <t xml:space="preserve">tiks slēgti 
</t>
  </si>
  <si>
    <t>10 gadi</t>
  </si>
  <si>
    <t>2022.g.</t>
  </si>
  <si>
    <t>Bank</t>
  </si>
  <si>
    <t>paredzēts</t>
  </si>
  <si>
    <t>pēc papildus</t>
  </si>
  <si>
    <t>papildus līgumi</t>
  </si>
  <si>
    <t>tālākaizdošanai</t>
  </si>
  <si>
    <t>vienošanās</t>
  </si>
  <si>
    <t xml:space="preserve">   Commodity Credit</t>
  </si>
  <si>
    <t>9.jūnijs</t>
  </si>
  <si>
    <t xml:space="preserve">Graudu </t>
  </si>
  <si>
    <t>2% - pirmos 7 g.</t>
  </si>
  <si>
    <t>24.novembrī</t>
  </si>
  <si>
    <t>7 gadi</t>
  </si>
  <si>
    <t xml:space="preserve">    Corporation  (ASV)</t>
  </si>
  <si>
    <t>imports</t>
  </si>
  <si>
    <t>3% - pārējo laiku</t>
  </si>
  <si>
    <t>24.novembris</t>
  </si>
  <si>
    <t>Pielikums Nr. 12</t>
  </si>
  <si>
    <t>Valsts izsniegto galvojumu saraksts uz 2000. gada 31. decembri</t>
  </si>
  <si>
    <t>Ventspils Apvienotā</t>
  </si>
  <si>
    <t>17.decembris</t>
  </si>
  <si>
    <t>Transporta</t>
  </si>
  <si>
    <t>Ventspils ostas</t>
  </si>
  <si>
    <t>9.8%</t>
  </si>
  <si>
    <t>katru</t>
  </si>
  <si>
    <t>Baltijas Banka</t>
  </si>
  <si>
    <t>administrācija</t>
  </si>
  <si>
    <t>mēnesi</t>
  </si>
  <si>
    <t>Lidostas "Rīga"</t>
  </si>
  <si>
    <t>Eiropas investīciju</t>
  </si>
  <si>
    <t>20.maijs</t>
  </si>
  <si>
    <t>pasažieru</t>
  </si>
  <si>
    <t>VAS</t>
  </si>
  <si>
    <t>EIB noteiktā</t>
  </si>
  <si>
    <t>15.jūnijs</t>
  </si>
  <si>
    <t>5-8</t>
  </si>
  <si>
    <t>2002.g.</t>
  </si>
  <si>
    <t>termināla</t>
  </si>
  <si>
    <t>"Starptautiskā</t>
  </si>
  <si>
    <t>fiksētā vai</t>
  </si>
  <si>
    <t>15.decembris</t>
  </si>
  <si>
    <t>gadi</t>
  </si>
  <si>
    <t>31.aprīlis</t>
  </si>
  <si>
    <t>lidosta "Rīga""</t>
  </si>
  <si>
    <t>Rīgas ostas</t>
  </si>
  <si>
    <t>A/S ''Latvijas Unibanka''</t>
  </si>
  <si>
    <t xml:space="preserve">piestātņu </t>
  </si>
  <si>
    <t>USD 3 mēn.</t>
  </si>
  <si>
    <t>31.janvāris</t>
  </si>
  <si>
    <t>2.5</t>
  </si>
  <si>
    <t>LIBOR + 3.5%</t>
  </si>
  <si>
    <t>31.jūlijs</t>
  </si>
  <si>
    <t>A/S ''Rīgas komercbanka''</t>
  </si>
  <si>
    <t>18.jūlijs</t>
  </si>
  <si>
    <t>Ekonomiskā</t>
  </si>
  <si>
    <t>Liepājas speciālās</t>
  </si>
  <si>
    <t>7.3%  - 10%</t>
  </si>
  <si>
    <t>ekonomiskās</t>
  </si>
  <si>
    <t>LVL</t>
  </si>
  <si>
    <t>1.augusts</t>
  </si>
  <si>
    <t>zonas pārvalde</t>
  </si>
  <si>
    <t>Banque Indosuez</t>
  </si>
  <si>
    <t>PVAS ''Latvenergo''</t>
  </si>
  <si>
    <t>7.88%</t>
  </si>
  <si>
    <t>Stockholm Branch</t>
  </si>
  <si>
    <t>(Sweden Export Credit)</t>
  </si>
  <si>
    <t>SEBR</t>
  </si>
  <si>
    <t>2</t>
  </si>
  <si>
    <t>(Šveice)</t>
  </si>
  <si>
    <t>gads</t>
  </si>
  <si>
    <t>A/S ''Pareks Banka''</t>
  </si>
  <si>
    <t>13.augusts</t>
  </si>
  <si>
    <t>Kuģu satiksmes</t>
  </si>
  <si>
    <t>Latvijas Jūras</t>
  </si>
  <si>
    <t>7.18%</t>
  </si>
  <si>
    <t>10.janvāris</t>
  </si>
  <si>
    <t>1997.g,.</t>
  </si>
  <si>
    <t>vadības sistēmas</t>
  </si>
  <si>
    <t>10.jūlijs</t>
  </si>
  <si>
    <t>ieviešana</t>
  </si>
  <si>
    <t>A/S ''Ventspils Apvienotā</t>
  </si>
  <si>
    <t>18.jūnijs</t>
  </si>
  <si>
    <t>Ventspils brīvostas</t>
  </si>
  <si>
    <t>Ventspils Brīvostas</t>
  </si>
  <si>
    <t>Baltijas banka''</t>
  </si>
  <si>
    <t>30.decembris</t>
  </si>
  <si>
    <t>Deutsche Investitions und</t>
  </si>
  <si>
    <t>4.augusts</t>
  </si>
  <si>
    <t xml:space="preserve">Investīciju </t>
  </si>
  <si>
    <t>LIBOR + 3%</t>
  </si>
  <si>
    <t>Entwicklungsgesellscaft GmbH</t>
  </si>
  <si>
    <t>programma</t>
  </si>
  <si>
    <t>Investīciju banka</t>
  </si>
  <si>
    <t>(DEG)</t>
  </si>
  <si>
    <t>Eiropas investīcijas</t>
  </si>
  <si>
    <t>Ekonomiskā projekta</t>
  </si>
  <si>
    <t>20.aprīlis</t>
  </si>
  <si>
    <t>fiksētā</t>
  </si>
  <si>
    <t>9.decembris</t>
  </si>
  <si>
    <t>Ostas rekonstrukcija</t>
  </si>
  <si>
    <t>VAS ''Rīgas</t>
  </si>
  <si>
    <t>USD 6 mēn.</t>
  </si>
  <si>
    <t>10.aprīlis</t>
  </si>
  <si>
    <t>un modernizācija</t>
  </si>
  <si>
    <t>tirdzniecības osta''</t>
  </si>
  <si>
    <t>LIBOR + 1.38%</t>
  </si>
  <si>
    <t>10.oktobris</t>
  </si>
  <si>
    <t>Eiropas rekonstrukcijas</t>
  </si>
  <si>
    <t>8.oktobris</t>
  </si>
  <si>
    <t>Lidostas</t>
  </si>
  <si>
    <t>Rīgas</t>
  </si>
  <si>
    <t>USD 6 men.</t>
  </si>
  <si>
    <t>starptautiskā</t>
  </si>
  <si>
    <t>LIBOR+1%</t>
  </si>
  <si>
    <t>lidosta</t>
  </si>
  <si>
    <t>3.februāris</t>
  </si>
  <si>
    <t>19.maijs</t>
  </si>
  <si>
    <t>Mērsraga</t>
  </si>
  <si>
    <t>3 mēnešu</t>
  </si>
  <si>
    <t>3.maijs</t>
  </si>
  <si>
    <t>ostas pārvalde</t>
  </si>
  <si>
    <t>LIBOR + 2%</t>
  </si>
  <si>
    <t>3.augusts</t>
  </si>
  <si>
    <t>3.novembris</t>
  </si>
  <si>
    <t>A/S ''Vereinsbank Rīga''</t>
  </si>
  <si>
    <t>21.decembris</t>
  </si>
  <si>
    <t xml:space="preserve">Liepājas ostas kuģu </t>
  </si>
  <si>
    <t xml:space="preserve">ceļu un akvatorijas </t>
  </si>
  <si>
    <t>LIBOR + 2.5%</t>
  </si>
  <si>
    <t>padziļināšanas projekts</t>
  </si>
  <si>
    <t>A/S "Pirmā Latvijas</t>
  </si>
  <si>
    <t>22.decembris</t>
  </si>
  <si>
    <t xml:space="preserve">3 mēnešu </t>
  </si>
  <si>
    <t>mēneša</t>
  </si>
  <si>
    <t>komercbanka"</t>
  </si>
  <si>
    <t>pēdējā</t>
  </si>
  <si>
    <t>darba diena</t>
  </si>
  <si>
    <t xml:space="preserve">Rīgas </t>
  </si>
  <si>
    <t>Tirdzniecības ostas</t>
  </si>
  <si>
    <t>VA/S ''Rīgas</t>
  </si>
  <si>
    <t>rekonstrukcijai un</t>
  </si>
  <si>
    <t>Tirdzniecības osta''</t>
  </si>
  <si>
    <t>Mainīgā likme</t>
  </si>
  <si>
    <t>LIBOR</t>
  </si>
  <si>
    <t>6.03%</t>
  </si>
  <si>
    <t>19.janvāris</t>
  </si>
  <si>
    <t>3</t>
  </si>
  <si>
    <t>2010.g.</t>
  </si>
  <si>
    <t>Salacgrīvas ostas</t>
  </si>
  <si>
    <t>Salacgrīvas</t>
  </si>
  <si>
    <t xml:space="preserve">6 mēnešu </t>
  </si>
  <si>
    <t>ceturkšņa</t>
  </si>
  <si>
    <t>1</t>
  </si>
  <si>
    <t>ostas</t>
  </si>
  <si>
    <t>3.decembris</t>
  </si>
  <si>
    <t>darbadiena</t>
  </si>
  <si>
    <t>pēc aizdevēja</t>
  </si>
  <si>
    <t xml:space="preserve">Kreditinstalt </t>
  </si>
  <si>
    <t>18.decembris</t>
  </si>
  <si>
    <t>Mazo un vidējo</t>
  </si>
  <si>
    <t>VA/S "Latvijas</t>
  </si>
  <si>
    <t>izvēles fiksētā</t>
  </si>
  <si>
    <t>10</t>
  </si>
  <si>
    <t>fur Wiederaufbau</t>
  </si>
  <si>
    <t>uzņēmumu</t>
  </si>
  <si>
    <t>hipotēku banka"</t>
  </si>
  <si>
    <t>vai mainīgā</t>
  </si>
  <si>
    <t>kreditēšana</t>
  </si>
  <si>
    <t>EIRIBOR+1%</t>
  </si>
  <si>
    <t>Elektrovilcienu</t>
  </si>
  <si>
    <t>vagonu kapitālais</t>
  </si>
  <si>
    <t>A/S ''Latvijas</t>
  </si>
  <si>
    <t>remonts un</t>
  </si>
  <si>
    <t>Dzelzceļš''</t>
  </si>
  <si>
    <t>UNIBOR+0.5%</t>
  </si>
  <si>
    <t>modernizācija</t>
  </si>
  <si>
    <t>6.augusts</t>
  </si>
  <si>
    <t>Ūdensapgādes</t>
  </si>
  <si>
    <t xml:space="preserve">LIBOR+1% </t>
  </si>
  <si>
    <t>5.februāris</t>
  </si>
  <si>
    <t>uzlabošana</t>
  </si>
  <si>
    <t>Dome</t>
  </si>
  <si>
    <t>5.augusts</t>
  </si>
  <si>
    <t>24.jūlijs</t>
  </si>
  <si>
    <t>31.maijs</t>
  </si>
  <si>
    <t>30.novembris</t>
  </si>
  <si>
    <t>Eiropas Rekonstrukcijas un</t>
  </si>
  <si>
    <t>Ventspils Dzelzceļa</t>
  </si>
  <si>
    <t>LIBOR + 1%</t>
  </si>
  <si>
    <t>21.marts</t>
  </si>
  <si>
    <t>2013.g.</t>
  </si>
  <si>
    <t>attīstības banka</t>
  </si>
  <si>
    <t>mezglu būvniecība</t>
  </si>
  <si>
    <t>21.septembris</t>
  </si>
  <si>
    <t>4</t>
  </si>
  <si>
    <t>14.oktobris</t>
  </si>
  <si>
    <t>Eiropas</t>
  </si>
  <si>
    <t>Peldošā likme</t>
  </si>
  <si>
    <t>2016.g.</t>
  </si>
  <si>
    <t>investīciju banka</t>
  </si>
  <si>
    <t>29.oktobris</t>
  </si>
  <si>
    <t>Rīgas Juridiskās</t>
  </si>
  <si>
    <t>BO SIA</t>
  </si>
  <si>
    <t>Ziemeļu investīciju</t>
  </si>
  <si>
    <t xml:space="preserve">augstskolas </t>
  </si>
  <si>
    <t>6 mēn. EURIBOR</t>
  </si>
  <si>
    <t>26.maijs</t>
  </si>
  <si>
    <t>5</t>
  </si>
  <si>
    <t>ēkas</t>
  </si>
  <si>
    <t>Juridiskā</t>
  </si>
  <si>
    <t>26.novembris</t>
  </si>
  <si>
    <t>augstskola</t>
  </si>
  <si>
    <t>Eiropas Investīcijas banka</t>
  </si>
  <si>
    <t>Dzelzceļa sliežu</t>
  </si>
  <si>
    <t>Fiksēta EIB likme,</t>
  </si>
  <si>
    <t>2018.g.</t>
  </si>
  <si>
    <t>ceļu rekonstrukcija</t>
  </si>
  <si>
    <t>ko nosaka aizdevuma</t>
  </si>
  <si>
    <t>31.oktobris</t>
  </si>
  <si>
    <t>izmaksas brīdī</t>
  </si>
  <si>
    <t>Pielikums Nr. 8</t>
  </si>
  <si>
    <t>Pārskats par valsts saņemto aizdevumu galalietotājiem 2000. gadā</t>
  </si>
  <si>
    <t>(tūkst.latu)</t>
  </si>
  <si>
    <t>Nr.
p.k.</t>
  </si>
  <si>
    <t>Aizdevuma
devējs</t>
  </si>
  <si>
    <t>Aizdevuma
mērķis</t>
  </si>
  <si>
    <t>Aizdevuma
galalietotājs</t>
  </si>
  <si>
    <t>Aizdevuma
piešķiršanas
datums,
līguma
beigu
datums</t>
  </si>
  <si>
    <t>Aizdevuma
% likme
gadā
(galalie-
totājam)</t>
  </si>
  <si>
    <t>Parāda
atlikums
31.12.99</t>
  </si>
  <si>
    <t>Izmaksātās
summas
1.cet.</t>
  </si>
  <si>
    <t>Izmaksātās
summas
2.cet.</t>
  </si>
  <si>
    <t>Izmaksātās
summas
3.cet.</t>
  </si>
  <si>
    <t>Izmaksātās
summas
4.cet.</t>
  </si>
  <si>
    <t>Atmaksātās
summas
1.cet.</t>
  </si>
  <si>
    <t>Atmaksātās
summas
2.cet.</t>
  </si>
  <si>
    <t>Atmaksātās
summas
3.cet.</t>
  </si>
  <si>
    <t>Atmaksātās
summas
4.cet.</t>
  </si>
  <si>
    <t>Parāda 
atlikums
31.12.00</t>
  </si>
  <si>
    <t>Japānas Eksporta -</t>
  </si>
  <si>
    <t>Enerģētikai</t>
  </si>
  <si>
    <t>28.03.94</t>
  </si>
  <si>
    <t>importa banka</t>
  </si>
  <si>
    <r>
      <t xml:space="preserve">Latvijas gāze, PVAS </t>
    </r>
    <r>
      <rPr>
        <vertAlign val="superscript"/>
        <sz val="8"/>
        <rFont val="Arial"/>
        <family val="2"/>
      </rPr>
      <t>1</t>
    </r>
  </si>
  <si>
    <t>05.09.09</t>
  </si>
  <si>
    <t>Kokapstrādei</t>
  </si>
  <si>
    <t>15.03.95</t>
  </si>
  <si>
    <t>Ozols, SIA</t>
  </si>
  <si>
    <t>05.09.00</t>
  </si>
  <si>
    <t>Uno-Lat, SIA</t>
  </si>
  <si>
    <t>05.09.05</t>
  </si>
  <si>
    <t>Fuga, SIA</t>
  </si>
  <si>
    <t>MANS LL, SIA</t>
  </si>
  <si>
    <t>05.09.02</t>
  </si>
  <si>
    <t>Ozolzeme, SIA</t>
  </si>
  <si>
    <t>05.03.01</t>
  </si>
  <si>
    <t>Transports</t>
  </si>
  <si>
    <t>28.09.95</t>
  </si>
  <si>
    <t>izm.d.likme</t>
  </si>
  <si>
    <t>Latv.autoceļu direkc.</t>
  </si>
  <si>
    <t>10.08.09</t>
  </si>
  <si>
    <t>12.09.96</t>
  </si>
  <si>
    <t>Latvenergo, PVAS</t>
  </si>
  <si>
    <t>20.12.09</t>
  </si>
  <si>
    <t>14.11.95</t>
  </si>
  <si>
    <t>Satiksmes ministrija</t>
  </si>
  <si>
    <t>30.09.06</t>
  </si>
  <si>
    <t>07.11.95</t>
  </si>
  <si>
    <t>Rīgas gāze</t>
  </si>
  <si>
    <t>30.06.06</t>
  </si>
  <si>
    <t>Komunālā saimn.</t>
  </si>
  <si>
    <t>28.11.95</t>
  </si>
  <si>
    <t>Līgatnes pils.dome</t>
  </si>
  <si>
    <t>19.07.96</t>
  </si>
  <si>
    <t>Bauskas pils.dome</t>
  </si>
  <si>
    <t>10.07.96</t>
  </si>
  <si>
    <t>Gulbenes pils.dome</t>
  </si>
  <si>
    <t>31.03.07</t>
  </si>
  <si>
    <t>11.07.96</t>
  </si>
  <si>
    <t>Kokneses pag.pad.</t>
  </si>
  <si>
    <t>08.08.96</t>
  </si>
  <si>
    <t>Kuldīgas pils.dome</t>
  </si>
  <si>
    <t>Ogres pils.padome</t>
  </si>
  <si>
    <t>29.07.96</t>
  </si>
  <si>
    <t>Rūjienas pils.dome</t>
  </si>
  <si>
    <t>Saldus pils.dome</t>
  </si>
  <si>
    <t>Valkas pils.dome</t>
  </si>
  <si>
    <t>Valmieras raj.padome</t>
  </si>
  <si>
    <t>27.01.97</t>
  </si>
  <si>
    <r>
      <t xml:space="preserve">Bērnu slimnīca </t>
    </r>
    <r>
      <rPr>
        <vertAlign val="superscript"/>
        <sz val="8"/>
        <rFont val="Arial"/>
        <family val="2"/>
      </rPr>
      <t>2</t>
    </r>
  </si>
  <si>
    <t>31.03.08</t>
  </si>
  <si>
    <t>Aktieselskab</t>
  </si>
  <si>
    <t>31.03.06</t>
  </si>
  <si>
    <t>01.10.96</t>
  </si>
  <si>
    <t>Cēsu Siltumt.uzņ.</t>
  </si>
  <si>
    <t>01.06.05</t>
  </si>
  <si>
    <t>Veselības</t>
  </si>
  <si>
    <t>06.01.97</t>
  </si>
  <si>
    <t>aizsardzība</t>
  </si>
  <si>
    <t>Labklājības min.</t>
  </si>
  <si>
    <t>26.04.01</t>
  </si>
  <si>
    <t>Stabilizācijai</t>
  </si>
  <si>
    <t>21.11.97</t>
  </si>
  <si>
    <t>Latvijas Nac.opera</t>
  </si>
  <si>
    <t>04.12.03</t>
  </si>
  <si>
    <t>04.04.94</t>
  </si>
  <si>
    <t>Vale &amp; Co, SIA</t>
  </si>
  <si>
    <t>06.04.97</t>
  </si>
  <si>
    <t>12.04.94</t>
  </si>
  <si>
    <t>Liplat, SIA</t>
  </si>
  <si>
    <t>01.02.95</t>
  </si>
  <si>
    <t>Satio, SPA</t>
  </si>
  <si>
    <t>04.04.99</t>
  </si>
  <si>
    <t>Rumba, SIA</t>
  </si>
  <si>
    <t>Nagļi, ZS</t>
  </si>
  <si>
    <t>04.04.97</t>
  </si>
  <si>
    <t>Balt River, SIA</t>
  </si>
  <si>
    <t>Man-tess, SIA</t>
  </si>
  <si>
    <t>12.10.98</t>
  </si>
  <si>
    <t>15.04.94</t>
  </si>
  <si>
    <t>SWH Riga, AS</t>
  </si>
  <si>
    <t>12.04.98</t>
  </si>
  <si>
    <t>RAF, AS</t>
  </si>
  <si>
    <t>12.04.99</t>
  </si>
  <si>
    <t>Dzirnavnieks, ZS</t>
  </si>
  <si>
    <t>Daims, SIA</t>
  </si>
  <si>
    <t>9.33%-</t>
  </si>
  <si>
    <t>Trans-Liepaja, SIA</t>
  </si>
  <si>
    <t>01.12.03</t>
  </si>
  <si>
    <t>08.04.94</t>
  </si>
  <si>
    <t>Master Riga Coop.,AS</t>
  </si>
  <si>
    <t>08.04.99</t>
  </si>
  <si>
    <t>Zilmeži, ZS</t>
  </si>
  <si>
    <t>11.04.94</t>
  </si>
  <si>
    <t>Tunelis, SIA</t>
  </si>
  <si>
    <t>01.04.99</t>
  </si>
  <si>
    <t>Okte, KS</t>
  </si>
  <si>
    <t>18.07.97</t>
  </si>
  <si>
    <t>Kalēji, ZS</t>
  </si>
  <si>
    <t>Ozols, KKS</t>
  </si>
  <si>
    <t>Ekonomikas ministrija</t>
  </si>
  <si>
    <t>07.12.95</t>
  </si>
  <si>
    <t>9.33%+</t>
  </si>
  <si>
    <t>Naujienes pag.pad.</t>
  </si>
  <si>
    <t>01.11.02</t>
  </si>
  <si>
    <t>15.11.94</t>
  </si>
  <si>
    <t>Orion, SIA</t>
  </si>
  <si>
    <t>15.11.99</t>
  </si>
  <si>
    <t>Antaris, SIA</t>
  </si>
  <si>
    <t>Dilar, AS</t>
  </si>
  <si>
    <t>Daugavpils piens, AS</t>
  </si>
  <si>
    <t>Magistr-International</t>
  </si>
  <si>
    <t>Raipole, ZS</t>
  </si>
  <si>
    <t>26.02.97</t>
  </si>
  <si>
    <t>3 mēn.</t>
  </si>
  <si>
    <t>Satiksmes birojs</t>
  </si>
  <si>
    <t>04.06.04</t>
  </si>
  <si>
    <t xml:space="preserve">Finish Export </t>
  </si>
  <si>
    <t>Lauksaimniecībai</t>
  </si>
  <si>
    <t>26.06.92</t>
  </si>
  <si>
    <t>LIBOR+</t>
  </si>
  <si>
    <t>Credit, LTD</t>
  </si>
  <si>
    <t>Lata International, SIA</t>
  </si>
  <si>
    <t>10.12.04</t>
  </si>
  <si>
    <t>Maksāj. bilances</t>
  </si>
  <si>
    <t>20.01.94</t>
  </si>
  <si>
    <t>Zemnieks, SIA</t>
  </si>
  <si>
    <t>20.01.97</t>
  </si>
  <si>
    <t>Rekos, AS</t>
  </si>
  <si>
    <t>Lauksaimnieks, SIA</t>
  </si>
  <si>
    <t>Aldona, SIA</t>
  </si>
  <si>
    <t>21.01.94</t>
  </si>
  <si>
    <t>Vest, SIA</t>
  </si>
  <si>
    <t>21.01.97</t>
  </si>
  <si>
    <t>Rīta zvaigzne, LKF SIA</t>
  </si>
  <si>
    <t>Derma-Pharm-Riga, SIA</t>
  </si>
  <si>
    <t>26.01.94</t>
  </si>
  <si>
    <t>AU-Met, IU</t>
  </si>
  <si>
    <t>26.01.97</t>
  </si>
  <si>
    <t>19.01.94</t>
  </si>
  <si>
    <t>Mačas, ZS</t>
  </si>
  <si>
    <t>19.01.97</t>
  </si>
  <si>
    <t>H-G, SIA</t>
  </si>
  <si>
    <t>14.02.97</t>
  </si>
  <si>
    <r>
      <t xml:space="preserve">Iekšlietu ministrija </t>
    </r>
    <r>
      <rPr>
        <vertAlign val="superscript"/>
        <sz val="8"/>
        <rFont val="Arial"/>
        <family val="2"/>
      </rPr>
      <t>3</t>
    </r>
  </si>
  <si>
    <t>17.07.04</t>
  </si>
  <si>
    <t>11.10.94</t>
  </si>
  <si>
    <t>SEBR+</t>
  </si>
  <si>
    <t>First Boston</t>
  </si>
  <si>
    <t>12.03.02</t>
  </si>
  <si>
    <t>bank. uzc.</t>
  </si>
  <si>
    <t>Credit Suisse F.B.</t>
  </si>
  <si>
    <t>19.08.99</t>
  </si>
  <si>
    <t>6.25%+</t>
  </si>
  <si>
    <t>(Eiroobligācijas)</t>
  </si>
  <si>
    <t>Valsts obl.ves.apdroš.aģ.</t>
  </si>
  <si>
    <t>04.05.04</t>
  </si>
  <si>
    <t xml:space="preserve">AB Svensk </t>
  </si>
  <si>
    <t>13.10.95</t>
  </si>
  <si>
    <t>Exportcredit</t>
  </si>
  <si>
    <t>01.03.00</t>
  </si>
  <si>
    <t>12.12.95</t>
  </si>
  <si>
    <t>Latv. Nacion. opera</t>
  </si>
  <si>
    <t>10.09.00</t>
  </si>
  <si>
    <t>22.11.93</t>
  </si>
  <si>
    <t>Taurenes koks, SIA</t>
  </si>
  <si>
    <t>27.12.96</t>
  </si>
  <si>
    <t>01.11.93</t>
  </si>
  <si>
    <t>RBS-TV, AS</t>
  </si>
  <si>
    <t>01.11.96</t>
  </si>
  <si>
    <t>Mita, AS</t>
  </si>
  <si>
    <t>Klētnieks, SIA</t>
  </si>
  <si>
    <t>Galor, SIA</t>
  </si>
  <si>
    <t>Colla, SIA</t>
  </si>
  <si>
    <t>12.11.93</t>
  </si>
  <si>
    <t>12.11.96</t>
  </si>
  <si>
    <t>Latlin, SIA</t>
  </si>
  <si>
    <t>12.11.97</t>
  </si>
  <si>
    <t>Latinkom, SIA</t>
  </si>
  <si>
    <t>02.02.94</t>
  </si>
  <si>
    <t>Latgales apini, SIA</t>
  </si>
  <si>
    <t>02.02.97</t>
  </si>
  <si>
    <t>Inverta Holding, AS</t>
  </si>
  <si>
    <t>Housebuilding, SIA</t>
  </si>
  <si>
    <t>02.11.93</t>
  </si>
  <si>
    <t>02.11.96</t>
  </si>
  <si>
    <t>23.09.93</t>
  </si>
  <si>
    <t>Faber, SIA</t>
  </si>
  <si>
    <t>20.09.96</t>
  </si>
  <si>
    <t>Zviedru Industr. un</t>
  </si>
  <si>
    <t>15.10.97</t>
  </si>
  <si>
    <t>Tehn.att.aģent.</t>
  </si>
  <si>
    <t>Liepas pag.padome</t>
  </si>
  <si>
    <t>STIBOR</t>
  </si>
  <si>
    <t>30.03.98</t>
  </si>
  <si>
    <t>6 mēn.</t>
  </si>
  <si>
    <t>Talsu pils.Dome</t>
  </si>
  <si>
    <t>30.09.03</t>
  </si>
  <si>
    <t>Ziemeļvalstu</t>
  </si>
  <si>
    <t>20.07.00</t>
  </si>
  <si>
    <t>6m.LIBOR</t>
  </si>
  <si>
    <t>Grobiņas pilsētas dome</t>
  </si>
  <si>
    <t>04.07.24</t>
  </si>
  <si>
    <t>26.07.00</t>
  </si>
  <si>
    <t>Babītes pagasta padome</t>
  </si>
  <si>
    <t>04.01.10</t>
  </si>
  <si>
    <t>Ropažu pagasta padome</t>
  </si>
  <si>
    <t>04.01.22</t>
  </si>
  <si>
    <t>Suntažu pagasta padome</t>
  </si>
  <si>
    <t>04.01.20</t>
  </si>
  <si>
    <t>Vides</t>
  </si>
  <si>
    <t>28.07.00</t>
  </si>
  <si>
    <t>Ilūkstes pilsētas dome</t>
  </si>
  <si>
    <t>04.01.15</t>
  </si>
  <si>
    <t>21.08.00</t>
  </si>
  <si>
    <t>Lizuma pagasta padome</t>
  </si>
  <si>
    <t>04.01.14</t>
  </si>
  <si>
    <t>Eiropas Ek. kopiena</t>
  </si>
  <si>
    <t>25.06.96</t>
  </si>
  <si>
    <t>01.09.99</t>
  </si>
  <si>
    <t>26.05.95</t>
  </si>
  <si>
    <t>07.04.95</t>
  </si>
  <si>
    <t>Saldus piens, KS</t>
  </si>
  <si>
    <t>16.04.97</t>
  </si>
  <si>
    <t>Jēkabpils piena komb.</t>
  </si>
  <si>
    <t>17.04.97</t>
  </si>
  <si>
    <t>07.04.96</t>
  </si>
  <si>
    <t>Jēkabpils gaļas komb.</t>
  </si>
  <si>
    <t>16.04.98</t>
  </si>
  <si>
    <t>Balga, SIA</t>
  </si>
  <si>
    <t>Aizputes sausā vājp.pūpn</t>
  </si>
  <si>
    <t>30.07.99</t>
  </si>
  <si>
    <t>Liepājas gaļas komb.</t>
  </si>
  <si>
    <t>04.10.93</t>
  </si>
  <si>
    <t>Merita-Nordbanken Latvia</t>
  </si>
  <si>
    <t>15.03.00</t>
  </si>
  <si>
    <t>04.05.93</t>
  </si>
  <si>
    <t>Kapar, SIA</t>
  </si>
  <si>
    <t>04.05.95</t>
  </si>
  <si>
    <t>13.05.93</t>
  </si>
  <si>
    <t>Ceplis, SIA</t>
  </si>
  <si>
    <t>13.05.96</t>
  </si>
  <si>
    <t>Arra, SIA</t>
  </si>
  <si>
    <t>04.05.96</t>
  </si>
  <si>
    <t>21.06.93</t>
  </si>
  <si>
    <t>21.06.96</t>
  </si>
  <si>
    <t>02.06.93</t>
  </si>
  <si>
    <t>Aleta, AS</t>
  </si>
  <si>
    <t>02.06.96</t>
  </si>
  <si>
    <t>Commodity Credit</t>
  </si>
  <si>
    <t>09.06.92</t>
  </si>
  <si>
    <t>2.00%-</t>
  </si>
  <si>
    <t>Corporation (USA)</t>
  </si>
  <si>
    <t>24.11.22</t>
  </si>
  <si>
    <t>20.10.94</t>
  </si>
  <si>
    <t>main.+</t>
  </si>
  <si>
    <t>Latagro, SIA</t>
  </si>
  <si>
    <t>05.09.03</t>
  </si>
  <si>
    <t>Pārtikas rūpn.</t>
  </si>
  <si>
    <t>28.12.93</t>
  </si>
  <si>
    <t>Latvijas cukurs, SIA</t>
  </si>
  <si>
    <t>11.11.93</t>
  </si>
  <si>
    <t>Doma, SIA</t>
  </si>
  <si>
    <t>05.03.02</t>
  </si>
  <si>
    <t>17.08.94</t>
  </si>
  <si>
    <t>Turība, LCKS</t>
  </si>
  <si>
    <t>05.09.98</t>
  </si>
  <si>
    <t>30.09.94</t>
  </si>
  <si>
    <t>Kurzemes Valsts CMAS</t>
  </si>
  <si>
    <t>27.07.93</t>
  </si>
  <si>
    <t>27.05.94</t>
  </si>
  <si>
    <t>Lauktehnika, SIA</t>
  </si>
  <si>
    <t>19.07.93</t>
  </si>
  <si>
    <t>Valsts vet. dienests</t>
  </si>
  <si>
    <t>06.06.94</t>
  </si>
  <si>
    <t>22.03.93</t>
  </si>
  <si>
    <t>Latvijas nafta, VU</t>
  </si>
  <si>
    <t>15.09.09</t>
  </si>
  <si>
    <t>Farmserviss, SIA</t>
  </si>
  <si>
    <t>24.11.94</t>
  </si>
  <si>
    <t>A/S Grindex</t>
  </si>
  <si>
    <t>05.09.07</t>
  </si>
  <si>
    <t>01.07.93</t>
  </si>
  <si>
    <t>A/S Olaines ķīm.farm.r.</t>
  </si>
  <si>
    <t>29.08.94</t>
  </si>
  <si>
    <t>Valsts Zemes dienests</t>
  </si>
  <si>
    <t>01.03.11</t>
  </si>
  <si>
    <t>main.</t>
  </si>
  <si>
    <t>30.03.94</t>
  </si>
  <si>
    <t>Hipot. un Zemes banka</t>
  </si>
  <si>
    <t>Dabas aizsardz.</t>
  </si>
  <si>
    <t>19.04.95</t>
  </si>
  <si>
    <t>SIA "Liepājas ūdens"</t>
  </si>
  <si>
    <t>05.02.12</t>
  </si>
  <si>
    <t>08.03.96</t>
  </si>
  <si>
    <t>Rucavas pag.padome</t>
  </si>
  <si>
    <t>Ekonomiskai</t>
  </si>
  <si>
    <t>12.06.96</t>
  </si>
  <si>
    <t>A/S ''Pirmā Latvijas kom."</t>
  </si>
  <si>
    <t>30.05.10</t>
  </si>
  <si>
    <t>28.03.95</t>
  </si>
  <si>
    <t>Latvijas Unibanka</t>
  </si>
  <si>
    <t>05.05.98</t>
  </si>
  <si>
    <t>Latv. Hip. un Zem. banka</t>
  </si>
  <si>
    <t>01.07.97</t>
  </si>
  <si>
    <t>Baltijas Tranzītu banka</t>
  </si>
  <si>
    <t>31.05.10</t>
  </si>
  <si>
    <t>28.12.96</t>
  </si>
  <si>
    <t>Parekss-Banka</t>
  </si>
  <si>
    <t>30.09.09</t>
  </si>
  <si>
    <t>05.04.95</t>
  </si>
  <si>
    <t>30.06.03</t>
  </si>
  <si>
    <t>31.12.04</t>
  </si>
  <si>
    <t>31.12.03</t>
  </si>
  <si>
    <t>25.11.98</t>
  </si>
  <si>
    <t>15.05.15</t>
  </si>
  <si>
    <t>11.12.98</t>
  </si>
  <si>
    <t>19.06.00</t>
  </si>
  <si>
    <t>1-2%</t>
  </si>
  <si>
    <t>05.10.95</t>
  </si>
  <si>
    <t>Jelgavas pils. dome</t>
  </si>
  <si>
    <t>01.05.12</t>
  </si>
  <si>
    <t>Mārupes pag.pad.</t>
  </si>
  <si>
    <t>01.12.06</t>
  </si>
  <si>
    <t>21.05.96</t>
  </si>
  <si>
    <t>Rīgas dome</t>
  </si>
  <si>
    <t>01.12.12</t>
  </si>
  <si>
    <t>Daugavp.''Udensvads''</t>
  </si>
  <si>
    <t>26.01.96</t>
  </si>
  <si>
    <t>Pašv.kred.fonds</t>
  </si>
  <si>
    <t>05.05.97</t>
  </si>
  <si>
    <t>Allažu pag.padome</t>
  </si>
  <si>
    <t>20.11.06</t>
  </si>
  <si>
    <t>21.05.97</t>
  </si>
  <si>
    <t>Beļavas pag.padome</t>
  </si>
  <si>
    <t>02.06.97</t>
  </si>
  <si>
    <t>Rojas pag.padome</t>
  </si>
  <si>
    <t>20.11.07</t>
  </si>
  <si>
    <t>Rundāles pag.pad.</t>
  </si>
  <si>
    <t>Valmieras pag.pad.</t>
  </si>
  <si>
    <t>Sports</t>
  </si>
  <si>
    <t>13.08.97</t>
  </si>
  <si>
    <t>Trapenes pag.pad.</t>
  </si>
  <si>
    <t>28.08.97</t>
  </si>
  <si>
    <t>Lizuma pag.padome</t>
  </si>
  <si>
    <t>22.07.97</t>
  </si>
  <si>
    <t>Lejasciema pag.padome</t>
  </si>
  <si>
    <t>31.07.97</t>
  </si>
  <si>
    <t>Dunikas pag.pad.</t>
  </si>
  <si>
    <t>Sporta zāles</t>
  </si>
  <si>
    <t>17.10.97</t>
  </si>
  <si>
    <t>celtniecība</t>
  </si>
  <si>
    <t>Ādažu pag.padome</t>
  </si>
  <si>
    <t>27.11.97</t>
  </si>
  <si>
    <t>Grobiņas pag.padome</t>
  </si>
  <si>
    <t>20.11.08</t>
  </si>
  <si>
    <t>28.01.98</t>
  </si>
  <si>
    <t>Bauskas pils. dome</t>
  </si>
  <si>
    <t>16.03.98</t>
  </si>
  <si>
    <t>Preiļu raj.padome</t>
  </si>
  <si>
    <t>28.04.98</t>
  </si>
  <si>
    <t>Mores pag.padome</t>
  </si>
  <si>
    <t>Skolas ēdnīcas</t>
  </si>
  <si>
    <t>28.04.99</t>
  </si>
  <si>
    <t>Garkalnes pagasta padome</t>
  </si>
  <si>
    <t>16.07.98</t>
  </si>
  <si>
    <t>Amatas pag. padome</t>
  </si>
  <si>
    <t>31.08.98</t>
  </si>
  <si>
    <t>Dobeles p.pašv.siltumt.uzņ.</t>
  </si>
  <si>
    <t>20.11.04</t>
  </si>
  <si>
    <t>14.07.98</t>
  </si>
  <si>
    <t>Durbes pils.dome</t>
  </si>
  <si>
    <t>21.11.08</t>
  </si>
  <si>
    <t>Maltas pag.DzKSU</t>
  </si>
  <si>
    <t>10.08.98</t>
  </si>
  <si>
    <t>Virgas pag.padome</t>
  </si>
  <si>
    <t>17.08.98</t>
  </si>
  <si>
    <t>Skaņkalnes pag.pad.</t>
  </si>
  <si>
    <t>19.08.98</t>
  </si>
  <si>
    <t>Olaines pilsētas dome</t>
  </si>
  <si>
    <t>25.08.98</t>
  </si>
  <si>
    <t>Pāvilostas pilsētas dome</t>
  </si>
  <si>
    <t>22.09.98</t>
  </si>
  <si>
    <t>Sēlpils pag.padome</t>
  </si>
  <si>
    <t>30.09.98</t>
  </si>
  <si>
    <t>Mazozolu pagasta padome</t>
  </si>
  <si>
    <t>16.07.99</t>
  </si>
  <si>
    <t>Leimaņu pagasta padome</t>
  </si>
  <si>
    <t>20.11.09</t>
  </si>
  <si>
    <t>Rūjienas pilsētas dome</t>
  </si>
  <si>
    <t>01.12.04</t>
  </si>
  <si>
    <t>Nautrēnu pagasta padome</t>
  </si>
  <si>
    <t>01.12.09</t>
  </si>
  <si>
    <t>Kokneses pagasta padome</t>
  </si>
  <si>
    <t>26.07.99</t>
  </si>
  <si>
    <t>Kūku pagasta padome</t>
  </si>
  <si>
    <t>Kārsavas pilsētas dome</t>
  </si>
  <si>
    <t>30.09.99</t>
  </si>
  <si>
    <t>Soc.apr.centrs "Tērvete"</t>
  </si>
  <si>
    <t>01.12.08</t>
  </si>
  <si>
    <t>25.05.00</t>
  </si>
  <si>
    <t>Beļavas pagasta padome</t>
  </si>
  <si>
    <t>01.12.10</t>
  </si>
  <si>
    <t>13.07.98</t>
  </si>
  <si>
    <t>(Valsts kase)</t>
  </si>
  <si>
    <t>10.10.09</t>
  </si>
  <si>
    <t>29.04.99</t>
  </si>
  <si>
    <t>15.10.04</t>
  </si>
  <si>
    <t>03.10.97</t>
  </si>
  <si>
    <t>PB</t>
  </si>
  <si>
    <t>Latvijas autoceļu dir.</t>
  </si>
  <si>
    <t>05.03.14</t>
  </si>
  <si>
    <t>08.12.97</t>
  </si>
  <si>
    <t>15.12.12</t>
  </si>
  <si>
    <t>PB fiks.</t>
  </si>
  <si>
    <t>24.12.97</t>
  </si>
  <si>
    <t>VSAA</t>
  </si>
  <si>
    <t>15.11.12</t>
  </si>
  <si>
    <t>18.12.97</t>
  </si>
  <si>
    <t>Kandavas novada dome</t>
  </si>
  <si>
    <t>27.07.98</t>
  </si>
  <si>
    <t>15.04.15</t>
  </si>
  <si>
    <t>TOTAL 
SPREAD</t>
  </si>
  <si>
    <t>23.03.99</t>
  </si>
  <si>
    <t>Valsts obl.vec.apdroš.aģ.</t>
  </si>
  <si>
    <t>15.08.09</t>
  </si>
  <si>
    <t>Pakalpojumi</t>
  </si>
  <si>
    <t>13.01.99</t>
  </si>
  <si>
    <t>Valsts Ieņēmumu dienests</t>
  </si>
  <si>
    <t>15.05.14</t>
  </si>
  <si>
    <t>22.06.00</t>
  </si>
  <si>
    <t>Valmieras pilsētas dome</t>
  </si>
  <si>
    <t>15.12.15</t>
  </si>
  <si>
    <t>Bilskas pagasta padome</t>
  </si>
  <si>
    <t xml:space="preserve">Viesītes pilsēta </t>
  </si>
  <si>
    <t>ar lauku teritoriju</t>
  </si>
  <si>
    <t>Praulienas pagasta padome</t>
  </si>
  <si>
    <t>Trapenes pagasta padome</t>
  </si>
  <si>
    <t>Smārdes pagasta padome</t>
  </si>
  <si>
    <t>Iecavas pagasta padome</t>
  </si>
  <si>
    <t>Alojas pilsētas dome</t>
  </si>
  <si>
    <t>Kursīšu pagasts</t>
  </si>
  <si>
    <t>Bēnes pagasta padome</t>
  </si>
  <si>
    <t>Preiļu pilsētas dome</t>
  </si>
  <si>
    <t>Viļānu pilsētas dome</t>
  </si>
  <si>
    <t>Gulbenes pilsētas dome</t>
  </si>
  <si>
    <t>28.06.00</t>
  </si>
  <si>
    <t>Talsu pilsētas Dome</t>
  </si>
  <si>
    <t>Neretas pagasta padome</t>
  </si>
  <si>
    <t>Demenes pagasta padome</t>
  </si>
  <si>
    <t>Kurmāles pagasta padome</t>
  </si>
  <si>
    <t>30.06.00</t>
  </si>
  <si>
    <t>Skaistas pagasta padome</t>
  </si>
  <si>
    <t>Cēsu pilsētas dome</t>
  </si>
  <si>
    <t>10.07.00</t>
  </si>
  <si>
    <t>Ķeguma pilsētas dome</t>
  </si>
  <si>
    <t>Aizputes pilsētas dome</t>
  </si>
  <si>
    <t xml:space="preserve">2000.gada plāna un izpildes rādītājos kārtējo izdevumu atšifrējums savstarpēji nav salīdzināms, jo likumā "Par valsts budžetu 2000.gadam" 
tie ir apstiprināti vienā ciparā. Plāna rādītājos iekļauti pašvaldību budžetu plānotie izdevumi </t>
  </si>
  <si>
    <t>Vārves pagasta padome</t>
  </si>
  <si>
    <t>14.08.00</t>
  </si>
  <si>
    <t>Balvu pilsētas dome</t>
  </si>
  <si>
    <t>23.08.00</t>
  </si>
  <si>
    <t>Ludzas pilsētas dome</t>
  </si>
  <si>
    <t>Izglītības un zinātnes min.</t>
  </si>
  <si>
    <t>līguma nav</t>
  </si>
  <si>
    <t>09.05.00</t>
  </si>
  <si>
    <t>10.12.05</t>
  </si>
  <si>
    <t>+1.05%</t>
  </si>
  <si>
    <t>ERAB</t>
  </si>
  <si>
    <t>12.03.93</t>
  </si>
  <si>
    <t>Jauda, AS</t>
  </si>
  <si>
    <t>15.12.02</t>
  </si>
  <si>
    <t>21.02.96</t>
  </si>
  <si>
    <t>7.5%+</t>
  </si>
  <si>
    <t>07.07.95</t>
  </si>
  <si>
    <t>Ventspils ziv.komb, VU</t>
  </si>
  <si>
    <t>16.05.95</t>
  </si>
  <si>
    <t>03.05.95</t>
  </si>
  <si>
    <t>Karlina, ZS</t>
  </si>
  <si>
    <t>28.02.94</t>
  </si>
  <si>
    <t>Valmieras raj.pad.</t>
  </si>
  <si>
    <t>14.04.94</t>
  </si>
  <si>
    <t>Ventspils siltums, PU</t>
  </si>
  <si>
    <t>14.12.95</t>
  </si>
  <si>
    <t>Šlokenbeka, SIA</t>
  </si>
  <si>
    <t>Dobeles pils.dome</t>
  </si>
  <si>
    <t>30.08.95</t>
  </si>
  <si>
    <t>I.M.S., A/S</t>
  </si>
  <si>
    <t>09.02.95</t>
  </si>
  <si>
    <t>Carnikava, AS</t>
  </si>
  <si>
    <t>11.04.96</t>
  </si>
  <si>
    <t>Blazma-Balt, SIA</t>
  </si>
  <si>
    <t>18.12.95</t>
  </si>
  <si>
    <t>09.02.93</t>
  </si>
  <si>
    <t>17.02.93</t>
  </si>
  <si>
    <t>10.12.02</t>
  </si>
  <si>
    <t>29.08.95</t>
  </si>
  <si>
    <t>Finansu ministrijas</t>
  </si>
  <si>
    <t>22.03.00</t>
  </si>
  <si>
    <t>pārņemtās saist.</t>
  </si>
  <si>
    <r>
      <t xml:space="preserve">Strenču pilsētas dome </t>
    </r>
    <r>
      <rPr>
        <vertAlign val="superscript"/>
        <sz val="8"/>
        <rFont val="Arial"/>
        <family val="2"/>
      </rPr>
      <t>2</t>
    </r>
  </si>
  <si>
    <t>01.06.99</t>
  </si>
  <si>
    <t>Latvijas Eksportkredīts,VAS</t>
  </si>
  <si>
    <t>31.12.00</t>
  </si>
  <si>
    <t>30.12.98</t>
  </si>
  <si>
    <t>3m.LIBOR</t>
  </si>
  <si>
    <t>Rīgas Ostas pārvalde</t>
  </si>
  <si>
    <t>25.10.05</t>
  </si>
  <si>
    <t>+2.00%</t>
  </si>
  <si>
    <t>20.07.99</t>
  </si>
  <si>
    <t>Tehniskā vienība</t>
  </si>
  <si>
    <t>22.11.04</t>
  </si>
  <si>
    <t>Kopā</t>
  </si>
  <si>
    <t>Kredītu atlikumi 31.12.99 un 31.12.00 pārrēķināti latos pēc attiecīgās dienas Latvijas Bankas noteiktā valūtu maiņas kursa.</t>
  </si>
  <si>
    <t>Izmaksātās un atmaksātās summas pārrēķinātas latos pēc attīecīgo darījumu dienu Latvijas Bankas noteiktā valūtu maiņas kursa.</t>
  </si>
  <si>
    <r>
      <t>1</t>
    </r>
    <r>
      <rPr>
        <sz val="8"/>
        <rFont val="Arial"/>
        <family val="2"/>
      </rPr>
      <t xml:space="preserve"> - parāda saistības 1997.g. pārņēma Finansu ministrija</t>
    </r>
  </si>
  <si>
    <r>
      <t>2</t>
    </r>
    <r>
      <rPr>
        <sz val="8"/>
        <rFont val="Arial"/>
        <family val="2"/>
      </rPr>
      <t xml:space="preserve"> - parāda saistības 2000. g. pārņēma Finansu ministrija</t>
    </r>
  </si>
  <si>
    <r>
      <t>3</t>
    </r>
    <r>
      <rPr>
        <sz val="8"/>
        <rFont val="Arial"/>
        <family val="2"/>
      </rPr>
      <t xml:space="preserve"> - veic tikai procentu nomaksu</t>
    </r>
  </si>
  <si>
    <t>Pielikums Nr. 9</t>
  </si>
  <si>
    <t>Kredītu izmaksājamās summas un ārējā parāda apkalpošanas maksājumi 
2001 - 2005. gadā</t>
  </si>
  <si>
    <t>milj.valūtas vienību</t>
  </si>
  <si>
    <t>Aizņē-</t>
  </si>
  <si>
    <t>Kredīta apjoms</t>
  </si>
  <si>
    <t>Maksājumi</t>
  </si>
  <si>
    <t>Neizmaksātais</t>
  </si>
  <si>
    <t>Kredītatlikums</t>
  </si>
  <si>
    <t>muma</t>
  </si>
  <si>
    <t>Creditor</t>
  </si>
  <si>
    <t>Maksājuma veids</t>
  </si>
  <si>
    <t>I</t>
  </si>
  <si>
    <t>II</t>
  </si>
  <si>
    <t>III</t>
  </si>
  <si>
    <t>IV</t>
  </si>
  <si>
    <t xml:space="preserve"> pirms perioda</t>
  </si>
  <si>
    <t>perioda laikā</t>
  </si>
  <si>
    <t>Total    2008-2012</t>
  </si>
  <si>
    <t>Total     2013-2022</t>
  </si>
  <si>
    <t>Total      2003-2022</t>
  </si>
  <si>
    <t>Loans (CHF)</t>
  </si>
  <si>
    <t xml:space="preserve">VPA/s ''Latvenergo'' </t>
  </si>
  <si>
    <t>(Credit Suisse)</t>
  </si>
  <si>
    <t>(Latvenergo)</t>
  </si>
  <si>
    <t xml:space="preserve">Kopā   CHF </t>
  </si>
  <si>
    <t>Total CHF</t>
  </si>
  <si>
    <t>Loans (DKK)</t>
  </si>
  <si>
    <t xml:space="preserve">Liepājas ostai </t>
  </si>
  <si>
    <t>Danish Soft Loan</t>
  </si>
  <si>
    <t>(Den Danske Bank)</t>
  </si>
  <si>
    <t>(Port of Liepaja)</t>
  </si>
  <si>
    <t xml:space="preserve">Cēsu pašvaldībai </t>
  </si>
  <si>
    <t>(Cesis)</t>
  </si>
  <si>
    <t xml:space="preserve">Kopā   DKK </t>
  </si>
  <si>
    <t>Total DKK</t>
  </si>
  <si>
    <t>Loans (EUR)</t>
  </si>
  <si>
    <t xml:space="preserve">Lata International'' </t>
  </si>
  <si>
    <t>Finnish Export Credit</t>
  </si>
  <si>
    <t>(Finnish Export Credit)</t>
  </si>
  <si>
    <t>(Lata International)</t>
  </si>
  <si>
    <t xml:space="preserve">Uzņēmumu un fin. sekt. pārstrukturēšana </t>
  </si>
  <si>
    <t>World Bank</t>
  </si>
  <si>
    <t>(PB)</t>
  </si>
  <si>
    <t>(Enterprise &amp; Financial sector restructuring project)</t>
  </si>
  <si>
    <t>Lauku attīstības projekts</t>
  </si>
  <si>
    <t>(Rural development project)</t>
  </si>
  <si>
    <t xml:space="preserve">Labklājības ministrijai </t>
  </si>
  <si>
    <t>(Credit Lyonnais)</t>
  </si>
  <si>
    <t>(Welfare loan)</t>
  </si>
  <si>
    <t>Strukturālo pārkārtojumu projekts 1</t>
  </si>
  <si>
    <t>(Structural Adjustment loan)</t>
  </si>
  <si>
    <t xml:space="preserve">Labklājības reformas projekts </t>
  </si>
  <si>
    <t>(Welfare Reform project)</t>
  </si>
  <si>
    <t>Kredītlīnija vides sektora projektam</t>
  </si>
  <si>
    <t>NIB</t>
  </si>
  <si>
    <t>(ZIB)</t>
  </si>
  <si>
    <t>(Environmental Loan Programme)</t>
  </si>
  <si>
    <t xml:space="preserve">Veselības reformas projekts </t>
  </si>
  <si>
    <t>(Health reform project)</t>
  </si>
  <si>
    <t>VID Modernizācijas projekts</t>
  </si>
  <si>
    <t>(State Revenue Service Modernization project)</t>
  </si>
  <si>
    <t>86 *</t>
  </si>
  <si>
    <t>Izglītības reformu projekts</t>
  </si>
  <si>
    <t>(Education Improvement Project)</t>
  </si>
  <si>
    <t>119 *</t>
  </si>
  <si>
    <t>Eurobonds</t>
  </si>
  <si>
    <t>Latvijas pašvald. un vides infrastr. proj.</t>
  </si>
  <si>
    <t>EIB</t>
  </si>
  <si>
    <t>(EIB)</t>
  </si>
  <si>
    <t>(Latvian municipalities and environmental project)</t>
  </si>
  <si>
    <t xml:space="preserve">Kopā   EUR </t>
  </si>
  <si>
    <t>Total EUR</t>
  </si>
  <si>
    <t>Loans (JPY)</t>
  </si>
  <si>
    <t xml:space="preserve">Rehabilitācijas aizdevums </t>
  </si>
  <si>
    <t>JEXIM</t>
  </si>
  <si>
    <t>(JEIB)</t>
  </si>
  <si>
    <t>(rehabilitation)</t>
  </si>
  <si>
    <t xml:space="preserve">Ceļu projekts, Daugavas kaskāde </t>
  </si>
  <si>
    <t>(Road project, Latvenergo)</t>
  </si>
  <si>
    <t xml:space="preserve">Kopā   JPY </t>
  </si>
  <si>
    <t>Total JPY</t>
  </si>
  <si>
    <t>Loans (SEK)</t>
  </si>
  <si>
    <t>Liepas pagastam</t>
  </si>
  <si>
    <t>NUTEK</t>
  </si>
  <si>
    <t>(Zviedrijas Nac. Enerģ. Admin.)</t>
  </si>
  <si>
    <t>(Liepas town)</t>
  </si>
  <si>
    <t xml:space="preserve">Talsu pilsētas Domei </t>
  </si>
  <si>
    <t xml:space="preserve">(Zviedrijas Nac. Enerģ. Admin.) </t>
  </si>
  <si>
    <t>(Talsu town)</t>
  </si>
  <si>
    <t xml:space="preserve">Kopā   SEK </t>
  </si>
  <si>
    <t>Total SEK</t>
  </si>
  <si>
    <t>Loans (USD)</t>
  </si>
  <si>
    <t>World bank</t>
  </si>
  <si>
    <t xml:space="preserve">Lauksaimniecības attīstībai </t>
  </si>
  <si>
    <t>(Agricultural development project)</t>
  </si>
  <si>
    <t>Commodity Credit Corporation</t>
  </si>
  <si>
    <t xml:space="preserve">(Commodity Credit Corp.) </t>
  </si>
  <si>
    <t xml:space="preserve">Liepājas vides projekts </t>
  </si>
  <si>
    <t>(Liepaja Environment project)</t>
  </si>
  <si>
    <t>12;13</t>
  </si>
  <si>
    <t>Enterprise &amp; Financial sector restructuring project)</t>
  </si>
  <si>
    <t xml:space="preserve">Ceļu projekts </t>
  </si>
  <si>
    <t>EBRD</t>
  </si>
  <si>
    <t>(ERAB)</t>
  </si>
  <si>
    <t>(Road project)</t>
  </si>
  <si>
    <t xml:space="preserve">Jelgavas projekts </t>
  </si>
  <si>
    <t>(Jelgava)</t>
  </si>
  <si>
    <t xml:space="preserve">Ceļu vadības sistēmai </t>
  </si>
  <si>
    <t>Danish Soft loan</t>
  </si>
  <si>
    <t>(Dānijas Unibanka)</t>
  </si>
  <si>
    <t>'Rīgas Gāzei''</t>
  </si>
  <si>
    <t>(Riga Gaze)</t>
  </si>
  <si>
    <t xml:space="preserve">Strenču notekūdeņu attīrīšanai </t>
  </si>
  <si>
    <t>(Sewage treatment, Strenči)</t>
  </si>
  <si>
    <t xml:space="preserve">Strenču centrālapkurei </t>
  </si>
  <si>
    <t>(Central Heating, Strenči)</t>
  </si>
  <si>
    <t>Līgatnes notekūdeņu attīrīšanai</t>
  </si>
  <si>
    <t>(Sewage treatment, Līgatne)</t>
  </si>
  <si>
    <t xml:space="preserve">Komunālo pakalp. attīst. proj. </t>
  </si>
  <si>
    <t>(Municipal services development project)</t>
  </si>
  <si>
    <t xml:space="preserve">Nepilsoņu pasēm </t>
  </si>
  <si>
    <t>Export Development Corp.</t>
  </si>
  <si>
    <t>(Export Development Corp.)</t>
  </si>
  <si>
    <t>(Non-citizens passports)</t>
  </si>
  <si>
    <t>Pašvaldībām (9)</t>
  </si>
  <si>
    <t>(9 Municipalities)</t>
  </si>
  <si>
    <t xml:space="preserve">Bērnu slimnīcai </t>
  </si>
  <si>
    <t>(Children Hospital)</t>
  </si>
  <si>
    <t xml:space="preserve">Iekšlietu ministrijai </t>
  </si>
  <si>
    <t>Societe generale</t>
  </si>
  <si>
    <t>(Societe Generale)</t>
  </si>
  <si>
    <t>(Ministry of Interior)</t>
  </si>
  <si>
    <t>(Highway project)</t>
  </si>
  <si>
    <t xml:space="preserve">Vides aizsardzībai </t>
  </si>
  <si>
    <t>(Environmental Loan Programm)</t>
  </si>
  <si>
    <t xml:space="preserve">Rīgas cieto atkritumu saimniec. projekts </t>
  </si>
  <si>
    <t>( Municipal  Solid Waste Manegement Project)</t>
  </si>
  <si>
    <t>Programmātiskā struktur.</t>
  </si>
  <si>
    <t>pārkārt.proj. 2</t>
  </si>
  <si>
    <t>( Structural Adjustment loan-2)</t>
  </si>
  <si>
    <t xml:space="preserve">Liepājas reģiona sadzīves </t>
  </si>
  <si>
    <t>atkritumu apsaimn. proj.</t>
  </si>
  <si>
    <t>(Liepāja)</t>
  </si>
  <si>
    <t>(VIA Baltica project)</t>
  </si>
  <si>
    <t xml:space="preserve">Kopā   USD </t>
  </si>
  <si>
    <t>Total USD</t>
  </si>
  <si>
    <t>Loans (XDR)</t>
  </si>
  <si>
    <t>IMF</t>
  </si>
  <si>
    <t xml:space="preserve">Kopā   XDR </t>
  </si>
  <si>
    <t>Total XDR</t>
  </si>
  <si>
    <t>Kopā LVL</t>
  </si>
  <si>
    <t>Equivalent LVL</t>
  </si>
  <si>
    <t>Valūtas kursi</t>
  </si>
  <si>
    <t>Exchange rates of currencies (lats per unit)</t>
  </si>
  <si>
    <t>EEK</t>
  </si>
  <si>
    <t>NOK</t>
  </si>
  <si>
    <t>CAD</t>
  </si>
  <si>
    <t>RUB</t>
  </si>
  <si>
    <t>LTL</t>
  </si>
  <si>
    <t>PLN</t>
  </si>
  <si>
    <t>SDR</t>
  </si>
  <si>
    <t>Pārskats par Valsts kases budžeta kontos esošo līdzekļu īstermiņa investīcijām 2000.gadā</t>
  </si>
  <si>
    <t>(Latos)</t>
  </si>
  <si>
    <t>Mēnesis</t>
  </si>
  <si>
    <t>Latvijas Banka</t>
  </si>
  <si>
    <t>Komercbankas</t>
  </si>
  <si>
    <t>Latos</t>
  </si>
  <si>
    <t>Valūtā</t>
  </si>
  <si>
    <t xml:space="preserve"> Latos</t>
  </si>
  <si>
    <t xml:space="preserve">Vērtspapīros </t>
  </si>
  <si>
    <t xml:space="preserve"> Valūtā</t>
  </si>
  <si>
    <t>Atlikums uz 2000.gada 1.janvāri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</si>
  <si>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</si>
  <si>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</si>
  <si>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</si>
  <si>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</si>
  <si>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</si>
  <si>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</si>
  <si>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</si>
  <si>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</si>
  <si>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</si>
  <si>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</si>
  <si>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</si>
  <si>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</si>
  <si>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uz 2001.gada 1.janvāri</t>
  </si>
  <si>
    <t>Valsts kases pārvaldnieks                                                                                                   A.Veiss</t>
  </si>
  <si>
    <t xml:space="preserve">Pielikums Nr.15  </t>
  </si>
  <si>
    <t xml:space="preserve">Informācija par valsts budžeta iestāžu debitoru - kreditoru parādu saistībām </t>
  </si>
  <si>
    <t>2000.gadā</t>
  </si>
  <si>
    <t>Debitori</t>
  </si>
  <si>
    <t>Kreditori</t>
  </si>
  <si>
    <t>Ministrijas
un centrālās iestādes
nosaukums</t>
  </si>
  <si>
    <t>uz
gada
sākumu *</t>
  </si>
  <si>
    <t>uz
gada
beigām</t>
  </si>
  <si>
    <r>
      <t xml:space="preserve">izmaiņas
</t>
    </r>
    <r>
      <rPr>
        <sz val="8"/>
        <rFont val="Arial"/>
        <family val="2"/>
      </rPr>
      <t>(3-2)</t>
    </r>
  </si>
  <si>
    <r>
      <t xml:space="preserve">izmaiņas
</t>
    </r>
    <r>
      <rPr>
        <sz val="8"/>
        <rFont val="Arial"/>
        <family val="2"/>
      </rPr>
      <t>(6-5)</t>
    </r>
  </si>
  <si>
    <t>01  Valsts prezidenta kanceleja</t>
  </si>
  <si>
    <t>02  Saeima</t>
  </si>
  <si>
    <t xml:space="preserve">    t.sk.   Latvenergo</t>
  </si>
  <si>
    <t xml:space="preserve">             valsts un pašvaldību uzņēmumi</t>
  </si>
  <si>
    <t>03  Ministru kabinets</t>
  </si>
  <si>
    <t>10  Aizsardzības ministrija</t>
  </si>
  <si>
    <t xml:space="preserve">              valsts un pašvaldību uzņēmumi</t>
  </si>
  <si>
    <t>11  Ārlietu ministrija</t>
  </si>
  <si>
    <t>12  Ekonomikas ministrija *</t>
  </si>
  <si>
    <t xml:space="preserve">      t.sk.     valsts un pašvaldību uzņēmumi</t>
  </si>
  <si>
    <t>13  Finansu ministrija</t>
  </si>
  <si>
    <t xml:space="preserve">      t.sk.     Latvenergo</t>
  </si>
  <si>
    <t xml:space="preserve">                  valsts un pašvaldību uzņēmumi</t>
  </si>
  <si>
    <t>14  Iekšlietu ministrija *</t>
  </si>
  <si>
    <t>15  Izglītības un zinātnes ministrija *</t>
  </si>
  <si>
    <t>16  Zemkopības ministrija *</t>
  </si>
  <si>
    <t>17  Satiksmes ministrija</t>
  </si>
  <si>
    <t>18  Labklājības ministrija *</t>
  </si>
  <si>
    <t>19  Tieslietu ministrija *</t>
  </si>
  <si>
    <t xml:space="preserve">21  Vides aizsardzības un reģionālās attīstības </t>
  </si>
  <si>
    <t xml:space="preserve">      ministrija *</t>
  </si>
  <si>
    <t>22  Kultūras ministrija</t>
  </si>
  <si>
    <t xml:space="preserve">                  Latvijas gāze</t>
  </si>
  <si>
    <t>23  Valsts zemes dienests</t>
  </si>
  <si>
    <t>24  Valsts kontrole</t>
  </si>
  <si>
    <t>28  Augstākā tiesa</t>
  </si>
  <si>
    <t>30  Satversmes tiesa</t>
  </si>
  <si>
    <t>32  Prokuratūra</t>
  </si>
  <si>
    <t>35  Centrālā vēlēšanu komisija</t>
  </si>
  <si>
    <t>37  Centrālā zemes komisija</t>
  </si>
  <si>
    <t>44  Satversmes aizsardzības birojs</t>
  </si>
  <si>
    <t>47  Radio un televīzijas padome</t>
  </si>
  <si>
    <t xml:space="preserve">      t.sk.       valsts un pašvaldību uzņēmumi</t>
  </si>
  <si>
    <t>48  Valsts cilvēktiesību birojs</t>
  </si>
  <si>
    <t>50  Īpašu uzdevumu ministra sadarbībā ar</t>
  </si>
  <si>
    <t xml:space="preserve">     starptautiskajām  finansu institūcijām</t>
  </si>
  <si>
    <t xml:space="preserve">     sekretariāts *</t>
  </si>
  <si>
    <t>51 Īpašu uzdevumu ministra valsts pārvaldes un</t>
  </si>
  <si>
    <t xml:space="preserve">     pašvaldību reformas jautājumos sekretariāts</t>
  </si>
  <si>
    <t xml:space="preserve">Pavisam kopā  *                                            </t>
  </si>
  <si>
    <t xml:space="preserve">          tajā skaitā:</t>
  </si>
  <si>
    <t xml:space="preserve">                  Latvenergo</t>
  </si>
  <si>
    <t>*  - Mainīti atlikumi uz gada sākumu saskaņā ar strukturālām izmaiņām.</t>
  </si>
  <si>
    <t xml:space="preserve">Pielikums Nr.16 </t>
  </si>
  <si>
    <t xml:space="preserve">Informācija par pašvaldību budžeta iestāžu debitoru - kreditoru parādu saistībām 2000.gadā </t>
  </si>
  <si>
    <t>Informācija par pašvaldību  budžeta iestāžu debitoru - kreditoru parādu saistībām 2000.gadā</t>
  </si>
  <si>
    <t>Rajona kods</t>
  </si>
  <si>
    <t>Rajona vai pilsētas nosaukums</t>
  </si>
  <si>
    <t>uz 2000.gada 1.janvāri*</t>
  </si>
  <si>
    <t>uz 2001.gada 1.janvāri</t>
  </si>
  <si>
    <t>izmaiņas
 (3-2)</t>
  </si>
  <si>
    <t>izmaiņas 
(6-5)</t>
  </si>
  <si>
    <t>0100</t>
  </si>
  <si>
    <t xml:space="preserve"> 0010</t>
  </si>
  <si>
    <t>Rīga</t>
  </si>
  <si>
    <t>0200</t>
  </si>
  <si>
    <t xml:space="preserve"> 0500</t>
  </si>
  <si>
    <t>Daugavpils</t>
  </si>
  <si>
    <t>0300</t>
  </si>
  <si>
    <t xml:space="preserve"> 0900</t>
  </si>
  <si>
    <t>Jelgava*</t>
  </si>
  <si>
    <t>0400</t>
  </si>
  <si>
    <t xml:space="preserve"> 1300</t>
  </si>
  <si>
    <t>Jūrmala</t>
  </si>
  <si>
    <t>0500</t>
  </si>
  <si>
    <t xml:space="preserve"> 1700</t>
  </si>
  <si>
    <t>Liepāja*</t>
  </si>
  <si>
    <t>0600</t>
  </si>
  <si>
    <t xml:space="preserve"> 2100</t>
  </si>
  <si>
    <t>Rēzekne</t>
  </si>
  <si>
    <t>0700</t>
  </si>
  <si>
    <t xml:space="preserve"> 2700</t>
  </si>
  <si>
    <t>Ventspils</t>
  </si>
  <si>
    <t>0799</t>
  </si>
  <si>
    <t>Kopā pa pilsētām</t>
  </si>
  <si>
    <t>0800</t>
  </si>
  <si>
    <t xml:space="preserve"> 3200</t>
  </si>
  <si>
    <t>Aizkraukles rajons</t>
  </si>
  <si>
    <t>0900</t>
  </si>
  <si>
    <t xml:space="preserve"> 3600</t>
  </si>
  <si>
    <t>Alūksnes rajons</t>
  </si>
  <si>
    <t>1000</t>
  </si>
  <si>
    <t xml:space="preserve"> 3800</t>
  </si>
  <si>
    <t>Balvu rajons</t>
  </si>
  <si>
    <t>1100</t>
  </si>
  <si>
    <t xml:space="preserve"> 4000</t>
  </si>
  <si>
    <t>Bauskas rajons</t>
  </si>
  <si>
    <t>1200</t>
  </si>
  <si>
    <t xml:space="preserve"> 4200</t>
  </si>
  <si>
    <t>Cēsu rajons*</t>
  </si>
  <si>
    <t>1300</t>
  </si>
  <si>
    <t xml:space="preserve"> 4400</t>
  </si>
  <si>
    <t>Daugavpils rajons</t>
  </si>
  <si>
    <t>1400</t>
  </si>
  <si>
    <t xml:space="preserve"> 4600</t>
  </si>
  <si>
    <t>Dobeles rajons*</t>
  </si>
  <si>
    <t>1500</t>
  </si>
  <si>
    <t xml:space="preserve"> 5000</t>
  </si>
  <si>
    <t>Gulbenes rajons</t>
  </si>
  <si>
    <t>1600</t>
  </si>
  <si>
    <t xml:space="preserve"> 5400</t>
  </si>
  <si>
    <t>Jelgavas rajons</t>
  </si>
  <si>
    <t>1700</t>
  </si>
  <si>
    <t xml:space="preserve"> 5600</t>
  </si>
  <si>
    <t>Jēkab[ils rajons</t>
  </si>
  <si>
    <t>1800</t>
  </si>
  <si>
    <t xml:space="preserve"> 6000</t>
  </si>
  <si>
    <t>Krāslavas rajons</t>
  </si>
  <si>
    <t>1900</t>
  </si>
  <si>
    <t xml:space="preserve"> 6200</t>
  </si>
  <si>
    <t>Kuldīgas rajons</t>
  </si>
  <si>
    <t>2000</t>
  </si>
  <si>
    <t xml:space="preserve"> 6400</t>
  </si>
  <si>
    <t>Liepājas rajons</t>
  </si>
  <si>
    <t>2100</t>
  </si>
  <si>
    <t xml:space="preserve"> 6600</t>
  </si>
  <si>
    <t>Limbažu rajons</t>
  </si>
  <si>
    <t>2200</t>
  </si>
  <si>
    <t xml:space="preserve"> 6800</t>
  </si>
  <si>
    <t>Ludzas rajons</t>
  </si>
  <si>
    <t>2300</t>
  </si>
  <si>
    <t xml:space="preserve"> 7000</t>
  </si>
  <si>
    <t>Madonas rajons</t>
  </si>
  <si>
    <t>2400</t>
  </si>
  <si>
    <t xml:space="preserve"> 7400</t>
  </si>
  <si>
    <t>Ogres rajons</t>
  </si>
  <si>
    <t>2500</t>
  </si>
  <si>
    <t xml:space="preserve"> 7600</t>
  </si>
  <si>
    <t>Preiļu rajons</t>
  </si>
  <si>
    <t>2600</t>
  </si>
  <si>
    <t xml:space="preserve"> 7800</t>
  </si>
  <si>
    <t>Rēzeknes rajons *</t>
  </si>
  <si>
    <t>2700</t>
  </si>
  <si>
    <t xml:space="preserve"> 8000</t>
  </si>
  <si>
    <t>Rīgas rajons</t>
  </si>
  <si>
    <t>2800</t>
  </si>
  <si>
    <t xml:space="preserve"> 8400</t>
  </si>
  <si>
    <t>Saldus rajons*</t>
  </si>
  <si>
    <t>2900</t>
  </si>
  <si>
    <t xml:space="preserve"> 8800</t>
  </si>
  <si>
    <t>Talsu rajons*</t>
  </si>
  <si>
    <t>3000</t>
  </si>
  <si>
    <t xml:space="preserve"> 9000</t>
  </si>
  <si>
    <t>Tukuma rajons</t>
  </si>
  <si>
    <t>3100</t>
  </si>
  <si>
    <t xml:space="preserve"> 9400</t>
  </si>
  <si>
    <t>Valkas rajons*</t>
  </si>
  <si>
    <t>3200</t>
  </si>
  <si>
    <t xml:space="preserve"> 9600</t>
  </si>
  <si>
    <t>Valmieras rajons*</t>
  </si>
  <si>
    <t>3300</t>
  </si>
  <si>
    <t xml:space="preserve"> 9800</t>
  </si>
  <si>
    <t>Ventspils rajons</t>
  </si>
  <si>
    <t>8888</t>
  </si>
  <si>
    <t>Kopā pa rajoniem</t>
  </si>
  <si>
    <t>9999</t>
  </si>
  <si>
    <t>Pavisam</t>
  </si>
  <si>
    <t>* mainīti atlikumi uz gada sākumu pēc zvērinātu revidentu un Valsts kontroles pārbaudes</t>
  </si>
  <si>
    <t xml:space="preserve">Pielikums Nr.17  </t>
  </si>
  <si>
    <t>Informācija par valsts budžeta iestāžu saņemto ziedojumu, dāvinājumu un citu pašu ieņēmumu izlietojumu 2000.gadā</t>
  </si>
  <si>
    <t>Ministrijas, centrālās iestādes</t>
  </si>
  <si>
    <t>*)  Naudas līdzekļu atlikums gada sākumā</t>
  </si>
  <si>
    <t>Kārtējā gada ieņēmumi (kases izpilde)</t>
  </si>
  <si>
    <t>tajā skaitā :</t>
  </si>
  <si>
    <t>Naturālā veidā saņemtie ziedojumi un dāvinājumi</t>
  </si>
  <si>
    <t>Izdevumi kopā</t>
  </si>
  <si>
    <t>Naudas līdzekļu atlikums gada beigās</t>
  </si>
  <si>
    <t>Kodi</t>
  </si>
  <si>
    <t>Nosaukumi</t>
  </si>
  <si>
    <t>no juridiskām personām</t>
  </si>
  <si>
    <t>no fiziskām personām</t>
  </si>
  <si>
    <t>no valsts un pašvaldību uzņēmu-miem</t>
  </si>
  <si>
    <t>no ārvalstu juridiskām un fiziskām personām</t>
  </si>
  <si>
    <t>uzturēšanas izdevumi</t>
  </si>
  <si>
    <t>izdevumi kapitāliegul-dījumiem</t>
  </si>
  <si>
    <t>01</t>
  </si>
  <si>
    <t>Valsts prezidenta kanceleja</t>
  </si>
  <si>
    <t>02</t>
  </si>
  <si>
    <t>Saeima</t>
  </si>
  <si>
    <t>03</t>
  </si>
  <si>
    <t>Ministru kabinets</t>
  </si>
  <si>
    <t>Aizsardzības ministrija</t>
  </si>
  <si>
    <t>11</t>
  </si>
  <si>
    <t>Ārlietu ministrija      **)</t>
  </si>
  <si>
    <t>12</t>
  </si>
  <si>
    <t>13</t>
  </si>
  <si>
    <t>Finansu ministrija</t>
  </si>
  <si>
    <t>14</t>
  </si>
  <si>
    <t>15</t>
  </si>
  <si>
    <t>Izglītības un zinātnes ministrija</t>
  </si>
  <si>
    <t>16</t>
  </si>
  <si>
    <t>Zemkopības ministrija</t>
  </si>
  <si>
    <t>17</t>
  </si>
  <si>
    <t>18</t>
  </si>
  <si>
    <t>Labklājības ministrija</t>
  </si>
  <si>
    <t>19</t>
  </si>
  <si>
    <t>Tieslietu ministrija</t>
  </si>
  <si>
    <t>21</t>
  </si>
  <si>
    <t>Vides un reģionālās attīstības ministrija</t>
  </si>
  <si>
    <t>22</t>
  </si>
  <si>
    <t>Kultūras ministrija</t>
  </si>
  <si>
    <t>24</t>
  </si>
  <si>
    <t>Valsts kontrole</t>
  </si>
  <si>
    <t>28</t>
  </si>
  <si>
    <t>Augstākā tiesa</t>
  </si>
  <si>
    <t>30</t>
  </si>
  <si>
    <t>Satversmes tiesa</t>
  </si>
  <si>
    <t>32</t>
  </si>
  <si>
    <t>Prokuratūra</t>
  </si>
  <si>
    <t>37</t>
  </si>
  <si>
    <t>Centrālā zemes komisija</t>
  </si>
  <si>
    <t>41</t>
  </si>
  <si>
    <t>Radio un televīzija</t>
  </si>
  <si>
    <t>48</t>
  </si>
  <si>
    <t>Valsts cilvēktiesību birojs</t>
  </si>
  <si>
    <t>50</t>
  </si>
  <si>
    <t>Īpašo uzdevumu ministra sadarbībai ar starptaut.finansu.institūc.sekretariāts</t>
  </si>
  <si>
    <t>51</t>
  </si>
  <si>
    <t>Īpašo uzdevumu ministra valsts reformu lietās sekretariāts</t>
  </si>
  <si>
    <t>K O P Ā</t>
  </si>
  <si>
    <t xml:space="preserve">*)  - Mainīti atlikumi uz gada sākumu  saskaņā ar strukturālām  izmaiņām  (izslēgti Phares līdzekļu atlikumi) </t>
  </si>
  <si>
    <t xml:space="preserve">**) - Atlikums uz gada sākumu neatbilst Ārlietu ministrijas bilancē atspoguļotajam  -  1999.gada atlikums Ls 36275 apmērā  dāvinājumu līdzekļu kontā "ES pirmstiesāšanās pasākumi" </t>
  </si>
  <si>
    <t xml:space="preserve">         2000.gadā, saskaņā ar Finansu ministrijas veiktajiem grozījumiem Ārlietu ministrijas budžeta 3.programmā "Nodrošinājums delegācijai sarunām ar ES" un saskaņā ar apstiprinātajiem </t>
  </si>
  <si>
    <t xml:space="preserve">        "Grozījumiem likumā "Par valsts budžetu 2000.gadam", tika pārcelts kā atlikums uz 2000.gada 1.janvāri pamatbudžeta 3.programmā "Nodrošinājums delegācijai sarunām ar ES".</t>
  </si>
  <si>
    <t>***) - Zemkopības ministrijai uzskaitīta graudu rezerve ieņēmumos 2 438 345 Ls un izdevumos 2 170 386 Ls</t>
  </si>
  <si>
    <t>Pielikums Nr. 18</t>
  </si>
  <si>
    <t>Izziņa</t>
  </si>
  <si>
    <t>par valsts un pašvaldību budžetu līdzekļu atlikumiem</t>
  </si>
  <si>
    <t>2000. gada 31. decembrī</t>
  </si>
  <si>
    <t>Banka, konta numurs, valūtas kods</t>
  </si>
  <si>
    <t>Summa latos</t>
  </si>
  <si>
    <t>Summa valūtā</t>
  </si>
  <si>
    <t>Norēķinu kontu atlikumi latos</t>
  </si>
  <si>
    <t>Latvijas Banka - kopā</t>
  </si>
  <si>
    <t>Valsts kases norēķinu konts (000 361 101) LVL</t>
  </si>
  <si>
    <t xml:space="preserve">Noguldījumu garantiju fonds (000 361 910) LVL </t>
  </si>
  <si>
    <t>Valūtu groza aizdevuma apkalpošanas maksājumi (000 337 630) LVL</t>
  </si>
  <si>
    <t>Valūtu groza aizdevuma kredītlīnijas atmaksas (000 337 821) LVL</t>
  </si>
  <si>
    <t xml:space="preserve">Komercbanku konti </t>
  </si>
  <si>
    <t>Aizkraukle (037 102 002) LVL</t>
  </si>
  <si>
    <t>Daugavpils (020 102 000) LVL</t>
  </si>
  <si>
    <t>Jelgava (100 102 002) LVL</t>
  </si>
  <si>
    <t>Ludza (000 102 002) LVL</t>
  </si>
  <si>
    <t>Ogre (000 102 002) LVL</t>
  </si>
  <si>
    <t>Ventspils  (000 102 002) LVL</t>
  </si>
  <si>
    <t>Latvijas Hipotēku un Zemes banka</t>
  </si>
  <si>
    <t>Rīga (100 000 503 0002) LVL</t>
  </si>
  <si>
    <t>Citadele (400 100 0002) LVL</t>
  </si>
  <si>
    <t>Rēzekne (470 100 0002) LVL</t>
  </si>
  <si>
    <t>Norēķinu konts (400 075 1999) LVL</t>
  </si>
  <si>
    <t>Āgenskalns (03 000 100 003) LVL</t>
  </si>
  <si>
    <t>Rīdzene (02 100 100 603) LVL</t>
  </si>
  <si>
    <t>Alūksne (25 000 120 802) LVL</t>
  </si>
  <si>
    <t>Balvi (24 000 120 902) LVL</t>
  </si>
  <si>
    <t xml:space="preserve">Bauska (29 700 100 502) LVL  </t>
  </si>
  <si>
    <t>Cēsis (04 000 120 001) LVL</t>
  </si>
  <si>
    <t>Dobele (06 000 120 100) LVL</t>
  </si>
  <si>
    <t>Gulbene (07 000 120 141) LVL</t>
  </si>
  <si>
    <t>Jēkabpils (09 000 120 802) LVL</t>
  </si>
  <si>
    <t>Jūrmala (10 000 120 500) LVL</t>
  </si>
  <si>
    <t>Krāslava (23 000 100 002) LVL</t>
  </si>
  <si>
    <t>Kuldīga (11 000 120 002) LVL</t>
  </si>
  <si>
    <t>Limbaži (13 000 120 200) LVL</t>
  </si>
  <si>
    <t>Madona (30 900 120 120) LVL</t>
  </si>
  <si>
    <t>Preiļi (26 000 100 303) LVL</t>
  </si>
</sst>
</file>

<file path=xl/styles.xml><?xml version="1.0" encoding="utf-8"?>
<styleSheet xmlns="http://schemas.openxmlformats.org/spreadsheetml/2006/main">
  <numFmts count="1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,###,"/>
    <numFmt numFmtId="166" formatCode="0.0%"/>
    <numFmt numFmtId="167" formatCode="#,##0.0"/>
    <numFmt numFmtId="168" formatCode="0.000"/>
    <numFmt numFmtId="169" formatCode="###,###,###"/>
  </numFmts>
  <fonts count="4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10"/>
      <name val="BaltOptima"/>
      <family val="0"/>
    </font>
    <font>
      <sz val="6"/>
      <name val="Arial"/>
      <family val="2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BaltSouvenirLight"/>
      <family val="0"/>
    </font>
    <font>
      <b/>
      <i/>
      <sz val="10"/>
      <name val="Arial"/>
      <family val="2"/>
    </font>
    <font>
      <b/>
      <sz val="9"/>
      <name val="BaltSouvenirLight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BRBaltica"/>
      <family val="0"/>
    </font>
    <font>
      <sz val="10"/>
      <name val="BRBaltica"/>
      <family val="0"/>
    </font>
    <font>
      <i/>
      <sz val="8"/>
      <name val="BRBaltica"/>
      <family val="0"/>
    </font>
    <font>
      <b/>
      <i/>
      <sz val="8"/>
      <name val="Arial"/>
      <family val="2"/>
    </font>
    <font>
      <sz val="11"/>
      <name val="BRBaltica"/>
      <family val="0"/>
    </font>
    <font>
      <b/>
      <sz val="13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21" fillId="0" borderId="0">
      <alignment/>
      <protection/>
    </xf>
    <xf numFmtId="9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164" fontId="5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1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/>
    </xf>
    <xf numFmtId="3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14" fontId="1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7" fillId="2" borderId="0" xfId="0" applyFont="1" applyFill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Alignment="1">
      <alignment horizontal="left"/>
    </xf>
    <xf numFmtId="4" fontId="3" fillId="0" borderId="0" xfId="19" applyFont="1" applyAlignment="1">
      <alignment horizontal="center"/>
      <protection/>
    </xf>
    <xf numFmtId="4" fontId="3" fillId="0" borderId="0" xfId="19" applyFont="1">
      <alignment/>
      <protection/>
    </xf>
    <xf numFmtId="2" fontId="3" fillId="0" borderId="0" xfId="19" applyNumberFormat="1" applyFont="1" applyAlignment="1">
      <alignment horizontal="center"/>
      <protection/>
    </xf>
    <xf numFmtId="4" fontId="4" fillId="0" borderId="0" xfId="19" applyFont="1" applyAlignment="1">
      <alignment horizontal="right"/>
      <protection/>
    </xf>
    <xf numFmtId="4" fontId="3" fillId="0" borderId="0" xfId="19" applyFont="1" applyBorder="1">
      <alignment/>
      <protection/>
    </xf>
    <xf numFmtId="4" fontId="17" fillId="0" borderId="0" xfId="19" applyFont="1" applyAlignment="1">
      <alignment horizontal="centerContinuous"/>
      <protection/>
    </xf>
    <xf numFmtId="2" fontId="17" fillId="0" borderId="0" xfId="19" applyNumberFormat="1" applyFont="1" applyAlignment="1">
      <alignment horizontal="centerContinuous"/>
      <protection/>
    </xf>
    <xf numFmtId="2" fontId="3" fillId="0" borderId="0" xfId="19" applyNumberFormat="1" applyFont="1" applyFill="1">
      <alignment/>
      <protection/>
    </xf>
    <xf numFmtId="2" fontId="3" fillId="0" borderId="0" xfId="19" applyNumberFormat="1" applyFont="1" applyFill="1" applyAlignment="1">
      <alignment horizontal="center"/>
      <protection/>
    </xf>
    <xf numFmtId="4" fontId="3" fillId="0" borderId="0" xfId="19" applyFont="1" applyFill="1" applyBorder="1" applyAlignment="1">
      <alignment horizontal="center"/>
      <protection/>
    </xf>
    <xf numFmtId="4" fontId="3" fillId="0" borderId="0" xfId="19" applyFont="1" applyFill="1" applyBorder="1">
      <alignment/>
      <protection/>
    </xf>
    <xf numFmtId="4" fontId="3" fillId="0" borderId="0" xfId="19" applyFont="1" applyFill="1" applyBorder="1" applyAlignment="1">
      <alignment horizontal="right"/>
      <protection/>
    </xf>
    <xf numFmtId="4" fontId="3" fillId="0" borderId="4" xfId="19" applyFont="1" applyFill="1" applyBorder="1" applyAlignment="1">
      <alignment horizontal="center"/>
      <protection/>
    </xf>
    <xf numFmtId="4" fontId="3" fillId="0" borderId="10" xfId="19" applyFont="1" applyFill="1" applyBorder="1" applyAlignment="1">
      <alignment horizontal="center"/>
      <protection/>
    </xf>
    <xf numFmtId="4" fontId="3" fillId="0" borderId="15" xfId="19" applyFont="1" applyFill="1" applyBorder="1" applyAlignment="1">
      <alignment horizontal="center"/>
      <protection/>
    </xf>
    <xf numFmtId="4" fontId="3" fillId="0" borderId="17" xfId="19" applyFont="1" applyFill="1" applyBorder="1" applyAlignment="1">
      <alignment horizontal="center"/>
      <protection/>
    </xf>
    <xf numFmtId="4" fontId="3" fillId="0" borderId="18" xfId="19" applyFont="1" applyBorder="1" applyAlignment="1">
      <alignment horizontal="center"/>
      <protection/>
    </xf>
    <xf numFmtId="49" fontId="3" fillId="0" borderId="18" xfId="19" applyNumberFormat="1" applyFont="1" applyBorder="1" applyAlignment="1">
      <alignment horizontal="center"/>
      <protection/>
    </xf>
    <xf numFmtId="4" fontId="3" fillId="0" borderId="19" xfId="19" applyFont="1" applyBorder="1" applyAlignment="1">
      <alignment horizontal="center"/>
      <protection/>
    </xf>
    <xf numFmtId="10" fontId="3" fillId="0" borderId="18" xfId="19" applyNumberFormat="1" applyFont="1" applyBorder="1" applyAlignment="1">
      <alignment horizontal="center"/>
      <protection/>
    </xf>
    <xf numFmtId="4" fontId="2" fillId="0" borderId="0" xfId="19" applyFont="1" applyBorder="1">
      <alignment/>
      <protection/>
    </xf>
    <xf numFmtId="4" fontId="2" fillId="0" borderId="0" xfId="19" applyFont="1">
      <alignment/>
      <protection/>
    </xf>
    <xf numFmtId="4" fontId="3" fillId="0" borderId="18" xfId="19" applyNumberFormat="1" applyFont="1" applyBorder="1" applyAlignment="1">
      <alignment horizontal="center"/>
      <protection/>
    </xf>
    <xf numFmtId="4" fontId="3" fillId="0" borderId="18" xfId="19" applyFont="1" applyBorder="1" applyAlignment="1">
      <alignment horizontal="center" wrapText="1"/>
      <protection/>
    </xf>
    <xf numFmtId="4" fontId="3" fillId="0" borderId="0" xfId="19" applyFont="1" applyBorder="1" applyAlignment="1">
      <alignment horizontal="center"/>
      <protection/>
    </xf>
    <xf numFmtId="4" fontId="2" fillId="0" borderId="0" xfId="19" applyFont="1" applyBorder="1" applyAlignment="1">
      <alignment horizontal="left"/>
      <protection/>
    </xf>
    <xf numFmtId="4" fontId="2" fillId="0" borderId="0" xfId="19" applyFont="1" applyBorder="1" applyAlignment="1">
      <alignment horizontal="right"/>
      <protection/>
    </xf>
    <xf numFmtId="2" fontId="3" fillId="0" borderId="0" xfId="19" applyNumberFormat="1" applyFont="1" applyBorder="1" applyAlignment="1">
      <alignment horizontal="center"/>
      <protection/>
    </xf>
    <xf numFmtId="2" fontId="2" fillId="0" borderId="0" xfId="19" applyNumberFormat="1" applyFont="1" applyBorder="1" applyAlignment="1">
      <alignment horizontal="left"/>
      <protection/>
    </xf>
    <xf numFmtId="4" fontId="2" fillId="0" borderId="0" xfId="19" applyFont="1" applyBorder="1" applyAlignment="1">
      <alignment horizontal="center"/>
      <protection/>
    </xf>
    <xf numFmtId="4" fontId="3" fillId="0" borderId="4" xfId="19" applyFont="1" applyBorder="1" applyAlignment="1">
      <alignment horizontal="center"/>
      <protection/>
    </xf>
    <xf numFmtId="2" fontId="3" fillId="0" borderId="4" xfId="19" applyNumberFormat="1" applyFont="1" applyFill="1" applyBorder="1" applyAlignment="1">
      <alignment horizontal="center"/>
      <protection/>
    </xf>
    <xf numFmtId="4" fontId="3" fillId="0" borderId="10" xfId="19" applyFont="1" applyBorder="1" applyAlignment="1">
      <alignment horizontal="center"/>
      <protection/>
    </xf>
    <xf numFmtId="2" fontId="3" fillId="0" borderId="10" xfId="19" applyNumberFormat="1" applyFont="1" applyFill="1" applyBorder="1" applyAlignment="1">
      <alignment horizontal="center"/>
      <protection/>
    </xf>
    <xf numFmtId="4" fontId="3" fillId="0" borderId="15" xfId="19" applyFont="1" applyBorder="1" applyAlignment="1">
      <alignment horizontal="center"/>
      <protection/>
    </xf>
    <xf numFmtId="2" fontId="3" fillId="0" borderId="15" xfId="19" applyNumberFormat="1" applyFont="1" applyFill="1" applyBorder="1" applyAlignment="1">
      <alignment horizontal="center"/>
      <protection/>
    </xf>
    <xf numFmtId="1" fontId="3" fillId="0" borderId="18" xfId="19" applyNumberFormat="1" applyFont="1" applyBorder="1" applyAlignment="1">
      <alignment horizontal="center"/>
      <protection/>
    </xf>
    <xf numFmtId="49" fontId="3" fillId="0" borderId="17" xfId="19" applyNumberFormat="1" applyFont="1" applyFill="1" applyBorder="1" applyAlignment="1">
      <alignment horizontal="center"/>
      <protection/>
    </xf>
    <xf numFmtId="49" fontId="3" fillId="0" borderId="19" xfId="19" applyNumberFormat="1" applyFont="1" applyBorder="1" applyAlignment="1">
      <alignment horizontal="center"/>
      <protection/>
    </xf>
    <xf numFmtId="166" fontId="3" fillId="0" borderId="18" xfId="19" applyNumberFormat="1" applyFont="1" applyBorder="1" applyAlignment="1">
      <alignment horizontal="center"/>
      <protection/>
    </xf>
    <xf numFmtId="4" fontId="3" fillId="0" borderId="20" xfId="19" applyFont="1" applyBorder="1">
      <alignment/>
      <protection/>
    </xf>
    <xf numFmtId="2" fontId="3" fillId="0" borderId="18" xfId="19" applyNumberFormat="1" applyFont="1" applyFill="1" applyBorder="1" applyAlignment="1">
      <alignment horizontal="center"/>
      <protection/>
    </xf>
    <xf numFmtId="4" fontId="3" fillId="0" borderId="18" xfId="19" applyFont="1" applyFill="1" applyBorder="1" applyAlignment="1">
      <alignment horizontal="center"/>
      <protection/>
    </xf>
    <xf numFmtId="1" fontId="3" fillId="0" borderId="19" xfId="19" applyNumberFormat="1" applyFont="1" applyFill="1" applyBorder="1" applyAlignment="1">
      <alignment horizontal="center"/>
      <protection/>
    </xf>
    <xf numFmtId="167" fontId="0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17" fillId="0" borderId="0" xfId="0" applyNumberFormat="1" applyFont="1" applyAlignment="1">
      <alignment/>
    </xf>
    <xf numFmtId="167" fontId="3" fillId="0" borderId="21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22" fillId="0" borderId="3" xfId="0" applyNumberFormat="1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67" fontId="19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26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26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/>
    </xf>
    <xf numFmtId="2" fontId="27" fillId="0" borderId="17" xfId="0" applyNumberFormat="1" applyFont="1" applyBorder="1" applyAlignment="1">
      <alignment/>
    </xf>
    <xf numFmtId="0" fontId="28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/>
    </xf>
    <xf numFmtId="2" fontId="27" fillId="0" borderId="18" xfId="0" applyNumberFormat="1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28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68" fontId="27" fillId="0" borderId="19" xfId="0" applyNumberFormat="1" applyFont="1" applyBorder="1" applyAlignment="1">
      <alignment/>
    </xf>
    <xf numFmtId="0" fontId="31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" fontId="27" fillId="0" borderId="17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27" fillId="0" borderId="19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27" fillId="4" borderId="17" xfId="0" applyFont="1" applyFill="1" applyBorder="1" applyAlignment="1">
      <alignment/>
    </xf>
    <xf numFmtId="2" fontId="32" fillId="4" borderId="17" xfId="0" applyNumberFormat="1" applyFont="1" applyFill="1" applyBorder="1" applyAlignment="1">
      <alignment/>
    </xf>
    <xf numFmtId="0" fontId="23" fillId="0" borderId="18" xfId="0" applyFont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4" borderId="18" xfId="0" applyFont="1" applyFill="1" applyBorder="1" applyAlignment="1">
      <alignment/>
    </xf>
    <xf numFmtId="2" fontId="32" fillId="4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0" fontId="27" fillId="4" borderId="19" xfId="0" applyFont="1" applyFill="1" applyBorder="1" applyAlignment="1">
      <alignment/>
    </xf>
    <xf numFmtId="2" fontId="32" fillId="4" borderId="19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5" fillId="0" borderId="26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wrapText="1"/>
    </xf>
    <xf numFmtId="3" fontId="35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3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Continuous" vertical="center"/>
    </xf>
    <xf numFmtId="0" fontId="32" fillId="0" borderId="9" xfId="0" applyFont="1" applyBorder="1" applyAlignment="1">
      <alignment horizontal="centerContinuous" vertical="center"/>
    </xf>
    <xf numFmtId="0" fontId="32" fillId="0" borderId="28" xfId="0" applyFont="1" applyBorder="1" applyAlignment="1">
      <alignment horizontal="centerContinuous" vertical="center"/>
    </xf>
    <xf numFmtId="0" fontId="32" fillId="0" borderId="29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/>
    </xf>
    <xf numFmtId="0" fontId="32" fillId="0" borderId="31" xfId="0" applyFont="1" applyBorder="1" applyAlignment="1">
      <alignment horizontal="centerContinuous"/>
    </xf>
    <xf numFmtId="0" fontId="32" fillId="0" borderId="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/>
    </xf>
    <xf numFmtId="3" fontId="32" fillId="0" borderId="16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32" fillId="0" borderId="0" xfId="0" applyNumberFormat="1" applyFont="1" applyFill="1" applyBorder="1" applyAlignment="1" applyProtection="1">
      <alignment/>
      <protection locked="0"/>
    </xf>
    <xf numFmtId="49" fontId="32" fillId="0" borderId="0" xfId="0" applyNumberFormat="1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left" wrapText="1"/>
    </xf>
    <xf numFmtId="0" fontId="32" fillId="0" borderId="0" xfId="0" applyFont="1" applyAlignment="1">
      <alignment vertical="top"/>
    </xf>
    <xf numFmtId="0" fontId="32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 horizontal="center" vertical="top"/>
    </xf>
    <xf numFmtId="3" fontId="32" fillId="0" borderId="0" xfId="0" applyNumberFormat="1" applyFont="1" applyFill="1" applyBorder="1" applyAlignment="1">
      <alignment wrapText="1"/>
    </xf>
    <xf numFmtId="49" fontId="32" fillId="0" borderId="0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4" fontId="4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10" fillId="0" borderId="0" xfId="0" applyNumberFormat="1" applyFont="1" applyBorder="1" applyAlignment="1">
      <alignment horizontal="left" wrapText="1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 wrapText="1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4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 horizontal="left" wrapText="1"/>
    </xf>
    <xf numFmtId="3" fontId="43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4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7" fillId="0" borderId="0" xfId="0" applyFont="1" applyAlignment="1">
      <alignment horizontal="right" vertical="top"/>
    </xf>
    <xf numFmtId="0" fontId="45" fillId="0" borderId="0" xfId="0" applyFont="1" applyAlignment="1">
      <alignment horizontal="centerContinuous"/>
    </xf>
    <xf numFmtId="0" fontId="37" fillId="0" borderId="0" xfId="0" applyFont="1" applyBorder="1" applyAlignment="1">
      <alignment horizontal="left" vertical="center"/>
    </xf>
    <xf numFmtId="169" fontId="4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169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169" fontId="33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/>
    </xf>
    <xf numFmtId="169" fontId="33" fillId="0" borderId="0" xfId="0" applyNumberFormat="1" applyFont="1" applyFill="1" applyBorder="1" applyAlignment="1">
      <alignment/>
    </xf>
    <xf numFmtId="169" fontId="47" fillId="0" borderId="0" xfId="0" applyNumberFormat="1" applyFont="1" applyFill="1" applyBorder="1" applyAlignment="1">
      <alignment horizontal="right"/>
    </xf>
    <xf numFmtId="169" fontId="33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169" fontId="47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169" fontId="32" fillId="0" borderId="0" xfId="0" applyNumberFormat="1" applyFont="1" applyAlignment="1">
      <alignment/>
    </xf>
    <xf numFmtId="0" fontId="37" fillId="0" borderId="0" xfId="0" applyFont="1" applyBorder="1" applyAlignment="1">
      <alignment horizontal="center"/>
    </xf>
    <xf numFmtId="169" fontId="37" fillId="0" borderId="0" xfId="0" applyNumberFormat="1" applyFont="1" applyFill="1" applyBorder="1" applyAlignment="1">
      <alignment horizontal="right"/>
    </xf>
    <xf numFmtId="0" fontId="37" fillId="0" borderId="0" xfId="0" applyFont="1" applyBorder="1" applyAlignment="1">
      <alignment/>
    </xf>
    <xf numFmtId="169" fontId="37" fillId="0" borderId="0" xfId="0" applyNumberFormat="1" applyFont="1" applyFill="1" applyBorder="1" applyAlignment="1">
      <alignment/>
    </xf>
    <xf numFmtId="169" fontId="33" fillId="0" borderId="0" xfId="0" applyNumberFormat="1" applyFont="1" applyBorder="1" applyAlignment="1">
      <alignment/>
    </xf>
    <xf numFmtId="169" fontId="37" fillId="0" borderId="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38" xfId="0" applyFont="1" applyBorder="1" applyAlignment="1">
      <alignment horizontal="center"/>
    </xf>
    <xf numFmtId="169" fontId="33" fillId="0" borderId="39" xfId="0" applyNumberFormat="1" applyFont="1" applyBorder="1" applyAlignment="1">
      <alignment horizontal="center"/>
    </xf>
    <xf numFmtId="169" fontId="33" fillId="0" borderId="40" xfId="0" applyNumberFormat="1" applyFont="1" applyBorder="1" applyAlignment="1">
      <alignment horizontal="center"/>
    </xf>
    <xf numFmtId="169" fontId="33" fillId="0" borderId="31" xfId="0" applyNumberFormat="1" applyFont="1" applyBorder="1" applyAlignment="1">
      <alignment horizontal="center"/>
    </xf>
    <xf numFmtId="0" fontId="37" fillId="0" borderId="41" xfId="0" applyFont="1" applyBorder="1" applyAlignment="1">
      <alignment/>
    </xf>
    <xf numFmtId="169" fontId="37" fillId="0" borderId="23" xfId="0" applyNumberFormat="1" applyFont="1" applyBorder="1" applyAlignment="1">
      <alignment/>
    </xf>
    <xf numFmtId="169" fontId="37" fillId="0" borderId="42" xfId="0" applyNumberFormat="1" applyFont="1" applyBorder="1" applyAlignment="1">
      <alignment/>
    </xf>
    <xf numFmtId="169" fontId="33" fillId="0" borderId="43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9" fontId="33" fillId="0" borderId="34" xfId="0" applyNumberFormat="1" applyFont="1" applyBorder="1" applyAlignment="1">
      <alignment horizontal="center" vertical="center"/>
    </xf>
    <xf numFmtId="169" fontId="33" fillId="0" borderId="37" xfId="0" applyNumberFormat="1" applyFont="1" applyBorder="1" applyAlignment="1">
      <alignment horizontal="center" vertical="center"/>
    </xf>
    <xf numFmtId="169" fontId="33" fillId="0" borderId="2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32" fillId="0" borderId="1" xfId="0" applyFont="1" applyBorder="1" applyAlignment="1">
      <alignment/>
    </xf>
    <xf numFmtId="0" fontId="37" fillId="0" borderId="0" xfId="0" applyFont="1" applyBorder="1" applyAlignment="1">
      <alignment horizontal="left"/>
    </xf>
    <xf numFmtId="169" fontId="47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3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48" fillId="0" borderId="1" xfId="0" applyFont="1" applyBorder="1" applyAlignment="1">
      <alignment/>
    </xf>
    <xf numFmtId="0" fontId="47" fillId="0" borderId="0" xfId="0" applyFont="1" applyBorder="1" applyAlignment="1">
      <alignment wrapText="1"/>
    </xf>
    <xf numFmtId="0" fontId="32" fillId="0" borderId="3" xfId="0" applyFont="1" applyBorder="1" applyAlignment="1">
      <alignment/>
    </xf>
    <xf numFmtId="0" fontId="25" fillId="0" borderId="1" xfId="0" applyFont="1" applyBorder="1" applyAlignment="1">
      <alignment/>
    </xf>
    <xf numFmtId="169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169" fontId="3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20" xfId="0" applyFont="1" applyBorder="1" applyAlignment="1">
      <alignment horizontal="right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15" fillId="0" borderId="47" xfId="0" applyNumberFormat="1" applyFont="1" applyBorder="1" applyAlignment="1">
      <alignment horizontal="center"/>
    </xf>
    <xf numFmtId="3" fontId="15" fillId="0" borderId="48" xfId="0" applyNumberFormat="1" applyFont="1" applyBorder="1" applyAlignment="1">
      <alignment horizontal="center"/>
    </xf>
    <xf numFmtId="3" fontId="15" fillId="0" borderId="4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0" fontId="32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F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gada%20p&#257;rskats%202000\1-sejums\bi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gada%20p&#257;rskats%202000\1-sejums\Piel.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ur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s"/>
      <sheetName val="pasvaldības"/>
      <sheetName val="ministrijas"/>
    </sheetNames>
    <sheetDataSet>
      <sheetData sheetId="1">
        <row r="11">
          <cell r="H11">
            <v>748076084</v>
          </cell>
          <cell r="I11">
            <v>1193583058</v>
          </cell>
        </row>
        <row r="13">
          <cell r="H13">
            <v>1064995</v>
          </cell>
          <cell r="I13">
            <v>2414301</v>
          </cell>
        </row>
        <row r="14">
          <cell r="H14">
            <v>895552</v>
          </cell>
          <cell r="I14">
            <v>1194484</v>
          </cell>
        </row>
        <row r="15">
          <cell r="H15">
            <v>169658</v>
          </cell>
          <cell r="I15">
            <v>1220032</v>
          </cell>
        </row>
        <row r="16">
          <cell r="H16">
            <v>642070527</v>
          </cell>
          <cell r="I16">
            <v>892547786</v>
          </cell>
        </row>
        <row r="17">
          <cell r="H17">
            <v>65461575</v>
          </cell>
          <cell r="I17">
            <v>93274521</v>
          </cell>
        </row>
        <row r="18">
          <cell r="H18">
            <v>552528469</v>
          </cell>
          <cell r="I18">
            <v>823628067</v>
          </cell>
        </row>
        <row r="19">
          <cell r="H19">
            <v>164142529</v>
          </cell>
          <cell r="I19">
            <v>279064198</v>
          </cell>
        </row>
        <row r="20">
          <cell r="H20">
            <v>165877374</v>
          </cell>
          <cell r="I20">
            <v>192860768</v>
          </cell>
        </row>
        <row r="21">
          <cell r="H21">
            <v>68422512</v>
          </cell>
          <cell r="I21">
            <v>164544303</v>
          </cell>
        </row>
        <row r="22">
          <cell r="H22">
            <v>14764468</v>
          </cell>
          <cell r="I22">
            <v>25231162</v>
          </cell>
        </row>
        <row r="23">
          <cell r="H23">
            <v>123556970</v>
          </cell>
          <cell r="I23">
            <v>138270277</v>
          </cell>
        </row>
        <row r="24">
          <cell r="H24">
            <v>169106</v>
          </cell>
          <cell r="I24">
            <v>2531209</v>
          </cell>
        </row>
        <row r="25">
          <cell r="H25">
            <v>3463496</v>
          </cell>
          <cell r="I25">
            <v>8108671</v>
          </cell>
        </row>
        <row r="26">
          <cell r="H26">
            <v>707</v>
          </cell>
          <cell r="I26">
            <v>7985</v>
          </cell>
        </row>
        <row r="27">
          <cell r="H27">
            <v>123608</v>
          </cell>
          <cell r="I27">
            <v>136783</v>
          </cell>
        </row>
        <row r="28">
          <cell r="H28">
            <v>12007699</v>
          </cell>
          <cell r="I28">
            <v>12872711</v>
          </cell>
        </row>
        <row r="29">
          <cell r="H29">
            <v>32153280</v>
          </cell>
          <cell r="I29">
            <v>29417204</v>
          </cell>
        </row>
        <row r="30">
          <cell r="H30">
            <v>50025543</v>
          </cell>
          <cell r="I30">
            <v>55849902</v>
          </cell>
        </row>
        <row r="31">
          <cell r="H31">
            <v>72824810</v>
          </cell>
          <cell r="I31">
            <v>76927134</v>
          </cell>
        </row>
        <row r="32">
          <cell r="H32">
            <v>21570641</v>
          </cell>
          <cell r="I32">
            <v>19335506</v>
          </cell>
        </row>
        <row r="33">
          <cell r="H33">
            <v>11885470</v>
          </cell>
          <cell r="I33">
            <v>14162496</v>
          </cell>
        </row>
        <row r="34">
          <cell r="H34">
            <v>13005271</v>
          </cell>
          <cell r="I34">
            <v>14977160</v>
          </cell>
        </row>
        <row r="35">
          <cell r="H35">
            <v>26601</v>
          </cell>
          <cell r="I35">
            <v>27251</v>
          </cell>
        </row>
        <row r="36">
          <cell r="H36">
            <v>40400</v>
          </cell>
          <cell r="I36">
            <v>37469</v>
          </cell>
        </row>
        <row r="37">
          <cell r="H37">
            <v>26296427</v>
          </cell>
          <cell r="I37">
            <v>28387252</v>
          </cell>
        </row>
        <row r="38">
          <cell r="H38">
            <v>104940562</v>
          </cell>
          <cell r="I38">
            <v>298620502</v>
          </cell>
        </row>
        <row r="39">
          <cell r="H39">
            <v>102338842</v>
          </cell>
          <cell r="I39">
            <v>180284192</v>
          </cell>
        </row>
        <row r="40">
          <cell r="H40">
            <v>232048</v>
          </cell>
          <cell r="I40">
            <v>2577720</v>
          </cell>
        </row>
        <row r="41">
          <cell r="H41">
            <v>2353154</v>
          </cell>
          <cell r="I41">
            <v>10824950</v>
          </cell>
        </row>
        <row r="42">
          <cell r="H42">
            <v>16518</v>
          </cell>
          <cell r="I42">
            <v>104933640</v>
          </cell>
        </row>
        <row r="43">
          <cell r="H43">
            <v>64302111</v>
          </cell>
          <cell r="I43">
            <v>109490786</v>
          </cell>
        </row>
        <row r="44">
          <cell r="H44">
            <v>3828990</v>
          </cell>
          <cell r="I44">
            <v>4292023</v>
          </cell>
        </row>
        <row r="45">
          <cell r="H45">
            <v>3756987</v>
          </cell>
          <cell r="I45">
            <v>4220503</v>
          </cell>
        </row>
        <row r="46">
          <cell r="H46">
            <v>1499</v>
          </cell>
          <cell r="I46">
            <v>1703</v>
          </cell>
        </row>
        <row r="47">
          <cell r="H47">
            <v>68301</v>
          </cell>
          <cell r="I47">
            <v>66913</v>
          </cell>
        </row>
        <row r="48">
          <cell r="H48">
            <v>2203</v>
          </cell>
          <cell r="I48">
            <v>2904</v>
          </cell>
        </row>
        <row r="51">
          <cell r="H51">
            <v>13183</v>
          </cell>
          <cell r="I51">
            <v>14514</v>
          </cell>
        </row>
        <row r="52">
          <cell r="H52">
            <v>27355635</v>
          </cell>
          <cell r="I52">
            <v>66732717</v>
          </cell>
        </row>
        <row r="53">
          <cell r="H53">
            <v>4358736</v>
          </cell>
          <cell r="I53">
            <v>2436846</v>
          </cell>
        </row>
        <row r="54">
          <cell r="H54">
            <v>3276492</v>
          </cell>
          <cell r="I54">
            <v>4507189</v>
          </cell>
        </row>
        <row r="56">
          <cell r="H56">
            <v>25469075</v>
          </cell>
          <cell r="I56">
            <v>31506627</v>
          </cell>
        </row>
        <row r="57">
          <cell r="H57">
            <v>261340</v>
          </cell>
          <cell r="I57">
            <v>233479</v>
          </cell>
        </row>
        <row r="58">
          <cell r="H58">
            <v>14773040</v>
          </cell>
          <cell r="I58">
            <v>11949893</v>
          </cell>
        </row>
        <row r="59">
          <cell r="H59">
            <v>9460451</v>
          </cell>
          <cell r="I59">
            <v>17327029</v>
          </cell>
        </row>
        <row r="60">
          <cell r="H60">
            <v>755290</v>
          </cell>
          <cell r="I60">
            <v>1837801</v>
          </cell>
        </row>
        <row r="61">
          <cell r="H61">
            <v>23539</v>
          </cell>
          <cell r="I61">
            <v>65158</v>
          </cell>
        </row>
        <row r="62">
          <cell r="H62">
            <v>29462</v>
          </cell>
          <cell r="I62">
            <v>24219</v>
          </cell>
        </row>
        <row r="63">
          <cell r="H63">
            <v>7</v>
          </cell>
          <cell r="I63">
            <v>6</v>
          </cell>
        </row>
        <row r="64">
          <cell r="H64">
            <v>165946</v>
          </cell>
          <cell r="I64">
            <v>69042</v>
          </cell>
        </row>
        <row r="66">
          <cell r="H66">
            <v>812378195</v>
          </cell>
          <cell r="I66">
            <v>1303073844</v>
          </cell>
        </row>
        <row r="71">
          <cell r="H71">
            <v>719814967</v>
          </cell>
          <cell r="I71">
            <v>1189294124</v>
          </cell>
        </row>
        <row r="73">
          <cell r="H73">
            <v>684818754</v>
          </cell>
          <cell r="I73">
            <v>1128175673</v>
          </cell>
        </row>
        <row r="74">
          <cell r="H74">
            <v>2068337</v>
          </cell>
          <cell r="I74">
            <v>9612694</v>
          </cell>
        </row>
        <row r="75">
          <cell r="H75">
            <v>32929777</v>
          </cell>
          <cell r="I75">
            <v>51505757</v>
          </cell>
        </row>
        <row r="76">
          <cell r="H76">
            <v>-2182184</v>
          </cell>
          <cell r="I76">
            <v>9616642</v>
          </cell>
        </row>
        <row r="77">
          <cell r="H77">
            <v>21749155</v>
          </cell>
          <cell r="I77">
            <v>30528718</v>
          </cell>
        </row>
        <row r="78">
          <cell r="H78">
            <v>3894066</v>
          </cell>
          <cell r="I78">
            <v>220467</v>
          </cell>
        </row>
        <row r="79">
          <cell r="H79">
            <v>9468740</v>
          </cell>
          <cell r="I79">
            <v>11139930</v>
          </cell>
        </row>
        <row r="82">
          <cell r="H82">
            <v>92563228</v>
          </cell>
          <cell r="I82">
            <v>113779720</v>
          </cell>
        </row>
        <row r="83">
          <cell r="H83">
            <v>55086352</v>
          </cell>
          <cell r="I83">
            <v>85665543</v>
          </cell>
        </row>
        <row r="84">
          <cell r="H84">
            <v>115721</v>
          </cell>
          <cell r="I84">
            <v>103390</v>
          </cell>
        </row>
        <row r="85">
          <cell r="H85">
            <v>11827408</v>
          </cell>
          <cell r="I85">
            <v>12846069</v>
          </cell>
        </row>
        <row r="87">
          <cell r="H87">
            <v>15505229</v>
          </cell>
          <cell r="I87">
            <v>3367465</v>
          </cell>
        </row>
        <row r="88">
          <cell r="H88">
            <v>4263561</v>
          </cell>
          <cell r="I88">
            <v>5136603</v>
          </cell>
        </row>
        <row r="89">
          <cell r="H89">
            <v>5764957</v>
          </cell>
          <cell r="I89">
            <v>6660650</v>
          </cell>
        </row>
        <row r="91">
          <cell r="H91">
            <v>812378195</v>
          </cell>
          <cell r="I91">
            <v>1303073844</v>
          </cell>
        </row>
      </sheetData>
      <sheetData sheetId="2">
        <row r="11">
          <cell r="H11">
            <v>788978540</v>
          </cell>
          <cell r="I11">
            <v>730692203</v>
          </cell>
        </row>
        <row r="13">
          <cell r="H13">
            <v>6131032</v>
          </cell>
          <cell r="I13">
            <v>9151000</v>
          </cell>
        </row>
        <row r="14">
          <cell r="H14">
            <v>6131032</v>
          </cell>
          <cell r="I14">
            <v>9151000</v>
          </cell>
        </row>
        <row r="16">
          <cell r="H16">
            <v>774720931</v>
          </cell>
          <cell r="I16">
            <v>708143824</v>
          </cell>
        </row>
        <row r="17">
          <cell r="I17">
            <v>113353220</v>
          </cell>
        </row>
        <row r="18">
          <cell r="H18">
            <v>586959862</v>
          </cell>
          <cell r="I18">
            <v>614289539</v>
          </cell>
        </row>
        <row r="19">
          <cell r="H19">
            <v>51860504</v>
          </cell>
          <cell r="I19">
            <v>51655305</v>
          </cell>
        </row>
        <row r="20">
          <cell r="H20">
            <v>132501878</v>
          </cell>
          <cell r="I20">
            <v>146188322</v>
          </cell>
        </row>
        <row r="21">
          <cell r="H21">
            <v>151776193</v>
          </cell>
          <cell r="I21">
            <v>140580675</v>
          </cell>
        </row>
        <row r="22">
          <cell r="H22">
            <v>241587597</v>
          </cell>
          <cell r="I22">
            <v>257433327</v>
          </cell>
        </row>
        <row r="23">
          <cell r="H23">
            <v>4447519</v>
          </cell>
          <cell r="I23">
            <v>10119910</v>
          </cell>
        </row>
        <row r="24">
          <cell r="H24">
            <v>17303</v>
          </cell>
          <cell r="I24">
            <v>15094</v>
          </cell>
        </row>
        <row r="25">
          <cell r="I25">
            <v>279958</v>
          </cell>
        </row>
        <row r="27">
          <cell r="H27">
            <v>3230</v>
          </cell>
          <cell r="I27">
            <v>3035</v>
          </cell>
        </row>
        <row r="28">
          <cell r="H28">
            <v>4765638</v>
          </cell>
          <cell r="I28">
            <v>8013913</v>
          </cell>
        </row>
        <row r="29">
          <cell r="H29">
            <v>21720619</v>
          </cell>
          <cell r="I29">
            <v>20422834</v>
          </cell>
        </row>
        <row r="30">
          <cell r="H30">
            <v>72997933</v>
          </cell>
          <cell r="I30">
            <v>86789268</v>
          </cell>
        </row>
        <row r="31">
          <cell r="H31">
            <v>93042517</v>
          </cell>
          <cell r="I31">
            <v>99995403</v>
          </cell>
        </row>
        <row r="32">
          <cell r="H32">
            <v>32845816</v>
          </cell>
          <cell r="I32">
            <v>33824595</v>
          </cell>
        </row>
        <row r="33">
          <cell r="H33">
            <v>16404367</v>
          </cell>
          <cell r="I33">
            <v>19088173</v>
          </cell>
        </row>
        <row r="34">
          <cell r="H34">
            <v>4910098</v>
          </cell>
          <cell r="I34">
            <v>5546000</v>
          </cell>
        </row>
        <row r="35">
          <cell r="H35">
            <v>14033</v>
          </cell>
          <cell r="I35">
            <v>14018</v>
          </cell>
        </row>
        <row r="36">
          <cell r="H36">
            <v>51475</v>
          </cell>
          <cell r="I36">
            <v>57356</v>
          </cell>
        </row>
        <row r="37">
          <cell r="H37">
            <v>38816728</v>
          </cell>
          <cell r="I37">
            <v>41465261</v>
          </cell>
        </row>
        <row r="38">
          <cell r="H38">
            <v>8126577</v>
          </cell>
          <cell r="I38">
            <v>13397379</v>
          </cell>
        </row>
        <row r="39">
          <cell r="H39">
            <v>203600</v>
          </cell>
          <cell r="I39">
            <v>2167973</v>
          </cell>
        </row>
        <row r="40">
          <cell r="H40">
            <v>6909890</v>
          </cell>
          <cell r="I40">
            <v>5856813</v>
          </cell>
        </row>
        <row r="41">
          <cell r="H41">
            <v>893087</v>
          </cell>
          <cell r="I41">
            <v>5252593</v>
          </cell>
        </row>
        <row r="42">
          <cell r="H42">
            <v>120000</v>
          </cell>
          <cell r="I42">
            <v>120000</v>
          </cell>
        </row>
        <row r="43">
          <cell r="H43">
            <v>64406681</v>
          </cell>
          <cell r="I43">
            <v>66353894</v>
          </cell>
        </row>
        <row r="44">
          <cell r="H44">
            <v>10231071</v>
          </cell>
          <cell r="I44">
            <v>10254210</v>
          </cell>
        </row>
        <row r="45">
          <cell r="H45">
            <v>9318494</v>
          </cell>
          <cell r="I45">
            <v>9088907</v>
          </cell>
        </row>
        <row r="46">
          <cell r="H46">
            <v>84986</v>
          </cell>
          <cell r="I46">
            <v>47878</v>
          </cell>
        </row>
        <row r="47">
          <cell r="H47">
            <v>821670</v>
          </cell>
          <cell r="I47">
            <v>797598</v>
          </cell>
        </row>
        <row r="48">
          <cell r="H48">
            <v>5921</v>
          </cell>
          <cell r="I48">
            <v>319815</v>
          </cell>
        </row>
        <row r="49">
          <cell r="I49">
            <v>12</v>
          </cell>
        </row>
        <row r="51">
          <cell r="H51">
            <v>357250</v>
          </cell>
          <cell r="I51">
            <v>236052</v>
          </cell>
        </row>
        <row r="52">
          <cell r="H52">
            <v>22668982</v>
          </cell>
          <cell r="I52">
            <v>25919136</v>
          </cell>
        </row>
        <row r="53">
          <cell r="H53">
            <v>4470518</v>
          </cell>
          <cell r="I53">
            <v>2705154</v>
          </cell>
        </row>
        <row r="54">
          <cell r="H54">
            <v>136528</v>
          </cell>
          <cell r="I54">
            <v>8882251</v>
          </cell>
        </row>
        <row r="56">
          <cell r="H56">
            <v>26542332</v>
          </cell>
          <cell r="I56">
            <v>18357091</v>
          </cell>
        </row>
        <row r="57">
          <cell r="H57">
            <v>179213</v>
          </cell>
          <cell r="I57">
            <v>38667</v>
          </cell>
        </row>
        <row r="58">
          <cell r="H58">
            <v>4796275</v>
          </cell>
          <cell r="I58">
            <v>2596114</v>
          </cell>
        </row>
        <row r="59">
          <cell r="H59">
            <v>10359217</v>
          </cell>
          <cell r="I59">
            <v>10022544</v>
          </cell>
        </row>
        <row r="60">
          <cell r="H60">
            <v>3347345</v>
          </cell>
          <cell r="I60">
            <v>2853676</v>
          </cell>
        </row>
        <row r="61">
          <cell r="H61">
            <v>5088739</v>
          </cell>
          <cell r="I61">
            <v>2260740</v>
          </cell>
        </row>
        <row r="62">
          <cell r="H62">
            <v>652806</v>
          </cell>
          <cell r="I62">
            <v>100538</v>
          </cell>
        </row>
        <row r="63">
          <cell r="H63">
            <v>56851</v>
          </cell>
          <cell r="I63">
            <v>61429</v>
          </cell>
        </row>
        <row r="64">
          <cell r="H64">
            <v>2061886</v>
          </cell>
          <cell r="I64">
            <v>423383</v>
          </cell>
        </row>
        <row r="66">
          <cell r="H66">
            <v>853385221</v>
          </cell>
          <cell r="I66">
            <v>797046097</v>
          </cell>
        </row>
        <row r="71">
          <cell r="H71">
            <v>730804054</v>
          </cell>
          <cell r="I71">
            <v>642865482</v>
          </cell>
        </row>
        <row r="73">
          <cell r="H73">
            <v>761771206</v>
          </cell>
          <cell r="I73">
            <v>699844473</v>
          </cell>
        </row>
        <row r="74">
          <cell r="H74">
            <v>6088632</v>
          </cell>
          <cell r="I74">
            <v>5768646</v>
          </cell>
        </row>
        <row r="75">
          <cell r="H75">
            <v>-37055784</v>
          </cell>
          <cell r="I75">
            <v>-62747637</v>
          </cell>
        </row>
        <row r="76">
          <cell r="H76">
            <v>22681109</v>
          </cell>
          <cell r="I76">
            <v>24197469</v>
          </cell>
        </row>
        <row r="77">
          <cell r="H77">
            <v>-65247794</v>
          </cell>
          <cell r="I77">
            <v>-91228435</v>
          </cell>
        </row>
        <row r="78">
          <cell r="H78">
            <v>1114886</v>
          </cell>
          <cell r="I78">
            <v>566191</v>
          </cell>
        </row>
        <row r="79">
          <cell r="H79">
            <v>4396015</v>
          </cell>
          <cell r="I79">
            <v>3717138</v>
          </cell>
        </row>
        <row r="82">
          <cell r="H82">
            <v>122581167</v>
          </cell>
          <cell r="I82">
            <v>154180615</v>
          </cell>
        </row>
        <row r="83">
          <cell r="H83">
            <v>81538093</v>
          </cell>
          <cell r="I83">
            <v>119807310</v>
          </cell>
        </row>
        <row r="84">
          <cell r="H84">
            <v>571583</v>
          </cell>
          <cell r="I84">
            <v>410201</v>
          </cell>
        </row>
        <row r="85">
          <cell r="H85">
            <v>16153996</v>
          </cell>
          <cell r="I85">
            <v>16333373</v>
          </cell>
        </row>
        <row r="87">
          <cell r="H87">
            <v>7146089</v>
          </cell>
          <cell r="I87">
            <v>3177895</v>
          </cell>
        </row>
        <row r="88">
          <cell r="H88">
            <v>7177727</v>
          </cell>
          <cell r="I88">
            <v>7126715</v>
          </cell>
        </row>
        <row r="89">
          <cell r="H89">
            <v>9993679</v>
          </cell>
          <cell r="I89">
            <v>7325121</v>
          </cell>
        </row>
        <row r="91">
          <cell r="H91">
            <v>853385221</v>
          </cell>
          <cell r="I91">
            <v>797046097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zm-Atm"/>
      <sheetName val="Izm-Atam"/>
      <sheetName val="Kursi"/>
      <sheetName val="2001 val m"/>
      <sheetName val="2001 lati m"/>
      <sheetName val="2001 val d1"/>
      <sheetName val="2001 val d2"/>
      <sheetName val="2001 lati d1"/>
      <sheetName val="2001lati d2"/>
    </sheetNames>
    <sheetDataSet>
      <sheetData sheetId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0.1743383</v>
          </cell>
          <cell r="F11">
            <v>0.1961864</v>
          </cell>
          <cell r="G11">
            <v>0.1743383</v>
          </cell>
          <cell r="H11">
            <v>0.1961864</v>
          </cell>
          <cell r="I11">
            <v>0.7410494000000001</v>
          </cell>
          <cell r="J11">
            <v>0.56</v>
          </cell>
        </row>
        <row r="12">
          <cell r="E12">
            <v>0.01336225</v>
          </cell>
          <cell r="F12">
            <v>0.01210475</v>
          </cell>
          <cell r="G12">
            <v>0.01009985</v>
          </cell>
          <cell r="H12">
            <v>0.00858975</v>
          </cell>
          <cell r="I12">
            <v>0.0441566</v>
          </cell>
          <cell r="J12">
            <v>0.05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E14">
            <v>0.1743383</v>
          </cell>
          <cell r="F14">
            <v>0.1961864</v>
          </cell>
          <cell r="G14">
            <v>0.1743383</v>
          </cell>
          <cell r="H14">
            <v>0.1961864</v>
          </cell>
          <cell r="I14">
            <v>0.7410494000000001</v>
          </cell>
          <cell r="J14">
            <v>0.56</v>
          </cell>
          <cell r="K14">
            <v>0</v>
          </cell>
        </row>
        <row r="15">
          <cell r="E15">
            <v>0.01336225</v>
          </cell>
          <cell r="F15">
            <v>0.01210475</v>
          </cell>
          <cell r="G15">
            <v>0.01009985</v>
          </cell>
          <cell r="H15">
            <v>0.00858975</v>
          </cell>
          <cell r="I15">
            <v>0.0441566</v>
          </cell>
          <cell r="J15">
            <v>0.05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1.02087455</v>
          </cell>
          <cell r="F18">
            <v>0</v>
          </cell>
          <cell r="G18">
            <v>1.02087455</v>
          </cell>
          <cell r="H18">
            <v>0</v>
          </cell>
          <cell r="I18">
            <v>2.0417491</v>
          </cell>
          <cell r="J18">
            <v>2.0417491</v>
          </cell>
          <cell r="K18">
            <v>2.0417491</v>
          </cell>
          <cell r="L18">
            <v>2.0417491</v>
          </cell>
          <cell r="M18">
            <v>2.0417491</v>
          </cell>
          <cell r="N18">
            <v>1.02087455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0.021777130000000002</v>
          </cell>
          <cell r="G21">
            <v>0</v>
          </cell>
          <cell r="H21">
            <v>0.021777130000000002</v>
          </cell>
          <cell r="I21">
            <v>0.043554260000000004</v>
          </cell>
          <cell r="J21">
            <v>0.04355426</v>
          </cell>
          <cell r="K21">
            <v>0.04355426</v>
          </cell>
          <cell r="L21">
            <v>0.04355426</v>
          </cell>
          <cell r="M21">
            <v>0.04355426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E24">
            <v>1.02087455</v>
          </cell>
          <cell r="F24">
            <v>0.021777130000000002</v>
          </cell>
          <cell r="G24">
            <v>1.02087455</v>
          </cell>
          <cell r="H24">
            <v>0.021777130000000002</v>
          </cell>
          <cell r="I24">
            <v>2.0853033599999997</v>
          </cell>
          <cell r="J24">
            <v>2.08530336</v>
          </cell>
          <cell r="K24">
            <v>2.08530336</v>
          </cell>
          <cell r="L24">
            <v>2.08530336</v>
          </cell>
          <cell r="M24">
            <v>2.08530336</v>
          </cell>
          <cell r="N24">
            <v>1.02087455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0.21141783</v>
          </cell>
          <cell r="G28">
            <v>0</v>
          </cell>
          <cell r="H28">
            <v>0.21141783</v>
          </cell>
          <cell r="I28">
            <v>0.42283566</v>
          </cell>
          <cell r="J28">
            <v>0.42</v>
          </cell>
          <cell r="K28">
            <v>0.42</v>
          </cell>
          <cell r="L28">
            <v>0.34</v>
          </cell>
        </row>
        <row r="29">
          <cell r="E29">
            <v>0</v>
          </cell>
          <cell r="F29">
            <v>0.03408176</v>
          </cell>
          <cell r="G29">
            <v>0</v>
          </cell>
          <cell r="H29">
            <v>0.029768689999999997</v>
          </cell>
          <cell r="I29">
            <v>0.06385045</v>
          </cell>
          <cell r="J29">
            <v>0.045898</v>
          </cell>
          <cell r="K29">
            <v>0.03</v>
          </cell>
          <cell r="L29">
            <v>0.01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0.18150861999999998</v>
          </cell>
          <cell r="F31">
            <v>0</v>
          </cell>
          <cell r="G31">
            <v>0.18150861999999998</v>
          </cell>
          <cell r="H31">
            <v>0</v>
          </cell>
          <cell r="I31">
            <v>0.36301723999999996</v>
          </cell>
          <cell r="J31">
            <v>0.36</v>
          </cell>
          <cell r="K31">
            <v>0.36</v>
          </cell>
          <cell r="L31">
            <v>0.36</v>
          </cell>
          <cell r="M31">
            <v>0.36</v>
          </cell>
          <cell r="N31">
            <v>0.36</v>
          </cell>
        </row>
        <row r="32">
          <cell r="E32">
            <v>0.098172</v>
          </cell>
          <cell r="F32">
            <v>0</v>
          </cell>
          <cell r="G32">
            <v>0.07129100999999999</v>
          </cell>
          <cell r="H32">
            <v>0</v>
          </cell>
          <cell r="I32">
            <v>0.16946300999999997</v>
          </cell>
          <cell r="J32">
            <v>0.133495</v>
          </cell>
          <cell r="K32">
            <v>0.12</v>
          </cell>
          <cell r="L32">
            <v>0.11</v>
          </cell>
          <cell r="M32">
            <v>0.09</v>
          </cell>
          <cell r="N32">
            <v>0.08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0.28376699406390127</v>
          </cell>
          <cell r="K34">
            <v>0.5879856633756513</v>
          </cell>
          <cell r="L34">
            <v>0.6084373386234999</v>
          </cell>
          <cell r="M34">
            <v>0.634001932683311</v>
          </cell>
          <cell r="N34">
            <v>0.6570100673371407</v>
          </cell>
        </row>
        <row r="35">
          <cell r="E35">
            <v>0</v>
          </cell>
          <cell r="F35">
            <v>0.0996781</v>
          </cell>
          <cell r="G35">
            <v>0</v>
          </cell>
          <cell r="H35">
            <v>0.12156457000000001</v>
          </cell>
          <cell r="I35">
            <v>0.22124267000000003</v>
          </cell>
          <cell r="J35">
            <v>0.43968</v>
          </cell>
          <cell r="K35">
            <v>0.22534</v>
          </cell>
          <cell r="L35">
            <v>0.23006979</v>
          </cell>
          <cell r="M35">
            <v>0.21323634</v>
          </cell>
          <cell r="N35">
            <v>0.19599174000000003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0.07380258</v>
          </cell>
          <cell r="G37">
            <v>0</v>
          </cell>
          <cell r="H37">
            <v>0</v>
          </cell>
          <cell r="I37">
            <v>0.07380258</v>
          </cell>
        </row>
        <row r="38">
          <cell r="E38">
            <v>0</v>
          </cell>
          <cell r="F38">
            <v>0.0017821900000000001</v>
          </cell>
          <cell r="G38">
            <v>0</v>
          </cell>
          <cell r="H38">
            <v>0</v>
          </cell>
          <cell r="I38">
            <v>0.0017821900000000001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0.85783414</v>
          </cell>
          <cell r="G40">
            <v>0</v>
          </cell>
          <cell r="H40">
            <v>0.85783414</v>
          </cell>
          <cell r="I40">
            <v>1.71566828</v>
          </cell>
          <cell r="J40">
            <v>5.15</v>
          </cell>
          <cell r="K40">
            <v>5.15</v>
          </cell>
          <cell r="L40">
            <v>5.15</v>
          </cell>
          <cell r="M40">
            <v>5.15</v>
          </cell>
          <cell r="N40">
            <v>5.15</v>
          </cell>
        </row>
        <row r="41">
          <cell r="E41">
            <v>0</v>
          </cell>
          <cell r="F41">
            <v>1.190638</v>
          </cell>
          <cell r="G41">
            <v>0</v>
          </cell>
          <cell r="H41">
            <v>1.207537</v>
          </cell>
          <cell r="I41">
            <v>2.398175</v>
          </cell>
          <cell r="J41">
            <v>2.28703</v>
          </cell>
          <cell r="K41">
            <v>2.01</v>
          </cell>
          <cell r="L41">
            <v>1.75</v>
          </cell>
          <cell r="M41">
            <v>1.47</v>
          </cell>
          <cell r="N41">
            <v>1.19</v>
          </cell>
        </row>
        <row r="42">
          <cell r="E42">
            <v>3.8389830508474576</v>
          </cell>
          <cell r="F42">
            <v>0</v>
          </cell>
          <cell r="G42">
            <v>0</v>
          </cell>
          <cell r="H42">
            <v>0</v>
          </cell>
          <cell r="I42">
            <v>3.8389830508474576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0.01853433</v>
          </cell>
          <cell r="I43">
            <v>0.01853433</v>
          </cell>
          <cell r="J43">
            <v>2.121058513255242</v>
          </cell>
          <cell r="K43">
            <v>2.5905440198381253</v>
          </cell>
          <cell r="L43">
            <v>2.5905440198381253</v>
          </cell>
          <cell r="M43">
            <v>2.5905439789347744</v>
          </cell>
          <cell r="N43">
            <v>2.590546019838125</v>
          </cell>
        </row>
        <row r="44">
          <cell r="E44">
            <v>0</v>
          </cell>
          <cell r="F44">
            <v>0.18312061999999998</v>
          </cell>
          <cell r="G44">
            <v>0</v>
          </cell>
          <cell r="H44">
            <v>0.21850039999999998</v>
          </cell>
          <cell r="I44">
            <v>0.40162102</v>
          </cell>
          <cell r="J44">
            <v>0.300106</v>
          </cell>
          <cell r="K44">
            <v>0.52706</v>
          </cell>
          <cell r="L44">
            <v>0.45677459</v>
          </cell>
          <cell r="M44">
            <v>0.36837701</v>
          </cell>
          <cell r="N44">
            <v>0.28128746000000004</v>
          </cell>
        </row>
        <row r="45">
          <cell r="E45">
            <v>0.35</v>
          </cell>
          <cell r="F45">
            <v>0.882</v>
          </cell>
          <cell r="H45">
            <v>0.274</v>
          </cell>
          <cell r="M45">
            <v>0.72</v>
          </cell>
          <cell r="N45">
            <v>0.28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0.00075414</v>
          </cell>
          <cell r="G47">
            <v>0</v>
          </cell>
          <cell r="H47">
            <v>0.01154318</v>
          </cell>
          <cell r="I47">
            <v>0.01229732</v>
          </cell>
          <cell r="J47">
            <v>0.03333</v>
          </cell>
          <cell r="K47">
            <v>0.03</v>
          </cell>
          <cell r="L47">
            <v>0.03</v>
          </cell>
          <cell r="M47">
            <v>0.03</v>
          </cell>
          <cell r="N47">
            <v>0.03</v>
          </cell>
        </row>
        <row r="48">
          <cell r="J48">
            <v>5.15</v>
          </cell>
          <cell r="K48">
            <v>6.873636363636363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0.043885879999999995</v>
          </cell>
          <cell r="L49">
            <v>3.5803707200000003</v>
          </cell>
          <cell r="M49">
            <v>3.5803707200000003</v>
          </cell>
          <cell r="N49">
            <v>3.5803707200000003</v>
          </cell>
        </row>
        <row r="50">
          <cell r="E50">
            <v>0.05644639</v>
          </cell>
          <cell r="F50">
            <v>0</v>
          </cell>
          <cell r="G50">
            <v>0.22065817</v>
          </cell>
          <cell r="H50">
            <v>0</v>
          </cell>
          <cell r="I50">
            <v>0.27710456</v>
          </cell>
          <cell r="J50">
            <v>0.48819388</v>
          </cell>
          <cell r="K50">
            <v>0.51605807</v>
          </cell>
          <cell r="L50">
            <v>0.49424935</v>
          </cell>
          <cell r="M50">
            <v>0.40684792</v>
          </cell>
          <cell r="N50">
            <v>0.32070912</v>
          </cell>
        </row>
        <row r="51">
          <cell r="E51">
            <v>0.28332337480225983</v>
          </cell>
          <cell r="F51">
            <v>0.4377118644067796</v>
          </cell>
          <cell r="G51">
            <v>0.4377118644067796</v>
          </cell>
          <cell r="H51">
            <v>0.4377118644067796</v>
          </cell>
          <cell r="I51">
            <v>1.5964589680225987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M52">
            <v>0.462046</v>
          </cell>
          <cell r="N52">
            <v>0.462046</v>
          </cell>
        </row>
        <row r="53">
          <cell r="E53">
            <v>0</v>
          </cell>
          <cell r="F53">
            <v>0.16</v>
          </cell>
          <cell r="G53">
            <v>0</v>
          </cell>
          <cell r="H53">
            <v>0.21007836</v>
          </cell>
          <cell r="I53">
            <v>0.37007836</v>
          </cell>
          <cell r="J53">
            <v>0.172862</v>
          </cell>
          <cell r="K53">
            <v>0.229937</v>
          </cell>
          <cell r="L53">
            <v>0.23196908</v>
          </cell>
          <cell r="M53">
            <v>0.2249625</v>
          </cell>
          <cell r="N53">
            <v>0.19967885000000002</v>
          </cell>
        </row>
        <row r="54">
          <cell r="J54">
            <v>0.5541154860238364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2.2632</v>
          </cell>
          <cell r="K55">
            <v>2.2632</v>
          </cell>
          <cell r="L55">
            <v>2.2632</v>
          </cell>
          <cell r="M55">
            <v>2.2632</v>
          </cell>
          <cell r="N55">
            <v>2.2632</v>
          </cell>
        </row>
        <row r="56">
          <cell r="E56">
            <v>0</v>
          </cell>
          <cell r="F56">
            <v>0.21822810999999998</v>
          </cell>
          <cell r="G56">
            <v>0</v>
          </cell>
          <cell r="H56">
            <v>0.21007836</v>
          </cell>
          <cell r="I56">
            <v>0.42830647</v>
          </cell>
          <cell r="J56">
            <v>0.623989</v>
          </cell>
          <cell r="K56">
            <v>0.743173</v>
          </cell>
          <cell r="L56">
            <v>1.0170820742933335</v>
          </cell>
          <cell r="M56">
            <v>0.9202171142933334</v>
          </cell>
          <cell r="N56">
            <v>0.8233521542933335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L58">
            <v>221.5</v>
          </cell>
        </row>
        <row r="59">
          <cell r="E59">
            <v>0</v>
          </cell>
          <cell r="F59">
            <v>14.024077</v>
          </cell>
          <cell r="G59">
            <v>0</v>
          </cell>
          <cell r="H59">
            <v>0</v>
          </cell>
          <cell r="I59">
            <v>14.024077</v>
          </cell>
          <cell r="J59">
            <v>14.024077</v>
          </cell>
          <cell r="K59">
            <v>14.024077</v>
          </cell>
          <cell r="L59">
            <v>17.56</v>
          </cell>
        </row>
        <row r="63">
          <cell r="E63">
            <v>0</v>
          </cell>
          <cell r="F63">
            <v>0</v>
          </cell>
          <cell r="G63">
            <v>0.495</v>
          </cell>
          <cell r="H63">
            <v>0.505</v>
          </cell>
          <cell r="I63">
            <v>1</v>
          </cell>
        </row>
        <row r="64">
          <cell r="E64">
            <v>0</v>
          </cell>
          <cell r="F64">
            <v>0</v>
          </cell>
          <cell r="I64">
            <v>0</v>
          </cell>
          <cell r="M64">
            <v>0.714285714</v>
          </cell>
          <cell r="N64">
            <v>1.428571428</v>
          </cell>
        </row>
        <row r="65">
          <cell r="E65">
            <v>0</v>
          </cell>
          <cell r="F65">
            <v>0</v>
          </cell>
          <cell r="G65">
            <v>0.01</v>
          </cell>
          <cell r="H65">
            <v>0</v>
          </cell>
          <cell r="I65">
            <v>0.01</v>
          </cell>
          <cell r="J65">
            <v>0.23105</v>
          </cell>
          <cell r="K65">
            <v>0.49844999999999995</v>
          </cell>
          <cell r="L65">
            <v>0.79905</v>
          </cell>
          <cell r="M65">
            <v>0.9099999996359999</v>
          </cell>
        </row>
        <row r="66">
          <cell r="J66">
            <v>5.704115486023837</v>
          </cell>
          <cell r="K66">
            <v>6.873636363636363</v>
          </cell>
          <cell r="L66">
            <v>0</v>
          </cell>
          <cell r="M66">
            <v>0.72</v>
          </cell>
          <cell r="N66">
            <v>0.28</v>
          </cell>
        </row>
        <row r="67">
          <cell r="E67">
            <v>0.18150861999999998</v>
          </cell>
          <cell r="F67">
            <v>1.14305455</v>
          </cell>
          <cell r="G67">
            <v>0.18150861999999998</v>
          </cell>
          <cell r="H67">
            <v>1.0877863</v>
          </cell>
          <cell r="I67">
            <v>2.59385809</v>
          </cell>
          <cell r="J67">
            <v>10.598025507319143</v>
          </cell>
          <cell r="K67">
            <v>11.415615563213775</v>
          </cell>
          <cell r="L67">
            <v>236.39255207846165</v>
          </cell>
          <cell r="M67">
            <v>15.754448345618085</v>
          </cell>
          <cell r="N67">
            <v>16.491744235175265</v>
          </cell>
        </row>
        <row r="68">
          <cell r="G68">
            <v>0.30194918</v>
          </cell>
          <cell r="H68">
            <v>2.00907056</v>
          </cell>
          <cell r="J68">
            <v>18.77971088</v>
          </cell>
          <cell r="K68">
            <v>18.95409507</v>
          </cell>
          <cell r="L68">
            <v>22.689194884293336</v>
          </cell>
          <cell r="M68">
            <v>4.633640883929333</v>
          </cell>
          <cell r="N68">
            <v>3.121019324293334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E71">
            <v>109.345</v>
          </cell>
          <cell r="F71">
            <v>0</v>
          </cell>
          <cell r="G71">
            <v>109.345</v>
          </cell>
          <cell r="H71">
            <v>0</v>
          </cell>
          <cell r="I71">
            <v>218.69</v>
          </cell>
          <cell r="J71">
            <v>218.69</v>
          </cell>
          <cell r="K71">
            <v>218.69</v>
          </cell>
          <cell r="L71">
            <v>218.69</v>
          </cell>
          <cell r="M71">
            <v>218.69</v>
          </cell>
          <cell r="N71">
            <v>218.69</v>
          </cell>
        </row>
        <row r="72">
          <cell r="E72">
            <v>38.21</v>
          </cell>
          <cell r="F72">
            <v>0</v>
          </cell>
          <cell r="G72">
            <v>37.081404240000005</v>
          </cell>
          <cell r="H72">
            <v>0</v>
          </cell>
          <cell r="I72">
            <v>75.29140424</v>
          </cell>
          <cell r="J72">
            <v>66.128903</v>
          </cell>
          <cell r="K72">
            <v>57.62566263</v>
          </cell>
          <cell r="L72">
            <v>49.345217399999996</v>
          </cell>
          <cell r="M72">
            <v>40.64261413</v>
          </cell>
          <cell r="N72">
            <v>32.08073022</v>
          </cell>
        </row>
        <row r="73">
          <cell r="E73">
            <v>212.375</v>
          </cell>
          <cell r="F73">
            <v>39.34030515</v>
          </cell>
          <cell r="G73">
            <v>0</v>
          </cell>
          <cell r="H73">
            <v>0</v>
          </cell>
          <cell r="I73">
            <v>251.71530515</v>
          </cell>
        </row>
        <row r="74">
          <cell r="E74">
            <v>46.01</v>
          </cell>
          <cell r="F74">
            <v>104.0025</v>
          </cell>
          <cell r="G74">
            <v>46.01</v>
          </cell>
          <cell r="H74">
            <v>104.0025</v>
          </cell>
          <cell r="I74">
            <v>300.025</v>
          </cell>
          <cell r="J74">
            <v>299.981</v>
          </cell>
          <cell r="K74">
            <v>299.981</v>
          </cell>
          <cell r="L74">
            <v>299.981</v>
          </cell>
          <cell r="M74">
            <v>299.981</v>
          </cell>
          <cell r="N74">
            <v>299.981</v>
          </cell>
        </row>
        <row r="75">
          <cell r="E75">
            <v>46.278709</v>
          </cell>
          <cell r="F75">
            <v>0</v>
          </cell>
          <cell r="G75">
            <v>41.78028712</v>
          </cell>
          <cell r="H75">
            <v>0</v>
          </cell>
          <cell r="I75">
            <v>88.05899611999999</v>
          </cell>
          <cell r="J75">
            <v>73.670845</v>
          </cell>
          <cell r="K75">
            <v>64.053029</v>
          </cell>
          <cell r="L75">
            <v>60.03330789726028</v>
          </cell>
          <cell r="M75">
            <v>49.5938099520548</v>
          </cell>
          <cell r="N75">
            <v>39.24691452739726</v>
          </cell>
        </row>
        <row r="76">
          <cell r="E76">
            <v>212.375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E77">
            <v>155.355</v>
          </cell>
          <cell r="F77">
            <v>104.0025</v>
          </cell>
          <cell r="G77">
            <v>155.355</v>
          </cell>
          <cell r="H77">
            <v>104.0025</v>
          </cell>
          <cell r="I77">
            <v>518.7149999999999</v>
          </cell>
          <cell r="J77">
            <v>518.671</v>
          </cell>
          <cell r="K77">
            <v>518.671</v>
          </cell>
          <cell r="L77">
            <v>518.671</v>
          </cell>
          <cell r="M77">
            <v>518.671</v>
          </cell>
          <cell r="N77">
            <v>518.671</v>
          </cell>
        </row>
        <row r="78">
          <cell r="E78">
            <v>84.488709</v>
          </cell>
          <cell r="F78">
            <v>0</v>
          </cell>
          <cell r="G78">
            <v>78.86169136000001</v>
          </cell>
          <cell r="H78">
            <v>0</v>
          </cell>
          <cell r="I78">
            <v>163.35040036</v>
          </cell>
          <cell r="J78">
            <v>139.799748</v>
          </cell>
          <cell r="K78">
            <v>121.67869163</v>
          </cell>
          <cell r="L78">
            <v>109.37852529726027</v>
          </cell>
          <cell r="M78">
            <v>90.2364240820548</v>
          </cell>
          <cell r="N78">
            <v>71.32764474739726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E81">
            <v>0.117794</v>
          </cell>
          <cell r="F81">
            <v>0</v>
          </cell>
          <cell r="G81">
            <v>0.117794</v>
          </cell>
          <cell r="H81">
            <v>0</v>
          </cell>
          <cell r="I81">
            <v>0.235588</v>
          </cell>
          <cell r="J81">
            <v>0.235588</v>
          </cell>
          <cell r="K81">
            <v>0.235588</v>
          </cell>
          <cell r="L81">
            <v>0.235588</v>
          </cell>
          <cell r="M81">
            <v>0.235588</v>
          </cell>
          <cell r="N81">
            <v>0.235588</v>
          </cell>
        </row>
        <row r="82">
          <cell r="E82">
            <v>0.05</v>
          </cell>
          <cell r="F82">
            <v>0</v>
          </cell>
          <cell r="G82">
            <v>0.042406</v>
          </cell>
          <cell r="H82">
            <v>0</v>
          </cell>
          <cell r="I82">
            <v>0.092406</v>
          </cell>
          <cell r="J82">
            <v>0.053431</v>
          </cell>
          <cell r="K82">
            <v>0.060074</v>
          </cell>
          <cell r="L82">
            <v>0.045939999999999995</v>
          </cell>
          <cell r="M82">
            <v>0.031804</v>
          </cell>
          <cell r="N82">
            <v>0.017668999999999997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0.156326</v>
          </cell>
          <cell r="K84">
            <v>0.312652</v>
          </cell>
          <cell r="L84">
            <v>0.312652</v>
          </cell>
          <cell r="M84">
            <v>0.312652</v>
          </cell>
          <cell r="N84">
            <v>0.312652</v>
          </cell>
        </row>
        <row r="85">
          <cell r="E85">
            <v>0.037401</v>
          </cell>
          <cell r="F85">
            <v>0</v>
          </cell>
          <cell r="G85">
            <v>0.036848</v>
          </cell>
          <cell r="H85">
            <v>0</v>
          </cell>
          <cell r="I85">
            <v>0.074249</v>
          </cell>
          <cell r="J85">
            <v>0.074286</v>
          </cell>
          <cell r="K85">
            <v>0.089106</v>
          </cell>
          <cell r="L85">
            <v>0.070346</v>
          </cell>
          <cell r="M85">
            <v>0.051588</v>
          </cell>
          <cell r="N85">
            <v>0.032828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E87">
            <v>0.117794</v>
          </cell>
          <cell r="F87">
            <v>0</v>
          </cell>
          <cell r="G87">
            <v>0.117794</v>
          </cell>
          <cell r="H87">
            <v>0</v>
          </cell>
          <cell r="I87">
            <v>0.235588</v>
          </cell>
          <cell r="J87">
            <v>0.391914</v>
          </cell>
          <cell r="K87">
            <v>0.54824</v>
          </cell>
          <cell r="L87">
            <v>0.54824</v>
          </cell>
          <cell r="M87">
            <v>0.54824</v>
          </cell>
          <cell r="N87">
            <v>0.54824</v>
          </cell>
        </row>
        <row r="88">
          <cell r="E88">
            <v>0.087401</v>
          </cell>
          <cell r="F88">
            <v>0</v>
          </cell>
          <cell r="G88">
            <v>0.07925399999999999</v>
          </cell>
          <cell r="H88">
            <v>0</v>
          </cell>
          <cell r="I88">
            <v>0.166655</v>
          </cell>
          <cell r="J88">
            <v>0.127717</v>
          </cell>
          <cell r="K88">
            <v>0.14918</v>
          </cell>
          <cell r="L88">
            <v>0.116286</v>
          </cell>
          <cell r="M88">
            <v>0.083392</v>
          </cell>
          <cell r="N88">
            <v>0.050497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E91">
            <v>1.560869</v>
          </cell>
          <cell r="F91">
            <v>0</v>
          </cell>
          <cell r="G91">
            <v>1.5745700900000001</v>
          </cell>
          <cell r="H91">
            <v>0</v>
          </cell>
          <cell r="I91">
            <v>3.13543909</v>
          </cell>
          <cell r="J91">
            <v>3.48672174</v>
          </cell>
          <cell r="K91">
            <v>3.48672174</v>
          </cell>
          <cell r="L91">
            <v>3.48672174</v>
          </cell>
          <cell r="M91">
            <v>3.48672174</v>
          </cell>
          <cell r="N91">
            <v>3.48672174</v>
          </cell>
        </row>
        <row r="92">
          <cell r="E92">
            <v>0.86</v>
          </cell>
          <cell r="F92">
            <v>0</v>
          </cell>
          <cell r="G92">
            <v>0.83079903</v>
          </cell>
          <cell r="H92">
            <v>0</v>
          </cell>
          <cell r="I92">
            <v>1.69079903</v>
          </cell>
          <cell r="J92">
            <v>1.50326242</v>
          </cell>
          <cell r="K92">
            <v>1.3095516900000002</v>
          </cell>
          <cell r="L92">
            <v>1.11695461</v>
          </cell>
          <cell r="M92">
            <v>0.92130668</v>
          </cell>
          <cell r="N92">
            <v>0.72841959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E94">
            <v>0.61524723</v>
          </cell>
          <cell r="F94">
            <v>0</v>
          </cell>
          <cell r="G94">
            <v>0.68520053</v>
          </cell>
          <cell r="H94">
            <v>0</v>
          </cell>
          <cell r="I94">
            <v>1.30044776</v>
          </cell>
          <cell r="J94">
            <v>1.545</v>
          </cell>
          <cell r="K94">
            <v>1.66</v>
          </cell>
          <cell r="L94">
            <v>1.785</v>
          </cell>
          <cell r="M94">
            <v>1.925</v>
          </cell>
          <cell r="N94">
            <v>2.07</v>
          </cell>
        </row>
        <row r="95">
          <cell r="E95">
            <v>0.46653619</v>
          </cell>
          <cell r="F95">
            <v>0</v>
          </cell>
          <cell r="G95">
            <v>0.53130149</v>
          </cell>
          <cell r="H95">
            <v>0</v>
          </cell>
          <cell r="I95">
            <v>0.9978376800000001</v>
          </cell>
          <cell r="J95">
            <v>0.998266</v>
          </cell>
          <cell r="K95">
            <v>0.919603</v>
          </cell>
          <cell r="L95">
            <v>0.9633891400000001</v>
          </cell>
          <cell r="M95">
            <v>0.85687355</v>
          </cell>
          <cell r="N95">
            <v>0.690074163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E97">
            <v>0</v>
          </cell>
          <cell r="F97">
            <v>0.26445975</v>
          </cell>
          <cell r="G97">
            <v>0</v>
          </cell>
          <cell r="H97">
            <v>0.26445975</v>
          </cell>
          <cell r="I97">
            <v>0.5289195</v>
          </cell>
          <cell r="J97">
            <v>0.5289195</v>
          </cell>
          <cell r="K97">
            <v>0.5289195</v>
          </cell>
          <cell r="L97">
            <v>0.41995607</v>
          </cell>
        </row>
        <row r="98">
          <cell r="E98">
            <v>0</v>
          </cell>
          <cell r="F98">
            <v>0.0634066</v>
          </cell>
          <cell r="G98">
            <v>0</v>
          </cell>
          <cell r="H98">
            <v>0.05535289</v>
          </cell>
          <cell r="I98">
            <v>0.11875949</v>
          </cell>
          <cell r="J98">
            <v>0.08524289</v>
          </cell>
          <cell r="K98">
            <v>0.05172629</v>
          </cell>
          <cell r="L98">
            <v>0.0700089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0.38828653999999996</v>
          </cell>
          <cell r="I100">
            <v>0.38828653999999996</v>
          </cell>
          <cell r="J100">
            <v>0.38828654</v>
          </cell>
          <cell r="K100">
            <v>0.38828654</v>
          </cell>
          <cell r="L100">
            <v>0.38828654</v>
          </cell>
          <cell r="M100">
            <v>0.38828654</v>
          </cell>
          <cell r="N100">
            <v>0.38828654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0.25626910999999997</v>
          </cell>
          <cell r="I101">
            <v>0.25626910999999997</v>
          </cell>
          <cell r="J101">
            <v>0.244621</v>
          </cell>
          <cell r="K101">
            <v>0.23297192</v>
          </cell>
          <cell r="L101">
            <v>0.22132332</v>
          </cell>
          <cell r="M101">
            <v>0.20967473</v>
          </cell>
          <cell r="N101">
            <v>0.19802613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E103">
            <v>0.14720898999999998</v>
          </cell>
          <cell r="F103">
            <v>0</v>
          </cell>
          <cell r="G103">
            <v>0.15415519</v>
          </cell>
          <cell r="H103">
            <v>0</v>
          </cell>
          <cell r="I103">
            <v>0.30136418</v>
          </cell>
          <cell r="J103">
            <v>0.33649999999999997</v>
          </cell>
          <cell r="K103">
            <v>0.33649999999999997</v>
          </cell>
          <cell r="L103">
            <v>0.33649999999999997</v>
          </cell>
          <cell r="M103">
            <v>0.33649999999999997</v>
          </cell>
          <cell r="N103">
            <v>0.33649999999999997</v>
          </cell>
        </row>
        <row r="104">
          <cell r="E104">
            <v>0.07985078</v>
          </cell>
          <cell r="F104">
            <v>0</v>
          </cell>
          <cell r="G104">
            <v>0.08790666</v>
          </cell>
          <cell r="H104">
            <v>0</v>
          </cell>
          <cell r="I104">
            <v>0.16775743999999998</v>
          </cell>
          <cell r="J104">
            <v>0.165413</v>
          </cell>
          <cell r="K104">
            <v>0.166</v>
          </cell>
          <cell r="L104">
            <v>0.16551645999999998</v>
          </cell>
          <cell r="M104">
            <v>0.14621568000000001</v>
          </cell>
          <cell r="N104">
            <v>0.12735414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E106">
            <v>0.415</v>
          </cell>
          <cell r="F106">
            <v>0.78664214</v>
          </cell>
          <cell r="G106">
            <v>0.415</v>
          </cell>
          <cell r="H106">
            <v>0.78664214</v>
          </cell>
          <cell r="I106">
            <v>2.40328428</v>
          </cell>
          <cell r="J106">
            <v>2.5</v>
          </cell>
          <cell r="K106">
            <v>2.5</v>
          </cell>
          <cell r="L106">
            <v>2.5</v>
          </cell>
          <cell r="M106">
            <v>2.5</v>
          </cell>
          <cell r="N106">
            <v>2.5</v>
          </cell>
        </row>
        <row r="107">
          <cell r="E107">
            <v>0</v>
          </cell>
          <cell r="F107">
            <v>0.49264302000000004</v>
          </cell>
          <cell r="G107">
            <v>0.25750644</v>
          </cell>
          <cell r="H107">
            <v>0.47295162</v>
          </cell>
          <cell r="I107">
            <v>1.2231010800000002</v>
          </cell>
          <cell r="J107">
            <v>1.358584</v>
          </cell>
          <cell r="K107">
            <v>1.24</v>
          </cell>
          <cell r="L107">
            <v>1.24</v>
          </cell>
          <cell r="M107">
            <v>1.2</v>
          </cell>
          <cell r="N107">
            <v>1.04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E109">
            <v>0.41443268</v>
          </cell>
          <cell r="F109">
            <v>0</v>
          </cell>
          <cell r="G109">
            <v>0.41443268</v>
          </cell>
          <cell r="H109">
            <v>0</v>
          </cell>
          <cell r="I109">
            <v>0.82886536</v>
          </cell>
          <cell r="J109">
            <v>0.87</v>
          </cell>
          <cell r="K109">
            <v>0.87</v>
          </cell>
          <cell r="L109">
            <v>0.866</v>
          </cell>
          <cell r="M109">
            <v>0.866</v>
          </cell>
          <cell r="N109">
            <v>0.866</v>
          </cell>
        </row>
        <row r="110">
          <cell r="E110">
            <v>0.29729743</v>
          </cell>
          <cell r="F110">
            <v>0</v>
          </cell>
          <cell r="G110">
            <v>0.25933685</v>
          </cell>
          <cell r="H110">
            <v>0</v>
          </cell>
          <cell r="I110">
            <v>0.5566342799999999</v>
          </cell>
          <cell r="J110">
            <v>0.476954</v>
          </cell>
          <cell r="K110">
            <v>0.34371916</v>
          </cell>
          <cell r="L110">
            <v>0.29358037000000003</v>
          </cell>
          <cell r="M110">
            <v>0.24323238000000003</v>
          </cell>
          <cell r="N110">
            <v>0.19037397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0.57024474</v>
          </cell>
          <cell r="G112">
            <v>0</v>
          </cell>
          <cell r="H112">
            <v>0.57024474</v>
          </cell>
          <cell r="I112">
            <v>1.14048948</v>
          </cell>
          <cell r="J112">
            <v>1.17</v>
          </cell>
          <cell r="K112">
            <v>1.17</v>
          </cell>
          <cell r="L112">
            <v>1.17</v>
          </cell>
          <cell r="M112">
            <v>1.17</v>
          </cell>
          <cell r="N112">
            <v>1.17</v>
          </cell>
        </row>
        <row r="113">
          <cell r="E113">
            <v>0</v>
          </cell>
          <cell r="F113">
            <v>0.27402487</v>
          </cell>
          <cell r="G113">
            <v>0</v>
          </cell>
          <cell r="H113">
            <v>0.36538715000000005</v>
          </cell>
          <cell r="I113">
            <v>0.63941202</v>
          </cell>
          <cell r="J113">
            <v>0.675729</v>
          </cell>
          <cell r="K113">
            <v>0.667858</v>
          </cell>
          <cell r="L113">
            <v>0.59553096</v>
          </cell>
          <cell r="M113">
            <v>0.52229666</v>
          </cell>
          <cell r="N113">
            <v>0.44988648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0.14304896</v>
          </cell>
          <cell r="F115">
            <v>0</v>
          </cell>
          <cell r="G115">
            <v>0.14304896</v>
          </cell>
          <cell r="H115">
            <v>0</v>
          </cell>
          <cell r="I115">
            <v>0.28609792</v>
          </cell>
          <cell r="J115">
            <v>0.29</v>
          </cell>
          <cell r="K115">
            <v>0.29</v>
          </cell>
          <cell r="L115">
            <v>0.28609792</v>
          </cell>
          <cell r="M115">
            <v>0.28609792</v>
          </cell>
          <cell r="N115">
            <v>0.28609792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F118">
            <v>0.02990691</v>
          </cell>
          <cell r="G118">
            <v>0</v>
          </cell>
          <cell r="H118">
            <v>0.02990691</v>
          </cell>
          <cell r="I118">
            <v>0.05981382</v>
          </cell>
          <cell r="J118">
            <v>0.05981382</v>
          </cell>
          <cell r="K118">
            <v>0.05981382</v>
          </cell>
          <cell r="L118">
            <v>0.05981382</v>
          </cell>
          <cell r="M118">
            <v>0.05981382</v>
          </cell>
          <cell r="N118">
            <v>0.05981382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E121">
            <v>0.02865397</v>
          </cell>
          <cell r="F121">
            <v>0</v>
          </cell>
          <cell r="G121">
            <v>0.02865397</v>
          </cell>
          <cell r="H121">
            <v>0</v>
          </cell>
          <cell r="I121">
            <v>0.05730794</v>
          </cell>
          <cell r="J121">
            <v>0.06</v>
          </cell>
          <cell r="K121">
            <v>0.06</v>
          </cell>
          <cell r="L121">
            <v>0.05730794</v>
          </cell>
          <cell r="M121">
            <v>0.05730794</v>
          </cell>
          <cell r="N121">
            <v>0.05730794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E124">
            <v>0.16261719</v>
          </cell>
          <cell r="F124">
            <v>0</v>
          </cell>
          <cell r="G124">
            <v>0.16261719</v>
          </cell>
          <cell r="H124">
            <v>0</v>
          </cell>
          <cell r="I124">
            <v>0.32523438</v>
          </cell>
          <cell r="J124">
            <v>0.32523438</v>
          </cell>
          <cell r="K124">
            <v>0.32523438</v>
          </cell>
          <cell r="L124">
            <v>0.32523438</v>
          </cell>
          <cell r="M124">
            <v>0.32523438</v>
          </cell>
          <cell r="N124">
            <v>0.32523438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>
            <v>0.00457747</v>
          </cell>
          <cell r="F127">
            <v>0</v>
          </cell>
          <cell r="G127">
            <v>0.00457747</v>
          </cell>
          <cell r="H127">
            <v>0</v>
          </cell>
          <cell r="I127">
            <v>0.00915494</v>
          </cell>
          <cell r="J127">
            <v>0.01</v>
          </cell>
          <cell r="K127">
            <v>0.01</v>
          </cell>
          <cell r="L127">
            <v>0.00915494</v>
          </cell>
          <cell r="M127">
            <v>0.00915494</v>
          </cell>
          <cell r="N127">
            <v>0.00915494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E129">
            <v>0.14159941</v>
          </cell>
          <cell r="F129">
            <v>0</v>
          </cell>
          <cell r="G129">
            <v>0</v>
          </cell>
          <cell r="H129">
            <v>0</v>
          </cell>
          <cell r="I129">
            <v>0.14159941</v>
          </cell>
        </row>
        <row r="130">
          <cell r="E130">
            <v>0</v>
          </cell>
          <cell r="F130">
            <v>0.705</v>
          </cell>
          <cell r="G130">
            <v>0</v>
          </cell>
          <cell r="H130">
            <v>0.73</v>
          </cell>
          <cell r="I130">
            <v>1.435</v>
          </cell>
          <cell r="J130">
            <v>1.17464492</v>
          </cell>
          <cell r="K130">
            <v>1.190939</v>
          </cell>
          <cell r="L130">
            <v>1.200088</v>
          </cell>
          <cell r="M130">
            <v>1.19999</v>
          </cell>
          <cell r="N130">
            <v>1.198768</v>
          </cell>
        </row>
        <row r="131">
          <cell r="E131">
            <v>0</v>
          </cell>
          <cell r="F131">
            <v>0.3422262626</v>
          </cell>
          <cell r="G131">
            <v>0</v>
          </cell>
          <cell r="H131">
            <v>0.3317434614</v>
          </cell>
          <cell r="I131">
            <v>0.673969724</v>
          </cell>
          <cell r="J131">
            <v>1.101456</v>
          </cell>
          <cell r="K131">
            <v>1.039305</v>
          </cell>
          <cell r="L131">
            <v>0.976636</v>
          </cell>
          <cell r="M131">
            <v>0.9127760500000001</v>
          </cell>
          <cell r="N131">
            <v>0.84971841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>
            <v>0</v>
          </cell>
          <cell r="F133">
            <v>0.35388277</v>
          </cell>
          <cell r="G133">
            <v>0</v>
          </cell>
          <cell r="H133">
            <v>0.35388276</v>
          </cell>
          <cell r="I133">
            <v>0.7077655300000001</v>
          </cell>
        </row>
        <row r="134">
          <cell r="E134">
            <v>0</v>
          </cell>
          <cell r="F134">
            <v>0.0160606168</v>
          </cell>
          <cell r="G134">
            <v>0</v>
          </cell>
          <cell r="H134">
            <v>0.0080303084</v>
          </cell>
          <cell r="I134">
            <v>0.024090925200000002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>
            <v>0.30389183</v>
          </cell>
          <cell r="F136">
            <v>0</v>
          </cell>
          <cell r="G136">
            <v>0.30389183</v>
          </cell>
          <cell r="H136">
            <v>0</v>
          </cell>
          <cell r="I136">
            <v>0.60778366</v>
          </cell>
          <cell r="J136">
            <v>0.60778366</v>
          </cell>
          <cell r="K136">
            <v>0.60778366</v>
          </cell>
          <cell r="L136">
            <v>0.60778366</v>
          </cell>
          <cell r="M136">
            <v>0.60778366</v>
          </cell>
          <cell r="N136">
            <v>0.60778369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E139">
            <v>0.1474319</v>
          </cell>
          <cell r="F139">
            <v>0</v>
          </cell>
          <cell r="G139">
            <v>0.1474319</v>
          </cell>
          <cell r="H139">
            <v>0</v>
          </cell>
          <cell r="I139">
            <v>0.2948638</v>
          </cell>
          <cell r="J139">
            <v>0.294864</v>
          </cell>
          <cell r="K139">
            <v>0.294864</v>
          </cell>
          <cell r="L139">
            <v>0.294864</v>
          </cell>
          <cell r="M139">
            <v>0.294864</v>
          </cell>
          <cell r="N139">
            <v>0.294864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E142">
            <v>0</v>
          </cell>
          <cell r="F142">
            <v>0.09701773</v>
          </cell>
          <cell r="G142">
            <v>0</v>
          </cell>
          <cell r="H142">
            <v>0.09701773</v>
          </cell>
          <cell r="I142">
            <v>0.19403546</v>
          </cell>
          <cell r="J142">
            <v>0.19403546</v>
          </cell>
          <cell r="K142">
            <v>0.19403546</v>
          </cell>
        </row>
        <row r="143">
          <cell r="E143">
            <v>0</v>
          </cell>
          <cell r="F143">
            <v>0.013925244699999999</v>
          </cell>
          <cell r="G143">
            <v>0</v>
          </cell>
          <cell r="H143">
            <v>0.011796704600000001</v>
          </cell>
          <cell r="I143">
            <v>0.025721949299999998</v>
          </cell>
          <cell r="J143">
            <v>0.023822</v>
          </cell>
          <cell r="K143">
            <v>0.0114772</v>
          </cell>
        </row>
        <row r="144">
          <cell r="E144">
            <v>0.16487171999999997</v>
          </cell>
          <cell r="F144">
            <v>0</v>
          </cell>
          <cell r="G144">
            <v>0</v>
          </cell>
          <cell r="H144">
            <v>0</v>
          </cell>
          <cell r="I144">
            <v>0.16487171999999997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0.835</v>
          </cell>
          <cell r="K145">
            <v>1.67</v>
          </cell>
          <cell r="L145">
            <v>1.67</v>
          </cell>
          <cell r="M145">
            <v>1.67</v>
          </cell>
          <cell r="N145">
            <v>1.67</v>
          </cell>
        </row>
        <row r="146">
          <cell r="E146">
            <v>0.67988438</v>
          </cell>
          <cell r="F146">
            <v>0</v>
          </cell>
          <cell r="G146">
            <v>0.1581954785</v>
          </cell>
          <cell r="H146">
            <v>0</v>
          </cell>
          <cell r="I146">
            <v>0.8380798585</v>
          </cell>
          <cell r="J146">
            <v>1.132649</v>
          </cell>
          <cell r="K146">
            <v>1.061568</v>
          </cell>
          <cell r="L146">
            <v>0.89001606</v>
          </cell>
          <cell r="M146">
            <v>0.80083713</v>
          </cell>
          <cell r="N146">
            <v>0.7141496300000001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E149">
            <v>0.03819818</v>
          </cell>
          <cell r="F149">
            <v>0</v>
          </cell>
          <cell r="G149">
            <v>0.04610163</v>
          </cell>
          <cell r="H149">
            <v>0</v>
          </cell>
          <cell r="I149">
            <v>0.08429981</v>
          </cell>
          <cell r="J149">
            <v>0.091439</v>
          </cell>
          <cell r="K149">
            <v>0.09169386</v>
          </cell>
          <cell r="L149">
            <v>0.09169386</v>
          </cell>
          <cell r="M149">
            <v>0.09169386</v>
          </cell>
          <cell r="N149">
            <v>0.092202</v>
          </cell>
        </row>
        <row r="150">
          <cell r="E150">
            <v>0.16412337</v>
          </cell>
          <cell r="F150">
            <v>0.49237010999999997</v>
          </cell>
          <cell r="G150">
            <v>0.49237010999999997</v>
          </cell>
          <cell r="H150">
            <v>0.49237010999999997</v>
          </cell>
          <cell r="I150">
            <v>1.6412337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0.30576923</v>
          </cell>
          <cell r="K151">
            <v>0.61153846</v>
          </cell>
          <cell r="L151">
            <v>0.61153846</v>
          </cell>
          <cell r="M151">
            <v>0.61153846</v>
          </cell>
          <cell r="N151">
            <v>0.61153846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0.0727308368</v>
          </cell>
          <cell r="I152">
            <v>0.0727308368</v>
          </cell>
          <cell r="J152">
            <v>0.319298</v>
          </cell>
          <cell r="K152">
            <v>0.383288</v>
          </cell>
          <cell r="L152">
            <v>0.39099093</v>
          </cell>
          <cell r="M152">
            <v>0.35523912</v>
          </cell>
          <cell r="N152">
            <v>0.32057933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40</v>
          </cell>
          <cell r="I153">
            <v>40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M154">
            <v>1.69</v>
          </cell>
          <cell r="N154">
            <v>5.37</v>
          </cell>
        </row>
        <row r="155">
          <cell r="E155">
            <v>1.489989</v>
          </cell>
          <cell r="F155">
            <v>0</v>
          </cell>
          <cell r="G155">
            <v>1.2929992917000002</v>
          </cell>
          <cell r="H155">
            <v>0</v>
          </cell>
          <cell r="I155">
            <v>2.7829882917</v>
          </cell>
          <cell r="J155">
            <v>5.910858</v>
          </cell>
          <cell r="K155">
            <v>5.910858</v>
          </cell>
          <cell r="L155">
            <v>5.927052</v>
          </cell>
          <cell r="M155">
            <v>5.910858</v>
          </cell>
          <cell r="N155">
            <v>5.910858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1.4</v>
          </cell>
          <cell r="I156">
            <v>1.4</v>
          </cell>
          <cell r="J156">
            <v>0.82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G158">
            <v>0.02</v>
          </cell>
          <cell r="H158">
            <v>0</v>
          </cell>
          <cell r="I158">
            <v>0.02</v>
          </cell>
          <cell r="J158">
            <v>0.1</v>
          </cell>
          <cell r="K158">
            <v>0.14</v>
          </cell>
          <cell r="L158">
            <v>0.14</v>
          </cell>
          <cell r="M158">
            <v>0.14</v>
          </cell>
          <cell r="N158">
            <v>0.14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E162">
            <v>0.47059449999999997</v>
          </cell>
          <cell r="F162">
            <v>0.49237010999999997</v>
          </cell>
          <cell r="G162">
            <v>0.49237010999999997</v>
          </cell>
          <cell r="H162">
            <v>41.89237011</v>
          </cell>
          <cell r="I162">
            <v>43.34770483</v>
          </cell>
          <cell r="J162">
            <v>0.82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E163">
            <v>3.94297922</v>
          </cell>
          <cell r="F163">
            <v>2.8071540400000004</v>
          </cell>
          <cell r="G163">
            <v>4.03357981</v>
          </cell>
          <cell r="H163">
            <v>3.2204405699999996</v>
          </cell>
          <cell r="I163">
            <v>14.00415364</v>
          </cell>
          <cell r="J163">
            <v>14.98257325</v>
          </cell>
          <cell r="K163">
            <v>16.25463656</v>
          </cell>
          <cell r="L163">
            <v>16.07434747</v>
          </cell>
          <cell r="M163">
            <v>17.4842934</v>
          </cell>
          <cell r="N163">
            <v>21.308071430000002</v>
          </cell>
        </row>
        <row r="164">
          <cell r="E164">
            <v>3.9117559600000003</v>
          </cell>
          <cell r="F164">
            <v>1.2022866141</v>
          </cell>
          <cell r="G164">
            <v>3.4841468702000005</v>
          </cell>
          <cell r="H164">
            <v>1.5742620812</v>
          </cell>
          <cell r="I164">
            <v>10.172451525499998</v>
          </cell>
          <cell r="J164">
            <v>14.18759431</v>
          </cell>
          <cell r="K164">
            <v>13.569620120000003</v>
          </cell>
          <cell r="L164">
            <v>13.082692610000002</v>
          </cell>
          <cell r="M164">
            <v>12.311003840000001</v>
          </cell>
          <cell r="N164">
            <v>11.451641843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E167">
            <v>0</v>
          </cell>
          <cell r="F167">
            <v>1.90625</v>
          </cell>
          <cell r="G167">
            <v>0</v>
          </cell>
          <cell r="H167">
            <v>1.90625</v>
          </cell>
          <cell r="I167">
            <v>3.8125</v>
          </cell>
          <cell r="J167">
            <v>3.8125</v>
          </cell>
          <cell r="K167">
            <v>3.8125</v>
          </cell>
        </row>
        <row r="168">
          <cell r="E168">
            <v>0.1250291</v>
          </cell>
          <cell r="F168">
            <v>0.11127591</v>
          </cell>
          <cell r="G168">
            <v>0.10606636</v>
          </cell>
          <cell r="H168">
            <v>0.09585565</v>
          </cell>
          <cell r="I168">
            <v>0.43822702</v>
          </cell>
          <cell r="J168">
            <v>0.286108</v>
          </cell>
          <cell r="K168">
            <v>0.17914302999999998</v>
          </cell>
          <cell r="L168">
            <v>0.01000233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E170">
            <v>1.90625</v>
          </cell>
          <cell r="F170">
            <v>0</v>
          </cell>
          <cell r="G170">
            <v>1.90625</v>
          </cell>
          <cell r="H170">
            <v>0</v>
          </cell>
          <cell r="I170">
            <v>3.8125</v>
          </cell>
          <cell r="J170">
            <v>3.8125</v>
          </cell>
          <cell r="K170">
            <v>3.8125</v>
          </cell>
          <cell r="L170">
            <v>3.425</v>
          </cell>
        </row>
        <row r="171">
          <cell r="E171">
            <v>0.15066007999999997</v>
          </cell>
          <cell r="F171">
            <v>0.2</v>
          </cell>
          <cell r="G171">
            <v>0.13148894</v>
          </cell>
          <cell r="H171">
            <v>0.11502678</v>
          </cell>
          <cell r="I171">
            <v>0.5971758</v>
          </cell>
          <cell r="J171">
            <v>0.374879</v>
          </cell>
          <cell r="K171">
            <v>0.26791369000000004</v>
          </cell>
          <cell r="L171">
            <v>0.07084984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E173">
            <v>1.90625</v>
          </cell>
          <cell r="F173">
            <v>1.90625</v>
          </cell>
          <cell r="G173">
            <v>1.90625</v>
          </cell>
          <cell r="H173">
            <v>1.90625</v>
          </cell>
          <cell r="I173">
            <v>7.625</v>
          </cell>
          <cell r="J173">
            <v>7.625</v>
          </cell>
          <cell r="K173">
            <v>7.625</v>
          </cell>
          <cell r="L173">
            <v>3.425</v>
          </cell>
          <cell r="M173">
            <v>0</v>
          </cell>
          <cell r="N173">
            <v>0</v>
          </cell>
        </row>
        <row r="174">
          <cell r="E174">
            <v>0.27568918</v>
          </cell>
          <cell r="F174">
            <v>0.31127591</v>
          </cell>
          <cell r="G174">
            <v>0.2375553</v>
          </cell>
          <cell r="H174">
            <v>0.21088243</v>
          </cell>
          <cell r="I174">
            <v>1.03540282</v>
          </cell>
          <cell r="J174">
            <v>0.660987</v>
          </cell>
          <cell r="K174">
            <v>0.44705672</v>
          </cell>
          <cell r="L174">
            <v>0.08085217</v>
          </cell>
          <cell r="M174">
            <v>0</v>
          </cell>
          <cell r="N17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pusg"/>
      <sheetName val="2pusg"/>
    </sheetNames>
    <sheetDataSet>
      <sheetData sheetId="0">
        <row r="5">
          <cell r="C5">
            <v>0.625</v>
          </cell>
        </row>
        <row r="6">
          <cell r="C6">
            <v>0.59</v>
          </cell>
        </row>
        <row r="8">
          <cell r="C8">
            <v>0.363</v>
          </cell>
        </row>
        <row r="9">
          <cell r="C9">
            <v>0.064</v>
          </cell>
        </row>
        <row r="10">
          <cell r="C10">
            <v>0.0732</v>
          </cell>
        </row>
        <row r="12">
          <cell r="C12">
            <v>0.00554</v>
          </cell>
        </row>
        <row r="18">
          <cell r="C18">
            <v>0.7997</v>
          </cell>
          <cell r="CE18">
            <v>0.7997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6" sqref="B6"/>
    </sheetView>
  </sheetViews>
  <sheetFormatPr defaultColWidth="9.140625" defaultRowHeight="12.75"/>
  <cols>
    <col min="1" max="1" width="43.57421875" style="24" customWidth="1"/>
    <col min="2" max="2" width="14.00390625" style="25" customWidth="1"/>
    <col min="3" max="3" width="13.421875" style="25" customWidth="1"/>
    <col min="4" max="4" width="14.00390625" style="25" customWidth="1"/>
    <col min="5" max="5" width="10.00390625" style="4" customWidth="1"/>
    <col min="6" max="6" width="11.421875" style="4" customWidth="1"/>
    <col min="7" max="16384" width="9.140625" style="4" customWidth="1"/>
  </cols>
  <sheetData>
    <row r="1" spans="1:12" ht="14.25" customHeight="1">
      <c r="A1" s="1" t="s">
        <v>161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s="7" customFormat="1" ht="29.25" customHeight="1">
      <c r="A3" s="5" t="s">
        <v>162</v>
      </c>
      <c r="B3" s="6" t="s">
        <v>163</v>
      </c>
      <c r="C3" s="6" t="s">
        <v>164</v>
      </c>
      <c r="D3" s="6" t="s">
        <v>165</v>
      </c>
      <c r="E3" s="3"/>
      <c r="F3" s="3"/>
      <c r="G3" s="3"/>
      <c r="H3" s="3"/>
      <c r="I3" s="3"/>
      <c r="J3" s="3"/>
      <c r="K3" s="3"/>
      <c r="L3" s="3"/>
    </row>
    <row r="4" spans="1:4" s="3" customFormat="1" ht="16.5" customHeight="1">
      <c r="A4" s="8" t="s">
        <v>166</v>
      </c>
      <c r="B4" s="9">
        <f>SUM(B5:B9)</f>
        <v>1589185849</v>
      </c>
      <c r="C4" s="9">
        <f>SUM(C5:C10)</f>
        <v>1657268345</v>
      </c>
      <c r="D4" s="9">
        <f>SUM(D5:D10)</f>
        <v>1623218345</v>
      </c>
    </row>
    <row r="5" spans="1:4" s="3" customFormat="1" ht="17.25" customHeight="1">
      <c r="A5" s="10" t="s">
        <v>167</v>
      </c>
      <c r="B5" s="11">
        <v>1335199878</v>
      </c>
      <c r="C5" s="11">
        <v>1392971219</v>
      </c>
      <c r="D5" s="11">
        <v>1373272818</v>
      </c>
    </row>
    <row r="6" spans="1:4" s="3" customFormat="1" ht="20.25" customHeight="1">
      <c r="A6" s="10" t="s">
        <v>168</v>
      </c>
      <c r="B6" s="11">
        <v>126830695</v>
      </c>
      <c r="C6" s="11">
        <v>123949598</v>
      </c>
      <c r="D6" s="11">
        <v>130810731</v>
      </c>
    </row>
    <row r="7" spans="1:4" s="3" customFormat="1" ht="25.5">
      <c r="A7" s="10" t="s">
        <v>169</v>
      </c>
      <c r="B7" s="11">
        <v>103051437</v>
      </c>
      <c r="C7" s="11">
        <v>92530152</v>
      </c>
      <c r="D7" s="11">
        <v>85170503</v>
      </c>
    </row>
    <row r="8" spans="1:4" s="3" customFormat="1" ht="19.5" customHeight="1">
      <c r="A8" s="10" t="s">
        <v>170</v>
      </c>
      <c r="B8" s="11">
        <v>1558937</v>
      </c>
      <c r="C8" s="11">
        <v>1777918</v>
      </c>
      <c r="D8" s="11">
        <v>1956055</v>
      </c>
    </row>
    <row r="9" spans="1:4" s="3" customFormat="1" ht="19.5" customHeight="1">
      <c r="A9" s="10" t="s">
        <v>171</v>
      </c>
      <c r="B9" s="11">
        <v>22544902</v>
      </c>
      <c r="C9" s="11">
        <v>12843411</v>
      </c>
      <c r="D9" s="11">
        <v>12949523</v>
      </c>
    </row>
    <row r="10" spans="1:4" s="3" customFormat="1" ht="19.5" customHeight="1">
      <c r="A10" s="10" t="s">
        <v>172</v>
      </c>
      <c r="B10" s="11"/>
      <c r="C10" s="11">
        <v>33196047</v>
      </c>
      <c r="D10" s="11">
        <v>19058715</v>
      </c>
    </row>
    <row r="11" spans="1:12" s="12" customFormat="1" ht="19.5" customHeight="1">
      <c r="A11" s="8" t="s">
        <v>173</v>
      </c>
      <c r="B11" s="9">
        <f>SUM(B12:B13)</f>
        <v>1732636831</v>
      </c>
      <c r="C11" s="9">
        <f>SUM(C12:C13)</f>
        <v>1804223145</v>
      </c>
      <c r="D11" s="9">
        <f>SUM(D12:D13)</f>
        <v>1743967023</v>
      </c>
      <c r="E11" s="3"/>
      <c r="F11" s="3"/>
      <c r="G11" s="3"/>
      <c r="H11" s="3"/>
      <c r="I11" s="3"/>
      <c r="J11" s="3"/>
      <c r="K11" s="3"/>
      <c r="L11" s="3"/>
    </row>
    <row r="12" spans="1:12" s="12" customFormat="1" ht="19.5" customHeight="1">
      <c r="A12" s="10" t="s">
        <v>174</v>
      </c>
      <c r="B12" s="11">
        <v>1554977810</v>
      </c>
      <c r="C12" s="11">
        <v>1616541952</v>
      </c>
      <c r="D12" s="11">
        <v>1567848511</v>
      </c>
      <c r="E12" s="3"/>
      <c r="F12" s="3"/>
      <c r="G12" s="3"/>
      <c r="H12" s="3"/>
      <c r="I12" s="3"/>
      <c r="J12" s="3"/>
      <c r="K12" s="3"/>
      <c r="L12" s="3"/>
    </row>
    <row r="13" spans="1:12" s="12" customFormat="1" ht="19.5" customHeight="1">
      <c r="A13" s="10" t="s">
        <v>175</v>
      </c>
      <c r="B13" s="11">
        <v>177659021</v>
      </c>
      <c r="C13" s="11">
        <v>187681193</v>
      </c>
      <c r="D13" s="11">
        <v>176118512</v>
      </c>
      <c r="E13" s="3"/>
      <c r="F13" s="3"/>
      <c r="G13" s="3"/>
      <c r="H13" s="3"/>
      <c r="I13" s="3"/>
      <c r="J13" s="3"/>
      <c r="K13" s="3"/>
      <c r="L13" s="3"/>
    </row>
    <row r="14" spans="1:12" s="13" customFormat="1" ht="18" customHeight="1">
      <c r="A14" s="8" t="s">
        <v>176</v>
      </c>
      <c r="B14" s="9">
        <f>B4-B11</f>
        <v>-143450982</v>
      </c>
      <c r="C14" s="9">
        <f>C4-C11</f>
        <v>-146954800</v>
      </c>
      <c r="D14" s="9">
        <f>D4-D11</f>
        <v>-120748678</v>
      </c>
      <c r="E14" s="3"/>
      <c r="F14" s="3"/>
      <c r="G14" s="3"/>
      <c r="H14" s="3"/>
      <c r="I14" s="3"/>
      <c r="J14" s="3"/>
      <c r="K14" s="3"/>
      <c r="L14" s="3"/>
    </row>
    <row r="15" spans="1:12" s="13" customFormat="1" ht="27" customHeight="1">
      <c r="A15" s="8" t="s">
        <v>177</v>
      </c>
      <c r="B15" s="14">
        <v>12479045</v>
      </c>
      <c r="C15" s="14">
        <v>11993994</v>
      </c>
      <c r="D15" s="14">
        <v>-702357</v>
      </c>
      <c r="E15" s="3"/>
      <c r="F15" s="3"/>
      <c r="G15" s="3"/>
      <c r="H15" s="3"/>
      <c r="I15" s="3"/>
      <c r="J15" s="3"/>
      <c r="K15" s="3"/>
      <c r="L15" s="3"/>
    </row>
    <row r="16" spans="1:12" s="13" customFormat="1" ht="14.25" customHeight="1">
      <c r="A16" s="8" t="s">
        <v>178</v>
      </c>
      <c r="B16" s="9">
        <f>B14-B15</f>
        <v>-155930027</v>
      </c>
      <c r="C16" s="9">
        <f>C14-C15</f>
        <v>-158948794</v>
      </c>
      <c r="D16" s="9">
        <f>D14-D15</f>
        <v>-120046321</v>
      </c>
      <c r="E16" s="3"/>
      <c r="F16" s="3"/>
      <c r="G16" s="3"/>
      <c r="H16" s="3"/>
      <c r="I16" s="3"/>
      <c r="J16" s="3"/>
      <c r="K16" s="3"/>
      <c r="L16" s="3"/>
    </row>
    <row r="17" spans="1:12" s="13" customFormat="1" ht="26.25" customHeight="1">
      <c r="A17" s="8" t="s">
        <v>179</v>
      </c>
      <c r="B17" s="9">
        <f>B18+B31</f>
        <v>155930027</v>
      </c>
      <c r="C17" s="9"/>
      <c r="D17" s="9">
        <f>D18+D31</f>
        <v>120046321</v>
      </c>
      <c r="E17" s="3"/>
      <c r="F17" s="3"/>
      <c r="G17" s="3"/>
      <c r="H17" s="3"/>
      <c r="I17" s="3"/>
      <c r="J17" s="3"/>
      <c r="K17" s="3"/>
      <c r="L17" s="3"/>
    </row>
    <row r="18" spans="1:12" s="13" customFormat="1" ht="17.25" customHeight="1">
      <c r="A18" s="8" t="s">
        <v>180</v>
      </c>
      <c r="B18" s="9">
        <f>B19+B22+B26+B30</f>
        <v>28541142</v>
      </c>
      <c r="C18" s="9"/>
      <c r="D18" s="9">
        <f>D19+D22+D26+D30</f>
        <v>131205888</v>
      </c>
      <c r="E18" s="3"/>
      <c r="F18" s="3"/>
      <c r="G18" s="3"/>
      <c r="H18" s="3"/>
      <c r="I18" s="3"/>
      <c r="J18" s="3"/>
      <c r="K18" s="3"/>
      <c r="L18" s="3"/>
    </row>
    <row r="19" spans="1:12" s="15" customFormat="1" ht="18.75" customHeight="1">
      <c r="A19" s="10" t="s">
        <v>181</v>
      </c>
      <c r="B19" s="11">
        <f>SUM(B20:B21)</f>
        <v>197362</v>
      </c>
      <c r="C19" s="11"/>
      <c r="D19" s="11"/>
      <c r="E19" s="3"/>
      <c r="F19" s="3"/>
      <c r="G19" s="3"/>
      <c r="H19" s="3"/>
      <c r="I19" s="3"/>
      <c r="J19" s="3"/>
      <c r="K19" s="3"/>
      <c r="L19" s="3"/>
    </row>
    <row r="20" spans="1:12" s="15" customFormat="1" ht="24" customHeight="1">
      <c r="A20" s="16" t="s">
        <v>182</v>
      </c>
      <c r="B20" s="17">
        <v>197362</v>
      </c>
      <c r="C20" s="17"/>
      <c r="D20" s="17"/>
      <c r="E20" s="18"/>
      <c r="F20" s="18"/>
      <c r="G20" s="18"/>
      <c r="H20" s="18"/>
      <c r="I20" s="18"/>
      <c r="J20" s="18"/>
      <c r="K20" s="18"/>
      <c r="L20" s="18"/>
    </row>
    <row r="21" spans="1:12" s="15" customFormat="1" ht="24" customHeight="1" hidden="1">
      <c r="A21" s="16" t="s">
        <v>183</v>
      </c>
      <c r="B21" s="17"/>
      <c r="C21" s="17"/>
      <c r="D21" s="17"/>
      <c r="E21" s="3"/>
      <c r="F21" s="3"/>
      <c r="G21" s="3"/>
      <c r="H21" s="3"/>
      <c r="I21" s="3"/>
      <c r="J21" s="3"/>
      <c r="K21" s="3"/>
      <c r="L21" s="3"/>
    </row>
    <row r="22" spans="1:12" s="15" customFormat="1" ht="15.75" customHeight="1">
      <c r="A22" s="10" t="s">
        <v>184</v>
      </c>
      <c r="B22" s="11">
        <f>SUM(B23:B25)</f>
        <v>21340119</v>
      </c>
      <c r="C22" s="11"/>
      <c r="D22" s="11">
        <f>SUM(D23:D25)</f>
        <v>129387563</v>
      </c>
      <c r="E22" s="3"/>
      <c r="F22" s="3"/>
      <c r="G22" s="3"/>
      <c r="H22" s="3"/>
      <c r="I22" s="3"/>
      <c r="J22" s="3"/>
      <c r="K22" s="3"/>
      <c r="L22" s="3"/>
    </row>
    <row r="23" spans="1:12" s="15" customFormat="1" ht="14.25" customHeight="1">
      <c r="A23" s="19" t="s">
        <v>185</v>
      </c>
      <c r="B23" s="17">
        <v>30675367</v>
      </c>
      <c r="C23" s="11"/>
      <c r="D23" s="17">
        <v>35205131</v>
      </c>
      <c r="E23" s="3"/>
      <c r="F23" s="3"/>
      <c r="G23" s="3"/>
      <c r="H23" s="3"/>
      <c r="I23" s="3"/>
      <c r="J23" s="3"/>
      <c r="K23" s="3"/>
      <c r="L23" s="3"/>
    </row>
    <row r="24" spans="1:12" s="15" customFormat="1" ht="28.5" customHeight="1">
      <c r="A24" s="19" t="s">
        <v>186</v>
      </c>
      <c r="B24" s="17">
        <v>-27407473</v>
      </c>
      <c r="C24" s="11"/>
      <c r="D24" s="17">
        <v>12263833</v>
      </c>
      <c r="E24" s="3"/>
      <c r="F24" s="3"/>
      <c r="G24" s="3"/>
      <c r="H24" s="3"/>
      <c r="I24" s="3"/>
      <c r="J24" s="3"/>
      <c r="K24" s="3"/>
      <c r="L24" s="3"/>
    </row>
    <row r="25" spans="1:12" s="15" customFormat="1" ht="14.25" customHeight="1">
      <c r="A25" s="19" t="s">
        <v>187</v>
      </c>
      <c r="B25" s="17">
        <v>18072225</v>
      </c>
      <c r="C25" s="11"/>
      <c r="D25" s="17">
        <v>81918599</v>
      </c>
      <c r="E25" s="3"/>
      <c r="F25" s="3"/>
      <c r="G25" s="3"/>
      <c r="H25" s="3"/>
      <c r="I25" s="3"/>
      <c r="J25" s="3"/>
      <c r="K25" s="3"/>
      <c r="L25" s="3"/>
    </row>
    <row r="26" spans="1:12" s="15" customFormat="1" ht="14.25" customHeight="1">
      <c r="A26" s="20" t="s">
        <v>188</v>
      </c>
      <c r="B26" s="11">
        <f>SUM(B27:B29)</f>
        <v>27497930</v>
      </c>
      <c r="C26" s="11"/>
      <c r="D26" s="11">
        <f>SUM(D27:D29)</f>
        <v>-1822303</v>
      </c>
      <c r="E26" s="3"/>
      <c r="F26" s="3"/>
      <c r="G26" s="3"/>
      <c r="H26" s="3"/>
      <c r="I26" s="3"/>
      <c r="J26" s="3"/>
      <c r="K26" s="3"/>
      <c r="L26" s="3"/>
    </row>
    <row r="27" spans="1:12" s="15" customFormat="1" ht="14.25" customHeight="1">
      <c r="A27" s="19" t="s">
        <v>189</v>
      </c>
      <c r="B27" s="17">
        <v>7713361</v>
      </c>
      <c r="C27" s="17"/>
      <c r="D27" s="17">
        <v>-7371837</v>
      </c>
      <c r="E27" s="3"/>
      <c r="F27" s="3"/>
      <c r="G27" s="3"/>
      <c r="H27" s="3"/>
      <c r="I27" s="3"/>
      <c r="J27" s="3"/>
      <c r="K27" s="3"/>
      <c r="L27" s="3"/>
    </row>
    <row r="28" spans="1:12" s="15" customFormat="1" ht="15.75" customHeight="1">
      <c r="A28" s="19" t="s">
        <v>190</v>
      </c>
      <c r="B28" s="17">
        <v>9532397</v>
      </c>
      <c r="C28" s="11"/>
      <c r="D28" s="17">
        <v>10149515</v>
      </c>
      <c r="E28" s="3"/>
      <c r="F28" s="3"/>
      <c r="G28" s="3"/>
      <c r="H28" s="3"/>
      <c r="I28" s="3"/>
      <c r="J28" s="3"/>
      <c r="K28" s="3"/>
      <c r="L28" s="3"/>
    </row>
    <row r="29" spans="1:12" s="15" customFormat="1" ht="26.25" customHeight="1">
      <c r="A29" s="19" t="s">
        <v>186</v>
      </c>
      <c r="B29" s="17">
        <v>10252172</v>
      </c>
      <c r="C29" s="11"/>
      <c r="D29" s="17">
        <v>-4599981</v>
      </c>
      <c r="E29" s="3"/>
      <c r="F29" s="3"/>
      <c r="G29" s="3"/>
      <c r="H29" s="3"/>
      <c r="I29" s="3"/>
      <c r="J29" s="3"/>
      <c r="K29" s="3"/>
      <c r="L29" s="3"/>
    </row>
    <row r="30" spans="1:12" s="15" customFormat="1" ht="25.5" customHeight="1">
      <c r="A30" s="20" t="s">
        <v>191</v>
      </c>
      <c r="B30" s="11">
        <f>-29030085+8535816</f>
        <v>-20494269</v>
      </c>
      <c r="C30" s="11"/>
      <c r="D30" s="11">
        <f>25521120-21880492</f>
        <v>3640628</v>
      </c>
      <c r="E30" s="3"/>
      <c r="F30" s="3"/>
      <c r="G30" s="3"/>
      <c r="H30" s="3"/>
      <c r="I30" s="3"/>
      <c r="J30" s="3"/>
      <c r="K30" s="3"/>
      <c r="L30" s="3"/>
    </row>
    <row r="31" spans="1:12" s="15" customFormat="1" ht="15" customHeight="1">
      <c r="A31" s="21" t="s">
        <v>192</v>
      </c>
      <c r="B31" s="9">
        <v>127388885</v>
      </c>
      <c r="C31" s="9"/>
      <c r="D31" s="9">
        <v>-11159567</v>
      </c>
      <c r="E31" s="3"/>
      <c r="F31" s="3"/>
      <c r="G31" s="3"/>
      <c r="H31" s="3"/>
      <c r="I31" s="3"/>
      <c r="J31" s="3"/>
      <c r="K31" s="3"/>
      <c r="L31" s="3"/>
    </row>
    <row r="32" spans="1:12" s="15" customFormat="1" ht="18.75" customHeight="1">
      <c r="A32" s="22"/>
      <c r="B32" s="23"/>
      <c r="C32" s="23"/>
      <c r="D32" s="23"/>
      <c r="E32" s="7"/>
      <c r="F32" s="7"/>
      <c r="G32" s="7"/>
      <c r="H32" s="7"/>
      <c r="I32" s="7"/>
      <c r="J32" s="7"/>
      <c r="K32" s="7"/>
      <c r="L32" s="7"/>
    </row>
    <row r="33" spans="1:12" s="15" customFormat="1" ht="12.75" customHeight="1">
      <c r="A33" s="22"/>
      <c r="B33" s="23"/>
      <c r="C33" s="23"/>
      <c r="D33" s="23"/>
      <c r="E33" s="7"/>
      <c r="F33" s="7"/>
      <c r="G33" s="7"/>
      <c r="H33" s="7"/>
      <c r="I33" s="7"/>
      <c r="J33" s="7"/>
      <c r="K33" s="7"/>
      <c r="L33" s="7"/>
    </row>
    <row r="34" spans="1:12" s="15" customFormat="1" ht="12">
      <c r="A34" s="22"/>
      <c r="B34" s="23"/>
      <c r="C34" s="23"/>
      <c r="D34" s="23"/>
      <c r="E34" s="7"/>
      <c r="F34" s="7"/>
      <c r="G34" s="7"/>
      <c r="H34" s="7"/>
      <c r="I34" s="7"/>
      <c r="J34" s="7"/>
      <c r="K34" s="7"/>
      <c r="L34" s="7"/>
    </row>
    <row r="36" spans="1:12" s="29" customFormat="1" ht="12.75">
      <c r="A36" s="26" t="s">
        <v>193</v>
      </c>
      <c r="B36" s="27"/>
      <c r="C36" s="27"/>
      <c r="D36" s="27" t="s">
        <v>194</v>
      </c>
      <c r="E36" s="28"/>
      <c r="F36" s="28"/>
      <c r="G36" s="28"/>
      <c r="H36" s="28"/>
      <c r="I36" s="28"/>
      <c r="J36" s="28"/>
      <c r="K36" s="28"/>
      <c r="L36" s="28"/>
    </row>
    <row r="38" spans="1:12" s="29" customFormat="1" ht="12.75">
      <c r="A38" s="26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</row>
    <row r="40" spans="1:12" ht="12.75">
      <c r="A40" s="30"/>
      <c r="B40" s="31"/>
      <c r="C40" s="31"/>
      <c r="D40" s="31"/>
      <c r="E40" s="3"/>
      <c r="F40" s="3"/>
      <c r="G40" s="3"/>
      <c r="H40" s="3"/>
      <c r="I40" s="3"/>
      <c r="J40" s="3"/>
      <c r="K40" s="3"/>
      <c r="L40" s="3"/>
    </row>
    <row r="41" spans="1:12" s="29" customFormat="1" ht="12.75">
      <c r="A41" s="28" t="s">
        <v>195</v>
      </c>
      <c r="B41" s="32"/>
      <c r="C41" s="32"/>
      <c r="D41" s="32" t="s">
        <v>196</v>
      </c>
      <c r="E41" s="28"/>
      <c r="F41" s="28"/>
      <c r="G41" s="28"/>
      <c r="H41" s="28"/>
      <c r="I41" s="28"/>
      <c r="J41" s="28"/>
      <c r="K41" s="28"/>
      <c r="L41" s="28"/>
    </row>
    <row r="42" spans="1:12" ht="12.75">
      <c r="A42" s="30"/>
      <c r="B42" s="32"/>
      <c r="C42" s="32"/>
      <c r="D42" s="32"/>
      <c r="E42" s="3"/>
      <c r="F42" s="3"/>
      <c r="G42" s="3"/>
      <c r="H42" s="3"/>
      <c r="I42" s="3"/>
      <c r="J42" s="3"/>
      <c r="K42" s="3"/>
      <c r="L42" s="3"/>
    </row>
    <row r="43" spans="1:12" ht="12.75">
      <c r="A43" s="30"/>
      <c r="B43" s="31"/>
      <c r="C43" s="31"/>
      <c r="D43" s="31"/>
      <c r="E43" s="3"/>
      <c r="F43" s="3"/>
      <c r="G43" s="3"/>
      <c r="H43" s="3"/>
      <c r="I43" s="3"/>
      <c r="J43" s="3"/>
      <c r="K43" s="3"/>
      <c r="L43" s="3"/>
    </row>
    <row r="44" spans="1:12" ht="12.75">
      <c r="A44" s="30"/>
      <c r="B44" s="32"/>
      <c r="C44" s="32"/>
      <c r="D44" s="32"/>
      <c r="E44" s="3"/>
      <c r="F44" s="3"/>
      <c r="G44" s="3"/>
      <c r="H44" s="3"/>
      <c r="I44" s="3"/>
      <c r="J44" s="3"/>
      <c r="K44" s="3"/>
      <c r="L44" s="3"/>
    </row>
    <row r="45" spans="1:12" ht="12.75">
      <c r="A45" s="30"/>
      <c r="B45" s="31"/>
      <c r="C45" s="31"/>
      <c r="D45" s="31"/>
      <c r="E45" s="3"/>
      <c r="F45" s="3"/>
      <c r="G45" s="3"/>
      <c r="H45" s="3"/>
      <c r="I45" s="3"/>
      <c r="J45" s="3"/>
      <c r="K45" s="3"/>
      <c r="L45" s="3"/>
    </row>
    <row r="46" spans="1:12" ht="12.75">
      <c r="A46" s="30"/>
      <c r="B46" s="31"/>
      <c r="C46" s="31"/>
      <c r="D46" s="31"/>
      <c r="E46" s="3"/>
      <c r="F46" s="3"/>
      <c r="G46" s="3"/>
      <c r="H46" s="3"/>
      <c r="I46" s="3"/>
      <c r="J46" s="3"/>
      <c r="K46" s="3"/>
      <c r="L46" s="3"/>
    </row>
    <row r="47" spans="1:12" ht="12.75">
      <c r="A47" s="30"/>
      <c r="B47" s="31"/>
      <c r="C47" s="31"/>
      <c r="D47" s="31"/>
      <c r="E47" s="3"/>
      <c r="F47" s="3"/>
      <c r="G47" s="3"/>
      <c r="H47" s="3"/>
      <c r="I47" s="3"/>
      <c r="J47" s="3"/>
      <c r="K47" s="3"/>
      <c r="L47" s="3"/>
    </row>
    <row r="48" spans="1:12" ht="12.75">
      <c r="A48" s="30"/>
      <c r="B48" s="31"/>
      <c r="C48" s="31"/>
      <c r="D48" s="33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0"/>
      <c r="B49" s="31"/>
      <c r="C49" s="31"/>
      <c r="D49" s="33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0"/>
      <c r="B50" s="31"/>
      <c r="C50" s="31"/>
      <c r="D50" s="33"/>
      <c r="E50" s="34"/>
      <c r="F50" s="34"/>
      <c r="G50" s="34"/>
      <c r="H50" s="34"/>
      <c r="I50" s="34"/>
      <c r="J50" s="34"/>
      <c r="K50" s="34"/>
      <c r="L50" s="34"/>
    </row>
  </sheetData>
  <printOptions/>
  <pageMargins left="0.98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02"/>
  <sheetViews>
    <sheetView workbookViewId="0" topLeftCell="B1">
      <selection activeCell="B57" sqref="A57:IV57"/>
    </sheetView>
  </sheetViews>
  <sheetFormatPr defaultColWidth="9.140625" defaultRowHeight="12.75" outlineLevelRow="1" outlineLevelCol="1"/>
  <cols>
    <col min="1" max="1" width="8.00390625" style="0" hidden="1" customWidth="1" outlineLevel="1"/>
    <col min="2" max="2" width="27.7109375" style="0" customWidth="1" collapsed="1"/>
    <col min="3" max="3" width="32.140625" style="0" hidden="1" customWidth="1" outlineLevel="1"/>
    <col min="4" max="4" width="13.8515625" style="0" customWidth="1" collapsed="1"/>
    <col min="5" max="5" width="5.57421875" style="0" customWidth="1"/>
    <col min="6" max="7" width="5.421875" style="0" customWidth="1"/>
    <col min="8" max="8" width="5.57421875" style="0" customWidth="1"/>
    <col min="9" max="9" width="6.00390625" style="0" customWidth="1"/>
    <col min="10" max="10" width="5.57421875" style="0" customWidth="1"/>
    <col min="11" max="11" width="5.8515625" style="0" customWidth="1"/>
    <col min="12" max="12" width="5.57421875" style="0" customWidth="1"/>
    <col min="13" max="13" width="5.421875" style="0" customWidth="1"/>
    <col min="14" max="14" width="5.421875" style="0" hidden="1" customWidth="1"/>
    <col min="15" max="18" width="9.140625" style="0" hidden="1" customWidth="1"/>
    <col min="19" max="19" width="0.13671875" style="0" hidden="1" customWidth="1"/>
    <col min="20" max="41" width="9.140625" style="0" hidden="1" customWidth="1"/>
  </cols>
  <sheetData>
    <row r="1" ht="12.75">
      <c r="M1" s="239" t="s">
        <v>1723</v>
      </c>
    </row>
    <row r="3" spans="2:13" ht="34.5" customHeight="1">
      <c r="B3" s="486" t="s">
        <v>1724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</row>
    <row r="4" spans="2:13" ht="33.75" customHeight="1">
      <c r="B4" s="488" t="s">
        <v>1725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</row>
    <row r="5" spans="1:37" ht="13.5">
      <c r="A5" t="s">
        <v>1726</v>
      </c>
      <c r="B5" s="240" t="s">
        <v>479</v>
      </c>
      <c r="C5" s="241"/>
      <c r="D5" s="240"/>
      <c r="E5" s="489">
        <v>2001</v>
      </c>
      <c r="F5" s="490"/>
      <c r="G5" s="490"/>
      <c r="H5" s="491"/>
      <c r="I5" s="242"/>
      <c r="J5" s="242"/>
      <c r="K5" s="242"/>
      <c r="L5" s="242"/>
      <c r="M5" s="242"/>
      <c r="N5" s="242"/>
      <c r="AH5" t="s">
        <v>1727</v>
      </c>
      <c r="AI5" t="s">
        <v>1728</v>
      </c>
      <c r="AJ5" t="s">
        <v>1729</v>
      </c>
      <c r="AK5" t="s">
        <v>1730</v>
      </c>
    </row>
    <row r="6" spans="1:40" ht="13.5">
      <c r="A6" t="s">
        <v>1731</v>
      </c>
      <c r="B6" s="243" t="s">
        <v>485</v>
      </c>
      <c r="C6" s="243" t="s">
        <v>1732</v>
      </c>
      <c r="D6" s="243" t="s">
        <v>1733</v>
      </c>
      <c r="E6" s="244" t="s">
        <v>1734</v>
      </c>
      <c r="F6" s="244" t="s">
        <v>1735</v>
      </c>
      <c r="G6" s="244" t="s">
        <v>1736</v>
      </c>
      <c r="H6" s="244" t="s">
        <v>1737</v>
      </c>
      <c r="I6" s="244">
        <v>2001</v>
      </c>
      <c r="J6" s="245">
        <v>2002</v>
      </c>
      <c r="K6" s="245">
        <v>2003</v>
      </c>
      <c r="L6" s="245">
        <v>2004</v>
      </c>
      <c r="M6" s="245">
        <v>2005</v>
      </c>
      <c r="N6" s="246">
        <v>2006</v>
      </c>
      <c r="O6">
        <v>2007</v>
      </c>
      <c r="P6">
        <v>2008</v>
      </c>
      <c r="Q6">
        <v>2009</v>
      </c>
      <c r="R6">
        <v>2010</v>
      </c>
      <c r="S6">
        <v>2011</v>
      </c>
      <c r="T6">
        <v>2012</v>
      </c>
      <c r="U6">
        <v>2013</v>
      </c>
      <c r="V6">
        <v>2014</v>
      </c>
      <c r="W6">
        <v>2015</v>
      </c>
      <c r="X6">
        <v>2016</v>
      </c>
      <c r="Y6">
        <v>2017</v>
      </c>
      <c r="Z6">
        <v>2018</v>
      </c>
      <c r="AA6">
        <v>2019</v>
      </c>
      <c r="AB6">
        <v>2020</v>
      </c>
      <c r="AC6">
        <v>2021</v>
      </c>
      <c r="AD6">
        <v>2022</v>
      </c>
      <c r="AI6" t="s">
        <v>1738</v>
      </c>
      <c r="AJ6" t="s">
        <v>1739</v>
      </c>
      <c r="AL6" t="s">
        <v>1740</v>
      </c>
      <c r="AM6" t="s">
        <v>1741</v>
      </c>
      <c r="AN6" t="s">
        <v>1742</v>
      </c>
    </row>
    <row r="7" spans="1:14" ht="0.75" customHeight="1">
      <c r="A7" t="s">
        <v>276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2:14" ht="1.5" customHeight="1" hidden="1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</row>
    <row r="9" spans="2:14" ht="12.75" hidden="1" outlineLevel="1">
      <c r="B9" s="247" t="s">
        <v>502</v>
      </c>
      <c r="C9" s="247" t="s">
        <v>1743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2:14" ht="12.75" collapsed="1">
      <c r="B10" s="248"/>
      <c r="C10" s="249"/>
      <c r="D10" s="250" t="str">
        <f>IF($A$2="e","Disbursement","Kredīta izmaksa")</f>
        <v>Kredīta izmaksa</v>
      </c>
      <c r="E10" s="251">
        <f>'[2]Izm-Atam'!E10</f>
        <v>0</v>
      </c>
      <c r="F10" s="251">
        <f>'[2]Izm-Atam'!F10</f>
        <v>0</v>
      </c>
      <c r="G10" s="251">
        <f>'[2]Izm-Atam'!G10</f>
        <v>0</v>
      </c>
      <c r="H10" s="251">
        <f>'[2]Izm-Atam'!H10</f>
        <v>0</v>
      </c>
      <c r="I10" s="251">
        <f>'[2]Izm-Atam'!I10</f>
        <v>0</v>
      </c>
      <c r="J10" s="251">
        <f>'[2]Izm-Atam'!J10</f>
        <v>0</v>
      </c>
      <c r="K10" s="251">
        <f>'[2]Izm-Atam'!K10</f>
        <v>0</v>
      </c>
      <c r="L10" s="251">
        <f>'[2]Izm-Atam'!L10</f>
        <v>0</v>
      </c>
      <c r="M10" s="251">
        <f>'[2]Izm-Atam'!M10</f>
        <v>0</v>
      </c>
      <c r="N10" s="251">
        <f>'[2]Izm-Atam'!N10</f>
        <v>0</v>
      </c>
    </row>
    <row r="11" spans="1:14" ht="12.75">
      <c r="A11">
        <v>64</v>
      </c>
      <c r="B11" s="252" t="s">
        <v>1744</v>
      </c>
      <c r="C11" s="253" t="s">
        <v>660</v>
      </c>
      <c r="D11" s="254" t="str">
        <f>IF($A$2="e","Repayment","Pamata maksājumi")</f>
        <v>Pamata maksājumi</v>
      </c>
      <c r="E11" s="255">
        <f>'[2]Izm-Atam'!E11</f>
        <v>0.1743383</v>
      </c>
      <c r="F11" s="255">
        <f>'[2]Izm-Atam'!F11</f>
        <v>0.1961864</v>
      </c>
      <c r="G11" s="255">
        <f>'[2]Izm-Atam'!G11</f>
        <v>0.1743383</v>
      </c>
      <c r="H11" s="255">
        <f>'[2]Izm-Atam'!H11</f>
        <v>0.1961864</v>
      </c>
      <c r="I11" s="255">
        <f>'[2]Izm-Atam'!I11</f>
        <v>0.7410494000000001</v>
      </c>
      <c r="J11" s="255">
        <f>'[2]Izm-Atam'!J11</f>
        <v>0.56</v>
      </c>
      <c r="K11" s="255">
        <f>'[2]Izm-Atam'!K11</f>
        <v>0</v>
      </c>
      <c r="L11" s="255">
        <f>'[2]Izm-Atam'!L11</f>
        <v>0</v>
      </c>
      <c r="M11" s="255">
        <f>'[2]Izm-Atam'!M11</f>
        <v>0</v>
      </c>
      <c r="N11" s="255">
        <f>'[2]Izm-Atam'!N11</f>
        <v>0</v>
      </c>
    </row>
    <row r="12" spans="2:14" ht="12.75">
      <c r="B12" s="252" t="s">
        <v>1745</v>
      </c>
      <c r="C12" s="256" t="s">
        <v>1746</v>
      </c>
      <c r="D12" s="257" t="str">
        <f>IF($A$2="e","Interest payment","Procentu maksājumi")</f>
        <v>Procentu maksājumi</v>
      </c>
      <c r="E12" s="258">
        <f>'[2]Izm-Atam'!E12</f>
        <v>0.01336225</v>
      </c>
      <c r="F12" s="258">
        <f>'[2]Izm-Atam'!F12</f>
        <v>0.01210475</v>
      </c>
      <c r="G12" s="258">
        <f>'[2]Izm-Atam'!G12</f>
        <v>0.01009985</v>
      </c>
      <c r="H12" s="258">
        <f>'[2]Izm-Atam'!H12</f>
        <v>0.00858975</v>
      </c>
      <c r="I12" s="258">
        <f>'[2]Izm-Atam'!I12</f>
        <v>0.0441566</v>
      </c>
      <c r="J12" s="258">
        <f>'[2]Izm-Atam'!J12</f>
        <v>0.05</v>
      </c>
      <c r="K12" s="258">
        <f>'[2]Izm-Atam'!K12</f>
        <v>0</v>
      </c>
      <c r="L12" s="258">
        <f>'[2]Izm-Atam'!L12</f>
        <v>0</v>
      </c>
      <c r="M12" s="258">
        <f>'[2]Izm-Atam'!M12</f>
        <v>0</v>
      </c>
      <c r="N12" s="258">
        <f>'[2]Izm-Atam'!N12</f>
        <v>0</v>
      </c>
    </row>
    <row r="13" spans="2:30" ht="12.75">
      <c r="B13" s="259"/>
      <c r="C13" s="253"/>
      <c r="D13" s="254" t="str">
        <f>IF($A$2="e","Disbursement","Kredīta izmaksa")</f>
        <v>Kredīta izmaksa</v>
      </c>
      <c r="E13" s="251">
        <f>'[2]Izm-Atam'!E13</f>
        <v>0</v>
      </c>
      <c r="F13" s="251">
        <f>'[2]Izm-Atam'!F13</f>
        <v>0</v>
      </c>
      <c r="G13" s="251">
        <f>'[2]Izm-Atam'!G13</f>
        <v>0</v>
      </c>
      <c r="H13" s="251">
        <f>'[2]Izm-Atam'!H13</f>
        <v>0</v>
      </c>
      <c r="I13" s="251">
        <f>'[2]Izm-Atam'!I13</f>
        <v>0</v>
      </c>
      <c r="J13" s="251">
        <f>'[2]Izm-Atam'!J13</f>
        <v>0</v>
      </c>
      <c r="K13" s="251">
        <f>'[2]Izm-Atam'!K13</f>
        <v>0</v>
      </c>
      <c r="L13" s="251">
        <f>'[2]Izm-Atam'!L13</f>
        <v>0</v>
      </c>
      <c r="M13" s="251">
        <f>'[2]Izm-Atam'!M13</f>
        <v>0</v>
      </c>
      <c r="N13" s="251">
        <f>'[2]Izm-Atam'!N13</f>
        <v>0</v>
      </c>
      <c r="O13">
        <f aca="true" t="shared" si="0" ref="O13:AD13">O10</f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</row>
    <row r="14" spans="2:14" ht="12.75">
      <c r="B14" s="260" t="s">
        <v>1747</v>
      </c>
      <c r="C14" s="261" t="s">
        <v>1748</v>
      </c>
      <c r="D14" s="254" t="str">
        <f>IF($A$2="e","Repayment","Pamata maksājumi")</f>
        <v>Pamata maksājumi</v>
      </c>
      <c r="E14" s="255">
        <f>'[2]Izm-Atam'!E14</f>
        <v>0.1743383</v>
      </c>
      <c r="F14" s="255">
        <f>'[2]Izm-Atam'!F14</f>
        <v>0.1961864</v>
      </c>
      <c r="G14" s="255">
        <f>'[2]Izm-Atam'!G14</f>
        <v>0.1743383</v>
      </c>
      <c r="H14" s="255">
        <f>'[2]Izm-Atam'!H14</f>
        <v>0.1961864</v>
      </c>
      <c r="I14" s="255">
        <f>'[2]Izm-Atam'!I14</f>
        <v>0.7410494000000001</v>
      </c>
      <c r="J14" s="255">
        <f>'[2]Izm-Atam'!J14</f>
        <v>0.56</v>
      </c>
      <c r="K14" s="255">
        <f>'[2]Izm-Atam'!K14</f>
        <v>0</v>
      </c>
      <c r="L14" s="255">
        <f>'[2]Izm-Atam'!L14</f>
        <v>0</v>
      </c>
      <c r="M14" s="255">
        <f>'[2]Izm-Atam'!M14</f>
        <v>0</v>
      </c>
      <c r="N14" s="255">
        <f>'[2]Izm-Atam'!N14</f>
        <v>0</v>
      </c>
    </row>
    <row r="15" spans="2:14" ht="12.75">
      <c r="B15" s="262"/>
      <c r="C15" s="253"/>
      <c r="D15" s="254" t="str">
        <f>IF($A$2="e","Interest payment","Procentu maksājumi")</f>
        <v>Procentu maksājumi</v>
      </c>
      <c r="E15" s="258">
        <f>'[2]Izm-Atam'!E15</f>
        <v>0.01336225</v>
      </c>
      <c r="F15" s="258">
        <f>'[2]Izm-Atam'!F15</f>
        <v>0.01210475</v>
      </c>
      <c r="G15" s="258">
        <f>'[2]Izm-Atam'!G15</f>
        <v>0.01009985</v>
      </c>
      <c r="H15" s="258">
        <f>'[2]Izm-Atam'!H15</f>
        <v>0.00858975</v>
      </c>
      <c r="I15" s="258">
        <f>'[2]Izm-Atam'!I15</f>
        <v>0.0441566</v>
      </c>
      <c r="J15" s="258">
        <f>'[2]Izm-Atam'!J15</f>
        <v>0.05</v>
      </c>
      <c r="K15" s="258">
        <f>'[2]Izm-Atam'!K15</f>
        <v>0</v>
      </c>
      <c r="L15" s="258">
        <f>'[2]Izm-Atam'!L15</f>
        <v>0</v>
      </c>
      <c r="M15" s="258">
        <f>'[2]Izm-Atam'!M15</f>
        <v>0</v>
      </c>
      <c r="N15" s="258">
        <f>'[2]Izm-Atam'!N15</f>
        <v>0</v>
      </c>
    </row>
    <row r="16" spans="2:14" ht="12.75" hidden="1" outlineLevel="1">
      <c r="B16" s="252" t="s">
        <v>505</v>
      </c>
      <c r="C16" s="253" t="s">
        <v>1749</v>
      </c>
      <c r="D16" s="254"/>
      <c r="E16" s="251">
        <f>'[2]Izm-Atam'!E16</f>
        <v>0</v>
      </c>
      <c r="F16" s="251">
        <f>'[2]Izm-Atam'!F16</f>
        <v>0</v>
      </c>
      <c r="G16" s="251">
        <f>'[2]Izm-Atam'!G16</f>
        <v>0</v>
      </c>
      <c r="H16" s="251">
        <f>'[2]Izm-Atam'!H16</f>
        <v>0</v>
      </c>
      <c r="I16" s="251">
        <f>'[2]Izm-Atam'!I16</f>
        <v>0</v>
      </c>
      <c r="J16" s="251">
        <f>'[2]Izm-Atam'!J16</f>
        <v>0</v>
      </c>
      <c r="K16" s="251">
        <f>'[2]Izm-Atam'!K16</f>
        <v>0</v>
      </c>
      <c r="L16" s="251">
        <f>'[2]Izm-Atam'!L16</f>
        <v>0</v>
      </c>
      <c r="M16" s="251">
        <f>'[2]Izm-Atam'!M16</f>
        <v>0</v>
      </c>
      <c r="N16" s="251">
        <f>'[2]Izm-Atam'!N16</f>
        <v>0</v>
      </c>
    </row>
    <row r="17" spans="2:14" ht="12.75" collapsed="1">
      <c r="B17" s="252"/>
      <c r="C17" s="249"/>
      <c r="D17" s="250" t="str">
        <f>IF($A$2="e","Disbursement","Kredīta izmaksa")</f>
        <v>Kredīta izmaksa</v>
      </c>
      <c r="E17" s="251">
        <f>'[2]Izm-Atam'!E17</f>
        <v>0</v>
      </c>
      <c r="F17" s="251">
        <f>'[2]Izm-Atam'!F17</f>
        <v>0</v>
      </c>
      <c r="G17" s="251">
        <f>'[2]Izm-Atam'!G17</f>
        <v>0</v>
      </c>
      <c r="H17" s="251">
        <f>'[2]Izm-Atam'!H17</f>
        <v>0</v>
      </c>
      <c r="I17" s="251">
        <f>'[2]Izm-Atam'!I17</f>
        <v>0</v>
      </c>
      <c r="J17" s="251">
        <f>'[2]Izm-Atam'!J17</f>
        <v>0</v>
      </c>
      <c r="K17" s="251">
        <f>'[2]Izm-Atam'!K17</f>
        <v>0</v>
      </c>
      <c r="L17" s="251">
        <f>'[2]Izm-Atam'!L17</f>
        <v>0</v>
      </c>
      <c r="M17" s="251">
        <f>'[2]Izm-Atam'!M17</f>
        <v>0</v>
      </c>
      <c r="N17" s="251">
        <f>'[2]Izm-Atam'!N17</f>
        <v>0</v>
      </c>
    </row>
    <row r="18" spans="1:14" ht="12.75">
      <c r="A18">
        <v>28</v>
      </c>
      <c r="B18" s="252" t="s">
        <v>1750</v>
      </c>
      <c r="C18" s="253" t="s">
        <v>1751</v>
      </c>
      <c r="D18" s="254" t="str">
        <f>IF($A$2="e","Repayment","Pamata maksājumi")</f>
        <v>Pamata maksājumi</v>
      </c>
      <c r="E18" s="255">
        <f>'[2]Izm-Atam'!E18</f>
        <v>1.02087455</v>
      </c>
      <c r="F18" s="255">
        <f>'[2]Izm-Atam'!F18</f>
        <v>0</v>
      </c>
      <c r="G18" s="255">
        <f>'[2]Izm-Atam'!G18</f>
        <v>1.02087455</v>
      </c>
      <c r="H18" s="255">
        <f>'[2]Izm-Atam'!H18</f>
        <v>0</v>
      </c>
      <c r="I18" s="255">
        <f>'[2]Izm-Atam'!I18</f>
        <v>2.0417491</v>
      </c>
      <c r="J18" s="255">
        <f>'[2]Izm-Atam'!J18</f>
        <v>2.0417491</v>
      </c>
      <c r="K18" s="255">
        <f>'[2]Izm-Atam'!K18</f>
        <v>2.0417491</v>
      </c>
      <c r="L18" s="255">
        <f>'[2]Izm-Atam'!L18</f>
        <v>2.0417491</v>
      </c>
      <c r="M18" s="255">
        <f>'[2]Izm-Atam'!M18</f>
        <v>2.0417491</v>
      </c>
      <c r="N18" s="255">
        <f>'[2]Izm-Atam'!N18</f>
        <v>1.02087455</v>
      </c>
    </row>
    <row r="19" spans="2:14" ht="12.75">
      <c r="B19" s="252" t="s">
        <v>1752</v>
      </c>
      <c r="C19" s="256" t="s">
        <v>1753</v>
      </c>
      <c r="D19" s="257" t="str">
        <f>IF($A$2="e","Interest payment","Procentu maksājumi")</f>
        <v>Procentu maksājumi</v>
      </c>
      <c r="E19" s="258">
        <f>'[2]Izm-Atam'!E19</f>
        <v>0</v>
      </c>
      <c r="F19" s="258">
        <f>'[2]Izm-Atam'!F19</f>
        <v>0</v>
      </c>
      <c r="G19" s="258">
        <f>'[2]Izm-Atam'!G19</f>
        <v>0</v>
      </c>
      <c r="H19" s="258">
        <f>'[2]Izm-Atam'!H19</f>
        <v>0</v>
      </c>
      <c r="I19" s="258">
        <f>'[2]Izm-Atam'!I19</f>
        <v>0</v>
      </c>
      <c r="J19" s="258">
        <f>'[2]Izm-Atam'!J19</f>
        <v>0</v>
      </c>
      <c r="K19" s="258">
        <f>'[2]Izm-Atam'!K19</f>
        <v>0</v>
      </c>
      <c r="L19" s="258">
        <f>'[2]Izm-Atam'!L19</f>
        <v>0</v>
      </c>
      <c r="M19" s="258">
        <f>'[2]Izm-Atam'!M19</f>
        <v>0</v>
      </c>
      <c r="N19" s="258">
        <f>'[2]Izm-Atam'!N19</f>
        <v>0</v>
      </c>
    </row>
    <row r="20" spans="2:14" ht="12.75">
      <c r="B20" s="259"/>
      <c r="C20" s="253"/>
      <c r="D20" s="254" t="str">
        <f>IF($A$2="e","Disbursement","Kredīta izmaksa")</f>
        <v>Kredīta izmaksa</v>
      </c>
      <c r="E20" s="251">
        <f>'[2]Izm-Atam'!E20</f>
        <v>0</v>
      </c>
      <c r="F20" s="251">
        <f>'[2]Izm-Atam'!F20</f>
        <v>0</v>
      </c>
      <c r="G20" s="251">
        <f>'[2]Izm-Atam'!G20</f>
        <v>0</v>
      </c>
      <c r="H20" s="251">
        <f>'[2]Izm-Atam'!H20</f>
        <v>0</v>
      </c>
      <c r="I20" s="251">
        <f>'[2]Izm-Atam'!I20</f>
        <v>0</v>
      </c>
      <c r="J20" s="251">
        <f>'[2]Izm-Atam'!J20</f>
        <v>0</v>
      </c>
      <c r="K20" s="251">
        <f>'[2]Izm-Atam'!K20</f>
        <v>0</v>
      </c>
      <c r="L20" s="251">
        <f>'[2]Izm-Atam'!L20</f>
        <v>0</v>
      </c>
      <c r="M20" s="251">
        <f>'[2]Izm-Atam'!M20</f>
        <v>0</v>
      </c>
      <c r="N20" s="251">
        <f>'[2]Izm-Atam'!N20</f>
        <v>0</v>
      </c>
    </row>
    <row r="21" spans="1:14" ht="12.75">
      <c r="A21">
        <v>58</v>
      </c>
      <c r="B21" s="252" t="s">
        <v>1754</v>
      </c>
      <c r="C21" s="253" t="s">
        <v>1751</v>
      </c>
      <c r="D21" s="254" t="str">
        <f>IF($A$2="e","Repayment","Pamata maksājumi")</f>
        <v>Pamata maksājumi</v>
      </c>
      <c r="E21" s="255">
        <f>'[2]Izm-Atam'!E21</f>
        <v>0</v>
      </c>
      <c r="F21" s="255">
        <f>'[2]Izm-Atam'!F21</f>
        <v>0.021777130000000002</v>
      </c>
      <c r="G21" s="255">
        <f>'[2]Izm-Atam'!G21</f>
        <v>0</v>
      </c>
      <c r="H21" s="255">
        <f>'[2]Izm-Atam'!H21</f>
        <v>0.021777130000000002</v>
      </c>
      <c r="I21" s="255">
        <f>'[2]Izm-Atam'!I21</f>
        <v>0.043554260000000004</v>
      </c>
      <c r="J21" s="255">
        <f>'[2]Izm-Atam'!J21</f>
        <v>0.04355426</v>
      </c>
      <c r="K21" s="255">
        <f>'[2]Izm-Atam'!K21</f>
        <v>0.04355426</v>
      </c>
      <c r="L21" s="255">
        <f>'[2]Izm-Atam'!L21</f>
        <v>0.04355426</v>
      </c>
      <c r="M21" s="255">
        <f>'[2]Izm-Atam'!M21</f>
        <v>0.04355426</v>
      </c>
      <c r="N21" s="255">
        <f>'[2]Izm-Atam'!N21</f>
        <v>0</v>
      </c>
    </row>
    <row r="22" spans="2:14" ht="12.75">
      <c r="B22" s="262" t="s">
        <v>1752</v>
      </c>
      <c r="C22" s="253" t="s">
        <v>1755</v>
      </c>
      <c r="D22" s="254" t="str">
        <f>IF($A$2="e","Interest payment","Procentu maksājumi")</f>
        <v>Procentu maksājumi</v>
      </c>
      <c r="E22" s="258">
        <f>'[2]Izm-Atam'!E22</f>
        <v>0</v>
      </c>
      <c r="F22" s="258">
        <f>'[2]Izm-Atam'!F22</f>
        <v>0</v>
      </c>
      <c r="G22" s="258">
        <f>'[2]Izm-Atam'!G22</f>
        <v>0</v>
      </c>
      <c r="H22" s="258">
        <f>'[2]Izm-Atam'!H22</f>
        <v>0</v>
      </c>
      <c r="I22" s="258">
        <f>'[2]Izm-Atam'!I22</f>
        <v>0</v>
      </c>
      <c r="J22" s="258">
        <f>'[2]Izm-Atam'!J22</f>
        <v>0</v>
      </c>
      <c r="K22" s="258">
        <f>'[2]Izm-Atam'!K22</f>
        <v>0</v>
      </c>
      <c r="L22" s="258">
        <f>'[2]Izm-Atam'!L22</f>
        <v>0</v>
      </c>
      <c r="M22" s="258">
        <f>'[2]Izm-Atam'!M22</f>
        <v>0</v>
      </c>
      <c r="N22" s="258">
        <f>'[2]Izm-Atam'!N22</f>
        <v>0</v>
      </c>
    </row>
    <row r="23" spans="2:30" ht="12.75">
      <c r="B23" s="252"/>
      <c r="C23" s="249"/>
      <c r="D23" s="250" t="str">
        <f>IF($A$2="e","Disbursement","Kredīta izmaksa")</f>
        <v>Kredīta izmaksa</v>
      </c>
      <c r="E23" s="251">
        <f>'[2]Izm-Atam'!E23</f>
        <v>0</v>
      </c>
      <c r="F23" s="251">
        <f>'[2]Izm-Atam'!F23</f>
        <v>0</v>
      </c>
      <c r="G23" s="251">
        <f>'[2]Izm-Atam'!G23</f>
        <v>0</v>
      </c>
      <c r="H23" s="251">
        <f>'[2]Izm-Atam'!H23</f>
        <v>0</v>
      </c>
      <c r="I23" s="251">
        <f>'[2]Izm-Atam'!I23</f>
        <v>0</v>
      </c>
      <c r="J23" s="251">
        <f>'[2]Izm-Atam'!J23</f>
        <v>0</v>
      </c>
      <c r="K23" s="251">
        <f>'[2]Izm-Atam'!K23</f>
        <v>0</v>
      </c>
      <c r="L23" s="251">
        <f>'[2]Izm-Atam'!L23</f>
        <v>0</v>
      </c>
      <c r="M23" s="251">
        <f>'[2]Izm-Atam'!M23</f>
        <v>0</v>
      </c>
      <c r="N23" s="251">
        <f>'[2]Izm-Atam'!N23</f>
        <v>0</v>
      </c>
      <c r="O23">
        <f aca="true" t="shared" si="1" ref="O23:AD25">O17+O20</f>
        <v>0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U23">
        <f t="shared" si="1"/>
        <v>0</v>
      </c>
      <c r="V23">
        <f t="shared" si="1"/>
        <v>0</v>
      </c>
      <c r="W23">
        <f t="shared" si="1"/>
        <v>0</v>
      </c>
      <c r="X23">
        <f t="shared" si="1"/>
        <v>0</v>
      </c>
      <c r="Y23">
        <f t="shared" si="1"/>
        <v>0</v>
      </c>
      <c r="Z23">
        <f t="shared" si="1"/>
        <v>0</v>
      </c>
      <c r="AA23">
        <f t="shared" si="1"/>
        <v>0</v>
      </c>
      <c r="AB23">
        <f t="shared" si="1"/>
        <v>0</v>
      </c>
      <c r="AC23">
        <f t="shared" si="1"/>
        <v>0</v>
      </c>
      <c r="AD23">
        <f t="shared" si="1"/>
        <v>0</v>
      </c>
    </row>
    <row r="24" spans="2:30" ht="12.75">
      <c r="B24" s="260" t="s">
        <v>1756</v>
      </c>
      <c r="C24" s="261" t="s">
        <v>1757</v>
      </c>
      <c r="D24" s="254" t="str">
        <f>IF($A$2="e","Repayment","Pamata maksājumi")</f>
        <v>Pamata maksājumi</v>
      </c>
      <c r="E24" s="255">
        <f>'[2]Izm-Atam'!E24</f>
        <v>1.02087455</v>
      </c>
      <c r="F24" s="255">
        <f>'[2]Izm-Atam'!F24</f>
        <v>0.021777130000000002</v>
      </c>
      <c r="G24" s="255">
        <f>'[2]Izm-Atam'!G24</f>
        <v>1.02087455</v>
      </c>
      <c r="H24" s="255">
        <f>'[2]Izm-Atam'!H24</f>
        <v>0.021777130000000002</v>
      </c>
      <c r="I24" s="255">
        <f>'[2]Izm-Atam'!I24</f>
        <v>2.0853033599999997</v>
      </c>
      <c r="J24" s="255">
        <f>'[2]Izm-Atam'!J24</f>
        <v>2.08530336</v>
      </c>
      <c r="K24" s="255">
        <f>'[2]Izm-Atam'!K24</f>
        <v>2.08530336</v>
      </c>
      <c r="L24" s="255">
        <f>'[2]Izm-Atam'!L24</f>
        <v>2.08530336</v>
      </c>
      <c r="M24" s="255">
        <f>'[2]Izm-Atam'!M24</f>
        <v>2.08530336</v>
      </c>
      <c r="N24" s="255">
        <f>'[2]Izm-Atam'!N24</f>
        <v>1.02087455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0</v>
      </c>
      <c r="U24">
        <f t="shared" si="1"/>
        <v>0</v>
      </c>
      <c r="V24">
        <f t="shared" si="1"/>
        <v>0</v>
      </c>
      <c r="W24">
        <f t="shared" si="1"/>
        <v>0</v>
      </c>
      <c r="X24">
        <f t="shared" si="1"/>
        <v>0</v>
      </c>
      <c r="Y24">
        <f t="shared" si="1"/>
        <v>0</v>
      </c>
      <c r="Z24">
        <f t="shared" si="1"/>
        <v>0</v>
      </c>
      <c r="AA24">
        <f t="shared" si="1"/>
        <v>0</v>
      </c>
      <c r="AB24">
        <f t="shared" si="1"/>
        <v>0</v>
      </c>
      <c r="AC24">
        <f t="shared" si="1"/>
        <v>0</v>
      </c>
      <c r="AD24">
        <f t="shared" si="1"/>
        <v>0</v>
      </c>
    </row>
    <row r="25" spans="2:30" ht="12.75">
      <c r="B25" s="252"/>
      <c r="C25" s="256"/>
      <c r="D25" s="257" t="str">
        <f>IF($A$2="e","Interest payment","Procentu maksājumi")</f>
        <v>Procentu maksājumi</v>
      </c>
      <c r="E25" s="258">
        <f>'[2]Izm-Atam'!E25</f>
        <v>0</v>
      </c>
      <c r="F25" s="258">
        <f>'[2]Izm-Atam'!F25</f>
        <v>0</v>
      </c>
      <c r="G25" s="258">
        <f>'[2]Izm-Atam'!G25</f>
        <v>0</v>
      </c>
      <c r="H25" s="258">
        <f>'[2]Izm-Atam'!H25</f>
        <v>0</v>
      </c>
      <c r="I25" s="258">
        <f>'[2]Izm-Atam'!I25</f>
        <v>0</v>
      </c>
      <c r="J25" s="258">
        <f>'[2]Izm-Atam'!J25</f>
        <v>0</v>
      </c>
      <c r="K25" s="258">
        <f>'[2]Izm-Atam'!K25</f>
        <v>0</v>
      </c>
      <c r="L25" s="258">
        <f>'[2]Izm-Atam'!L25</f>
        <v>0</v>
      </c>
      <c r="M25" s="258">
        <f>'[2]Izm-Atam'!M25</f>
        <v>0</v>
      </c>
      <c r="N25" s="258">
        <f>'[2]Izm-Atam'!N25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  <c r="S25">
        <f t="shared" si="1"/>
        <v>0</v>
      </c>
      <c r="T25">
        <f t="shared" si="1"/>
        <v>0</v>
      </c>
      <c r="U25">
        <f t="shared" si="1"/>
        <v>0</v>
      </c>
      <c r="V25">
        <f t="shared" si="1"/>
        <v>0</v>
      </c>
      <c r="W25">
        <f t="shared" si="1"/>
        <v>0</v>
      </c>
      <c r="X25">
        <f t="shared" si="1"/>
        <v>0</v>
      </c>
      <c r="Y25">
        <f t="shared" si="1"/>
        <v>0</v>
      </c>
      <c r="Z25">
        <f t="shared" si="1"/>
        <v>0</v>
      </c>
      <c r="AA25">
        <f t="shared" si="1"/>
        <v>0</v>
      </c>
      <c r="AB25">
        <f t="shared" si="1"/>
        <v>0</v>
      </c>
      <c r="AC25">
        <f t="shared" si="1"/>
        <v>0</v>
      </c>
      <c r="AD25">
        <f t="shared" si="1"/>
        <v>0</v>
      </c>
    </row>
    <row r="26" spans="2:14" ht="12.75" hidden="1" outlineLevel="1">
      <c r="B26" s="252" t="s">
        <v>509</v>
      </c>
      <c r="C26" s="253" t="s">
        <v>1758</v>
      </c>
      <c r="D26" s="254"/>
      <c r="E26" s="251">
        <f>'[2]Izm-Atam'!E26</f>
        <v>0</v>
      </c>
      <c r="F26" s="251">
        <f>'[2]Izm-Atam'!F26</f>
        <v>0</v>
      </c>
      <c r="G26" s="251">
        <f>'[2]Izm-Atam'!G26</f>
        <v>0</v>
      </c>
      <c r="H26" s="251">
        <f>'[2]Izm-Atam'!H26</f>
        <v>0</v>
      </c>
      <c r="I26" s="251">
        <f>'[2]Izm-Atam'!I26</f>
        <v>0</v>
      </c>
      <c r="J26" s="251">
        <f>'[2]Izm-Atam'!J26</f>
        <v>0</v>
      </c>
      <c r="K26" s="251">
        <f>'[2]Izm-Atam'!K26</f>
        <v>0</v>
      </c>
      <c r="L26" s="251">
        <f>'[2]Izm-Atam'!L26</f>
        <v>0</v>
      </c>
      <c r="M26" s="251">
        <f>'[2]Izm-Atam'!M26</f>
        <v>0</v>
      </c>
      <c r="N26" s="251">
        <f>'[2]Izm-Atam'!N26</f>
        <v>0</v>
      </c>
    </row>
    <row r="27" spans="2:14" ht="12.75" collapsed="1">
      <c r="B27" s="259"/>
      <c r="C27" s="253"/>
      <c r="D27" s="254" t="str">
        <f>IF($A$2="e","Disbursement","Kredīta izmaksa")</f>
        <v>Kredīta izmaksa</v>
      </c>
      <c r="E27" s="251">
        <f>'[2]Izm-Atam'!E27</f>
        <v>0</v>
      </c>
      <c r="F27" s="251">
        <f>'[2]Izm-Atam'!F27</f>
        <v>0</v>
      </c>
      <c r="G27" s="251">
        <f>'[2]Izm-Atam'!G27</f>
        <v>0</v>
      </c>
      <c r="H27" s="251">
        <f>'[2]Izm-Atam'!H27</f>
        <v>0</v>
      </c>
      <c r="I27" s="251">
        <f>'[2]Izm-Atam'!I27</f>
        <v>0</v>
      </c>
      <c r="J27" s="251">
        <f>'[2]Izm-Atam'!J27</f>
        <v>0</v>
      </c>
      <c r="K27" s="251">
        <f>'[2]Izm-Atam'!K27</f>
        <v>0</v>
      </c>
      <c r="L27" s="251">
        <f>'[2]Izm-Atam'!L27</f>
        <v>0</v>
      </c>
      <c r="M27" s="251">
        <f>'[2]Izm-Atam'!M27</f>
        <v>0</v>
      </c>
      <c r="N27" s="251">
        <f>'[2]Izm-Atam'!N27</f>
        <v>0</v>
      </c>
    </row>
    <row r="28" spans="1:14" ht="12.75">
      <c r="A28">
        <v>4</v>
      </c>
      <c r="B28" s="252" t="s">
        <v>1759</v>
      </c>
      <c r="C28" s="253" t="s">
        <v>1760</v>
      </c>
      <c r="D28" s="254" t="str">
        <f>IF($A$2="e","Repayment","Pamata maksājumi")</f>
        <v>Pamata maksājumi</v>
      </c>
      <c r="E28" s="255">
        <f>'[2]Izm-Atam'!E28</f>
        <v>0</v>
      </c>
      <c r="F28" s="255">
        <f>'[2]Izm-Atam'!F28</f>
        <v>0.21141783</v>
      </c>
      <c r="G28" s="255">
        <f>'[2]Izm-Atam'!G28</f>
        <v>0</v>
      </c>
      <c r="H28" s="255">
        <f>'[2]Izm-Atam'!H28</f>
        <v>0.21141783</v>
      </c>
      <c r="I28" s="255">
        <f>'[2]Izm-Atam'!I28</f>
        <v>0.42283566</v>
      </c>
      <c r="J28" s="255">
        <f>'[2]Izm-Atam'!J28</f>
        <v>0.42</v>
      </c>
      <c r="K28" s="255">
        <f>'[2]Izm-Atam'!K28</f>
        <v>0.42</v>
      </c>
      <c r="L28" s="255">
        <f>'[2]Izm-Atam'!L28</f>
        <v>0.34</v>
      </c>
      <c r="M28" s="255">
        <f>'[2]Izm-Atam'!M28</f>
        <v>0</v>
      </c>
      <c r="N28" s="255">
        <f>'[2]Izm-Atam'!N28</f>
        <v>0</v>
      </c>
    </row>
    <row r="29" spans="2:14" ht="12.75">
      <c r="B29" s="262" t="s">
        <v>1761</v>
      </c>
      <c r="C29" s="253" t="s">
        <v>1762</v>
      </c>
      <c r="D29" s="254" t="str">
        <f>IF($A$2="e","Interest payment","Procentu maksājumi")</f>
        <v>Procentu maksājumi</v>
      </c>
      <c r="E29" s="258">
        <f>'[2]Izm-Atam'!E29</f>
        <v>0</v>
      </c>
      <c r="F29" s="258">
        <f>'[2]Izm-Atam'!F29</f>
        <v>0.03408176</v>
      </c>
      <c r="G29" s="258">
        <f>'[2]Izm-Atam'!G29</f>
        <v>0</v>
      </c>
      <c r="H29" s="258">
        <f>'[2]Izm-Atam'!H29</f>
        <v>0.029768689999999997</v>
      </c>
      <c r="I29" s="258">
        <f>'[2]Izm-Atam'!I29</f>
        <v>0.06385045</v>
      </c>
      <c r="J29" s="258">
        <f>'[2]Izm-Atam'!J29</f>
        <v>0.045898</v>
      </c>
      <c r="K29" s="258">
        <f>'[2]Izm-Atam'!K29</f>
        <v>0.03</v>
      </c>
      <c r="L29" s="258">
        <f>'[2]Izm-Atam'!L29</f>
        <v>0.01</v>
      </c>
      <c r="M29" s="258">
        <f>'[2]Izm-Atam'!M29</f>
        <v>0</v>
      </c>
      <c r="N29" s="258">
        <f>'[2]Izm-Atam'!N29</f>
        <v>0</v>
      </c>
    </row>
    <row r="30" spans="2:14" ht="12.75">
      <c r="B30" s="252"/>
      <c r="C30" s="249"/>
      <c r="D30" s="250" t="str">
        <f>IF($A$2="e","Disbursement","Kredīta izmaksa")</f>
        <v>Kredīta izmaksa</v>
      </c>
      <c r="E30" s="251">
        <f>'[2]Izm-Atam'!E30</f>
        <v>0</v>
      </c>
      <c r="F30" s="251">
        <f>'[2]Izm-Atam'!F30</f>
        <v>0</v>
      </c>
      <c r="G30" s="251">
        <f>'[2]Izm-Atam'!G30</f>
        <v>0</v>
      </c>
      <c r="H30" s="251">
        <f>'[2]Izm-Atam'!H30</f>
        <v>0</v>
      </c>
      <c r="I30" s="251">
        <f>'[2]Izm-Atam'!I30</f>
        <v>0</v>
      </c>
      <c r="J30" s="251">
        <f>'[2]Izm-Atam'!J30</f>
        <v>0</v>
      </c>
      <c r="K30" s="251">
        <f>'[2]Izm-Atam'!K30</f>
        <v>0</v>
      </c>
      <c r="L30" s="251">
        <f>'[2]Izm-Atam'!L30</f>
        <v>0</v>
      </c>
      <c r="M30" s="251">
        <f>'[2]Izm-Atam'!M30</f>
        <v>0</v>
      </c>
      <c r="N30" s="251">
        <f>'[2]Izm-Atam'!N30</f>
        <v>0</v>
      </c>
    </row>
    <row r="31" spans="1:18" ht="12.75">
      <c r="A31">
        <v>13</v>
      </c>
      <c r="B31" s="252" t="s">
        <v>1763</v>
      </c>
      <c r="C31" s="253" t="s">
        <v>1764</v>
      </c>
      <c r="D31" s="254" t="str">
        <f>IF($A$2="e","Repayment","Pamata maksājumi")</f>
        <v>Pamata maksājumi</v>
      </c>
      <c r="E31" s="255">
        <f>'[2]Izm-Atam'!E31</f>
        <v>0.18150861999999998</v>
      </c>
      <c r="F31" s="255">
        <f>'[2]Izm-Atam'!F31</f>
        <v>0</v>
      </c>
      <c r="G31" s="255">
        <f>'[2]Izm-Atam'!G31</f>
        <v>0.18150861999999998</v>
      </c>
      <c r="H31" s="255">
        <f>'[2]Izm-Atam'!H31</f>
        <v>0</v>
      </c>
      <c r="I31" s="255">
        <f>'[2]Izm-Atam'!I31</f>
        <v>0.36301723999999996</v>
      </c>
      <c r="J31" s="255">
        <f>'[2]Izm-Atam'!J31</f>
        <v>0.36</v>
      </c>
      <c r="K31" s="255">
        <f>'[2]Izm-Atam'!K31</f>
        <v>0.36</v>
      </c>
      <c r="L31" s="255">
        <f>'[2]Izm-Atam'!L31</f>
        <v>0.36</v>
      </c>
      <c r="M31" s="255">
        <f>'[2]Izm-Atam'!M31</f>
        <v>0.36</v>
      </c>
      <c r="N31" s="255">
        <f>'[2]Izm-Atam'!N31</f>
        <v>0.36</v>
      </c>
      <c r="O31">
        <v>5.14700482148244</v>
      </c>
      <c r="P31">
        <v>5.14700482148244</v>
      </c>
      <c r="Q31">
        <v>5.14700482148244</v>
      </c>
      <c r="R31">
        <v>3.4313372430119182</v>
      </c>
    </row>
    <row r="32" spans="2:18" ht="12.75">
      <c r="B32" s="252" t="s">
        <v>1765</v>
      </c>
      <c r="C32" s="256" t="s">
        <v>1766</v>
      </c>
      <c r="D32" s="257" t="str">
        <f>IF($A$2="e","Interest payment","Procentu maksājumi")</f>
        <v>Procentu maksājumi</v>
      </c>
      <c r="E32" s="258">
        <f>'[2]Izm-Atam'!E32</f>
        <v>0.098172</v>
      </c>
      <c r="F32" s="258">
        <f>'[2]Izm-Atam'!F32</f>
        <v>0</v>
      </c>
      <c r="G32" s="258">
        <f>'[2]Izm-Atam'!G32</f>
        <v>0.07129100999999999</v>
      </c>
      <c r="H32" s="258">
        <f>'[2]Izm-Atam'!H32</f>
        <v>0</v>
      </c>
      <c r="I32" s="258">
        <f>'[2]Izm-Atam'!I32</f>
        <v>0.16946300999999997</v>
      </c>
      <c r="J32" s="258">
        <f>'[2]Izm-Atam'!J32</f>
        <v>0.133495</v>
      </c>
      <c r="K32" s="258">
        <f>'[2]Izm-Atam'!K32</f>
        <v>0.12</v>
      </c>
      <c r="L32" s="258">
        <f>'[2]Izm-Atam'!L32</f>
        <v>0.11</v>
      </c>
      <c r="M32" s="258">
        <f>'[2]Izm-Atam'!M32</f>
        <v>0.09</v>
      </c>
      <c r="N32" s="258">
        <f>'[2]Izm-Atam'!N32</f>
        <v>0.08</v>
      </c>
      <c r="O32">
        <v>0.91960692</v>
      </c>
      <c r="P32">
        <v>0.6480802800000001</v>
      </c>
      <c r="Q32">
        <v>0.37263759</v>
      </c>
      <c r="R32">
        <v>0.12566867</v>
      </c>
    </row>
    <row r="33" spans="2:14" ht="12.75">
      <c r="B33" s="259"/>
      <c r="C33" s="253"/>
      <c r="D33" s="254" t="str">
        <f>IF($A$2="e","Disbursement","Kredīta izmaksa")</f>
        <v>Kredīta izmaksa</v>
      </c>
      <c r="E33" s="251">
        <v>0.62</v>
      </c>
      <c r="F33" s="251">
        <v>2.12</v>
      </c>
      <c r="G33" s="251">
        <v>1.64</v>
      </c>
      <c r="H33" s="251">
        <v>0.65</v>
      </c>
      <c r="I33" s="251">
        <v>5.06</v>
      </c>
      <c r="J33" s="251">
        <f>'[2]Izm-Atam'!J33</f>
        <v>0</v>
      </c>
      <c r="K33" s="251">
        <f>'[2]Izm-Atam'!K33</f>
        <v>0</v>
      </c>
      <c r="L33" s="251">
        <f>'[2]Izm-Atam'!L33</f>
        <v>0</v>
      </c>
      <c r="M33" s="251">
        <f>'[2]Izm-Atam'!M33</f>
        <v>0</v>
      </c>
      <c r="N33" s="251">
        <f>'[2]Izm-Atam'!N33</f>
        <v>0</v>
      </c>
    </row>
    <row r="34" spans="1:23" ht="12.75">
      <c r="A34">
        <v>16</v>
      </c>
      <c r="B34" s="252" t="s">
        <v>1767</v>
      </c>
      <c r="C34" s="253" t="s">
        <v>1764</v>
      </c>
      <c r="D34" s="254" t="str">
        <f>IF($A$2="e","Repayment","Pamata maksājumi")</f>
        <v>Pamata maksājumi</v>
      </c>
      <c r="E34" s="255">
        <f>'[2]Izm-Atam'!E34</f>
        <v>0</v>
      </c>
      <c r="F34" s="255">
        <f>'[2]Izm-Atam'!F34</f>
        <v>0</v>
      </c>
      <c r="G34" s="255">
        <f>'[2]Izm-Atam'!G34</f>
        <v>0</v>
      </c>
      <c r="H34" s="255">
        <f>'[2]Izm-Atam'!H34</f>
        <v>0</v>
      </c>
      <c r="I34" s="255">
        <f>'[2]Izm-Atam'!I34</f>
        <v>0</v>
      </c>
      <c r="J34" s="255">
        <f>'[2]Izm-Atam'!J34</f>
        <v>0.28376699406390127</v>
      </c>
      <c r="K34" s="255">
        <f>'[2]Izm-Atam'!K34</f>
        <v>0.5879856633756513</v>
      </c>
      <c r="L34" s="255">
        <f>'[2]Izm-Atam'!L34</f>
        <v>0.6084373386234999</v>
      </c>
      <c r="M34" s="255">
        <f>'[2]Izm-Atam'!M34</f>
        <v>0.634001932683311</v>
      </c>
      <c r="N34" s="255">
        <f>'[2]Izm-Atam'!N34</f>
        <v>0.6570100673371407</v>
      </c>
      <c r="O34">
        <v>0.6825746613969517</v>
      </c>
      <c r="P34">
        <v>0.7106957148627436</v>
      </c>
      <c r="Q34">
        <v>0.7388167683285357</v>
      </c>
      <c r="R34">
        <v>0.7669378217943278</v>
      </c>
      <c r="S34">
        <v>0.7950588752601198</v>
      </c>
      <c r="T34">
        <v>0.8257363881318929</v>
      </c>
      <c r="U34">
        <v>0.8615268198156282</v>
      </c>
      <c r="V34">
        <v>0.8947607920933823</v>
      </c>
      <c r="W34">
        <v>0.4626901624825777</v>
      </c>
    </row>
    <row r="35" spans="2:23" ht="12.75">
      <c r="B35" s="262" t="s">
        <v>1765</v>
      </c>
      <c r="C35" s="253" t="s">
        <v>1768</v>
      </c>
      <c r="D35" s="254" t="str">
        <f>IF($A$2="e","Interest payment","Procentu maksājumi")</f>
        <v>Procentu maksājumi</v>
      </c>
      <c r="E35" s="258">
        <f>'[2]Izm-Atam'!E35</f>
        <v>0</v>
      </c>
      <c r="F35" s="258">
        <f>'[2]Izm-Atam'!F35</f>
        <v>0.0996781</v>
      </c>
      <c r="G35" s="258">
        <f>'[2]Izm-Atam'!G35</f>
        <v>0</v>
      </c>
      <c r="H35" s="258">
        <f>'[2]Izm-Atam'!H35</f>
        <v>0.12156457000000001</v>
      </c>
      <c r="I35" s="258">
        <f>'[2]Izm-Atam'!I35</f>
        <v>0.22124267000000003</v>
      </c>
      <c r="J35" s="258">
        <f>'[2]Izm-Atam'!J35</f>
        <v>0.43968</v>
      </c>
      <c r="K35" s="258">
        <f>'[2]Izm-Atam'!K35</f>
        <v>0.22534</v>
      </c>
      <c r="L35" s="258">
        <f>'[2]Izm-Atam'!L35</f>
        <v>0.23006979</v>
      </c>
      <c r="M35" s="258">
        <f>'[2]Izm-Atam'!M35</f>
        <v>0.21323634</v>
      </c>
      <c r="N35" s="258">
        <f>'[2]Izm-Atam'!N35</f>
        <v>0.19599174000000003</v>
      </c>
      <c r="O35">
        <v>0.17801214999999998</v>
      </c>
      <c r="P35">
        <v>0.15937573</v>
      </c>
      <c r="Q35">
        <v>0.13981938</v>
      </c>
      <c r="R35">
        <v>0.11963886</v>
      </c>
      <c r="S35">
        <v>0.09868023</v>
      </c>
      <c r="T35">
        <v>0.07696887</v>
      </c>
      <c r="U35">
        <v>0.05428149</v>
      </c>
      <c r="V35">
        <v>0.03074573</v>
      </c>
      <c r="W35">
        <v>0.006218</v>
      </c>
    </row>
    <row r="36" spans="2:14" ht="12.75">
      <c r="B36" s="252"/>
      <c r="C36" s="249"/>
      <c r="D36" s="250" t="str">
        <f>IF($A$2="e","Disbursement","Kredīta izmaksa")</f>
        <v>Kredīta izmaksa</v>
      </c>
      <c r="E36" s="251">
        <f>'[2]Izm-Atam'!E36</f>
        <v>0</v>
      </c>
      <c r="F36" s="251">
        <f>'[2]Izm-Atam'!F36</f>
        <v>0</v>
      </c>
      <c r="G36" s="251">
        <f>'[2]Izm-Atam'!G36</f>
        <v>0</v>
      </c>
      <c r="H36" s="251">
        <f>'[2]Izm-Atam'!H36</f>
        <v>0</v>
      </c>
      <c r="I36" s="251">
        <f>'[2]Izm-Atam'!I36</f>
        <v>0</v>
      </c>
      <c r="J36" s="251">
        <f>'[2]Izm-Atam'!J36</f>
        <v>0</v>
      </c>
      <c r="K36" s="251">
        <f>'[2]Izm-Atam'!K36</f>
        <v>0</v>
      </c>
      <c r="L36" s="251">
        <f>'[2]Izm-Atam'!L36</f>
        <v>0</v>
      </c>
      <c r="M36" s="251">
        <f>'[2]Izm-Atam'!M36</f>
        <v>0</v>
      </c>
      <c r="N36" s="251">
        <f>'[2]Izm-Atam'!N36</f>
        <v>0</v>
      </c>
    </row>
    <row r="37" spans="1:14" ht="12.75">
      <c r="A37">
        <v>29</v>
      </c>
      <c r="B37" s="252" t="s">
        <v>1769</v>
      </c>
      <c r="C37" s="253" t="s">
        <v>635</v>
      </c>
      <c r="D37" s="254" t="str">
        <f>IF($A$2="e","Repayment","Pamata maksājumi")</f>
        <v>Pamata maksājumi</v>
      </c>
      <c r="E37" s="255">
        <f>'[2]Izm-Atam'!E37</f>
        <v>0</v>
      </c>
      <c r="F37" s="255">
        <f>'[2]Izm-Atam'!F37</f>
        <v>0.07380258</v>
      </c>
      <c r="G37" s="255">
        <f>'[2]Izm-Atam'!G37</f>
        <v>0</v>
      </c>
      <c r="H37" s="255">
        <f>'[2]Izm-Atam'!H37</f>
        <v>0</v>
      </c>
      <c r="I37" s="255">
        <f>'[2]Izm-Atam'!I37</f>
        <v>0.07380258</v>
      </c>
      <c r="J37" s="255">
        <f>'[2]Izm-Atam'!J37</f>
        <v>0</v>
      </c>
      <c r="K37" s="255">
        <f>'[2]Izm-Atam'!K37</f>
        <v>0</v>
      </c>
      <c r="L37" s="255">
        <f>'[2]Izm-Atam'!L37</f>
        <v>0</v>
      </c>
      <c r="M37" s="255">
        <f>'[2]Izm-Atam'!M37</f>
        <v>0</v>
      </c>
      <c r="N37" s="255">
        <f>'[2]Izm-Atam'!N37</f>
        <v>0</v>
      </c>
    </row>
    <row r="38" spans="2:14" ht="12.75">
      <c r="B38" s="252" t="s">
        <v>1770</v>
      </c>
      <c r="C38" s="256" t="s">
        <v>1771</v>
      </c>
      <c r="D38" s="257" t="str">
        <f>IF($A$2="e","Interest payment","Procentu maksājumi")</f>
        <v>Procentu maksājumi</v>
      </c>
      <c r="E38" s="258">
        <f>'[2]Izm-Atam'!E38</f>
        <v>0</v>
      </c>
      <c r="F38" s="258">
        <f>'[2]Izm-Atam'!F38</f>
        <v>0.0017821900000000001</v>
      </c>
      <c r="G38" s="258">
        <f>'[2]Izm-Atam'!G38</f>
        <v>0</v>
      </c>
      <c r="H38" s="258">
        <f>'[2]Izm-Atam'!H38</f>
        <v>0</v>
      </c>
      <c r="I38" s="258">
        <f>'[2]Izm-Atam'!I38</f>
        <v>0.0017821900000000001</v>
      </c>
      <c r="J38" s="258">
        <f>'[2]Izm-Atam'!J38</f>
        <v>0</v>
      </c>
      <c r="K38" s="258">
        <f>'[2]Izm-Atam'!K38</f>
        <v>0</v>
      </c>
      <c r="L38" s="258">
        <f>'[2]Izm-Atam'!L38</f>
        <v>0</v>
      </c>
      <c r="M38" s="258">
        <f>'[2]Izm-Atam'!M38</f>
        <v>0</v>
      </c>
      <c r="N38" s="258">
        <f>'[2]Izm-Atam'!N38</f>
        <v>0</v>
      </c>
    </row>
    <row r="39" spans="2:14" ht="12.75">
      <c r="B39" s="259"/>
      <c r="C39" s="253"/>
      <c r="D39" s="254" t="str">
        <f>IF($A$2="e","Disbursement","Kredīta izmaksa")</f>
        <v>Kredīta izmaksa</v>
      </c>
      <c r="E39" s="251">
        <f>'[2]Izm-Atam'!E39</f>
        <v>0</v>
      </c>
      <c r="F39" s="251">
        <f>'[2]Izm-Atam'!F39</f>
        <v>0</v>
      </c>
      <c r="G39" s="251">
        <f>'[2]Izm-Atam'!G39</f>
        <v>0</v>
      </c>
      <c r="H39" s="251">
        <f>'[2]Izm-Atam'!H39</f>
        <v>0</v>
      </c>
      <c r="I39" s="251">
        <f>'[2]Izm-Atam'!I39</f>
        <v>0</v>
      </c>
      <c r="J39" s="251">
        <f>'[2]Izm-Atam'!J39</f>
        <v>0</v>
      </c>
      <c r="K39" s="251">
        <f>'[2]Izm-Atam'!K39</f>
        <v>0</v>
      </c>
      <c r="L39" s="251">
        <f>'[2]Izm-Atam'!L39</f>
        <v>0</v>
      </c>
      <c r="M39" s="251">
        <f>'[2]Izm-Atam'!M39</f>
        <v>0</v>
      </c>
      <c r="N39" s="251">
        <f>'[2]Izm-Atam'!N39</f>
        <v>0</v>
      </c>
    </row>
    <row r="40" spans="1:14" ht="12.75">
      <c r="A40">
        <v>62</v>
      </c>
      <c r="B40" s="252" t="s">
        <v>1772</v>
      </c>
      <c r="C40" s="253" t="s">
        <v>1764</v>
      </c>
      <c r="D40" s="254" t="str">
        <f>IF($A$2="e","Repayment","Pamata maksājumi")</f>
        <v>Pamata maksājumi</v>
      </c>
      <c r="E40" s="255">
        <f>'[2]Izm-Atam'!E40</f>
        <v>0</v>
      </c>
      <c r="F40" s="255">
        <f>'[2]Izm-Atam'!F40</f>
        <v>0.85783414</v>
      </c>
      <c r="G40" s="255">
        <f>'[2]Izm-Atam'!G40</f>
        <v>0</v>
      </c>
      <c r="H40" s="255">
        <f>'[2]Izm-Atam'!H40</f>
        <v>0.85783414</v>
      </c>
      <c r="I40" s="255">
        <f>'[2]Izm-Atam'!I40</f>
        <v>1.71566828</v>
      </c>
      <c r="J40" s="255">
        <f>'[2]Izm-Atam'!J40</f>
        <v>5.15</v>
      </c>
      <c r="K40" s="255">
        <f>'[2]Izm-Atam'!K40</f>
        <v>5.15</v>
      </c>
      <c r="L40" s="255">
        <f>'[2]Izm-Atam'!L40</f>
        <v>5.15</v>
      </c>
      <c r="M40" s="255">
        <f>'[2]Izm-Atam'!M40</f>
        <v>5.15</v>
      </c>
      <c r="N40" s="255">
        <f>'[2]Izm-Atam'!N40</f>
        <v>5.15</v>
      </c>
    </row>
    <row r="41" spans="2:14" ht="12.75">
      <c r="B41" s="262" t="s">
        <v>1765</v>
      </c>
      <c r="C41" s="253" t="s">
        <v>1773</v>
      </c>
      <c r="D41" s="254" t="str">
        <f>IF($A$2="e","Interest payment","Procentu maksājumi")</f>
        <v>Procentu maksājumi</v>
      </c>
      <c r="E41" s="258">
        <f>'[2]Izm-Atam'!E41</f>
        <v>0</v>
      </c>
      <c r="F41" s="258">
        <f>'[2]Izm-Atam'!F41</f>
        <v>1.190638</v>
      </c>
      <c r="G41" s="258">
        <f>'[2]Izm-Atam'!G41</f>
        <v>0</v>
      </c>
      <c r="H41" s="258">
        <f>'[2]Izm-Atam'!H41</f>
        <v>1.207537</v>
      </c>
      <c r="I41" s="258">
        <f>'[2]Izm-Atam'!I41</f>
        <v>2.398175</v>
      </c>
      <c r="J41" s="258">
        <f>'[2]Izm-Atam'!J41</f>
        <v>2.28703</v>
      </c>
      <c r="K41" s="258">
        <f>'[2]Izm-Atam'!K41</f>
        <v>2.01</v>
      </c>
      <c r="L41" s="258">
        <f>'[2]Izm-Atam'!L41</f>
        <v>1.75</v>
      </c>
      <c r="M41" s="258">
        <f>'[2]Izm-Atam'!M41</f>
        <v>1.47</v>
      </c>
      <c r="N41" s="258">
        <f>'[2]Izm-Atam'!N41</f>
        <v>1.19</v>
      </c>
    </row>
    <row r="42" spans="2:14" ht="12.75">
      <c r="B42" s="252"/>
      <c r="C42" s="249"/>
      <c r="D42" s="250" t="str">
        <f>IF($A$2="e","Disbursement","Kredīta izmaksa")</f>
        <v>Kredīta izmaksa</v>
      </c>
      <c r="E42" s="251">
        <f>'[2]Izm-Atam'!E42</f>
        <v>3.8389830508474576</v>
      </c>
      <c r="F42" s="251">
        <f>'[2]Izm-Atam'!F42</f>
        <v>0</v>
      </c>
      <c r="G42" s="251">
        <f>'[2]Izm-Atam'!G42</f>
        <v>0</v>
      </c>
      <c r="H42" s="251">
        <f>'[2]Izm-Atam'!H42</f>
        <v>0</v>
      </c>
      <c r="I42" s="251">
        <f>'[2]Izm-Atam'!I42</f>
        <v>3.8389830508474576</v>
      </c>
      <c r="J42" s="251">
        <f>'[2]Izm-Atam'!J42</f>
        <v>0</v>
      </c>
      <c r="K42" s="251">
        <f>'[2]Izm-Atam'!K42</f>
        <v>0</v>
      </c>
      <c r="L42" s="251">
        <f>'[2]Izm-Atam'!L42</f>
        <v>0</v>
      </c>
      <c r="M42" s="251">
        <f>'[2]Izm-Atam'!M42</f>
        <v>0</v>
      </c>
      <c r="N42" s="251">
        <f>'[2]Izm-Atam'!N42</f>
        <v>0</v>
      </c>
    </row>
    <row r="43" spans="1:16" ht="12.75">
      <c r="A43">
        <v>66</v>
      </c>
      <c r="B43" s="252" t="s">
        <v>1774</v>
      </c>
      <c r="C43" s="253" t="s">
        <v>1764</v>
      </c>
      <c r="D43" s="254" t="str">
        <f>IF($A$2="e","Repayment","Pamata maksājumi")</f>
        <v>Pamata maksājumi</v>
      </c>
      <c r="E43" s="255">
        <f>'[2]Izm-Atam'!E43</f>
        <v>0</v>
      </c>
      <c r="F43" s="255">
        <f>'[2]Izm-Atam'!F43</f>
        <v>0</v>
      </c>
      <c r="G43" s="255">
        <f>'[2]Izm-Atam'!G43</f>
        <v>0</v>
      </c>
      <c r="H43" s="255">
        <f>'[2]Izm-Atam'!H43</f>
        <v>0.01853433</v>
      </c>
      <c r="I43" s="255">
        <f>'[2]Izm-Atam'!I43</f>
        <v>0.01853433</v>
      </c>
      <c r="J43" s="255">
        <f>'[2]Izm-Atam'!J43</f>
        <v>2.121058513255242</v>
      </c>
      <c r="K43" s="255">
        <f>'[2]Izm-Atam'!K43</f>
        <v>2.5905440198381253</v>
      </c>
      <c r="L43" s="255">
        <f>'[2]Izm-Atam'!L43</f>
        <v>2.5905440198381253</v>
      </c>
      <c r="M43" s="255">
        <f>'[2]Izm-Atam'!M43</f>
        <v>2.5905439789347744</v>
      </c>
      <c r="N43" s="255">
        <f>'[2]Izm-Atam'!N43</f>
        <v>2.590546019838125</v>
      </c>
      <c r="O43">
        <v>1.723558614583067</v>
      </c>
      <c r="P43">
        <v>0.4694889535389068</v>
      </c>
    </row>
    <row r="44" spans="2:17" ht="12.75">
      <c r="B44" s="252" t="s">
        <v>1765</v>
      </c>
      <c r="C44" s="256" t="s">
        <v>1775</v>
      </c>
      <c r="D44" s="257" t="str">
        <f>IF($A$2="e","Interest payment","Procentu maksājumi")</f>
        <v>Procentu maksājumi</v>
      </c>
      <c r="E44" s="258">
        <f>'[2]Izm-Atam'!E44</f>
        <v>0</v>
      </c>
      <c r="F44" s="258">
        <f>'[2]Izm-Atam'!F44</f>
        <v>0.18312061999999998</v>
      </c>
      <c r="G44" s="258">
        <f>'[2]Izm-Atam'!G44</f>
        <v>0</v>
      </c>
      <c r="H44" s="258">
        <f>'[2]Izm-Atam'!H44</f>
        <v>0.21850039999999998</v>
      </c>
      <c r="I44" s="258">
        <f>'[2]Izm-Atam'!I44</f>
        <v>0.40162102</v>
      </c>
      <c r="J44" s="258">
        <f>'[2]Izm-Atam'!J44</f>
        <v>0.300106</v>
      </c>
      <c r="K44" s="258">
        <f>'[2]Izm-Atam'!K44</f>
        <v>0.52706</v>
      </c>
      <c r="L44" s="258">
        <f>'[2]Izm-Atam'!L44</f>
        <v>0.45677459</v>
      </c>
      <c r="M44" s="258">
        <f>'[2]Izm-Atam'!M44</f>
        <v>0.36837701</v>
      </c>
      <c r="N44" s="258">
        <f>'[2]Izm-Atam'!N44</f>
        <v>0.28128746000000004</v>
      </c>
      <c r="O44">
        <v>0.19419789999999998</v>
      </c>
      <c r="P44">
        <v>0.08208732</v>
      </c>
      <c r="Q44">
        <v>0.00054211</v>
      </c>
    </row>
    <row r="45" spans="2:14" ht="12.75">
      <c r="B45" s="259"/>
      <c r="C45" s="253"/>
      <c r="D45" s="254" t="str">
        <f>IF($A$2="e","Disbursement","Kredīta izmaksa")</f>
        <v>Kredīta izmaksa</v>
      </c>
      <c r="E45" s="251">
        <f>'[2]Izm-Atam'!E45</f>
        <v>0.35</v>
      </c>
      <c r="F45" s="251">
        <f>'[2]Izm-Atam'!F45</f>
        <v>0.882</v>
      </c>
      <c r="G45" s="251">
        <v>0.58</v>
      </c>
      <c r="H45" s="251">
        <f>'[2]Izm-Atam'!H45</f>
        <v>0.274</v>
      </c>
      <c r="I45" s="251">
        <v>2.09</v>
      </c>
      <c r="J45" s="251">
        <f>'[2]Izm-Atam'!J45</f>
        <v>0</v>
      </c>
      <c r="K45" s="251">
        <f>'[2]Izm-Atam'!K45</f>
        <v>0</v>
      </c>
      <c r="L45" s="251">
        <f>'[2]Izm-Atam'!L45</f>
        <v>0</v>
      </c>
      <c r="M45" s="251">
        <f>'[2]Izm-Atam'!M45</f>
        <v>0.72</v>
      </c>
      <c r="N45" s="251">
        <f>'[2]Izm-Atam'!N45</f>
        <v>0.28</v>
      </c>
    </row>
    <row r="46" spans="1:14" ht="12.75">
      <c r="A46">
        <v>76</v>
      </c>
      <c r="B46" s="252" t="s">
        <v>1776</v>
      </c>
      <c r="C46" s="253" t="s">
        <v>1777</v>
      </c>
      <c r="D46" s="254" t="str">
        <f>IF($A$2="e","Repayment","Pamata maksājumi")</f>
        <v>Pamata maksājumi</v>
      </c>
      <c r="E46" s="255">
        <f>'[2]Izm-Atam'!E46</f>
        <v>0</v>
      </c>
      <c r="F46" s="255">
        <f>'[2]Izm-Atam'!F46</f>
        <v>0</v>
      </c>
      <c r="G46" s="255">
        <f>'[2]Izm-Atam'!G46</f>
        <v>0</v>
      </c>
      <c r="H46" s="255">
        <f>'[2]Izm-Atam'!H46</f>
        <v>0</v>
      </c>
      <c r="I46" s="255">
        <f>'[2]Izm-Atam'!I46</f>
        <v>0</v>
      </c>
      <c r="J46" s="255">
        <f>'[2]Izm-Atam'!J46</f>
        <v>0</v>
      </c>
      <c r="K46" s="255">
        <f>'[2]Izm-Atam'!K46</f>
        <v>0</v>
      </c>
      <c r="L46" s="255">
        <f>'[2]Izm-Atam'!L46</f>
        <v>0</v>
      </c>
      <c r="M46" s="255">
        <f>'[2]Izm-Atam'!M46</f>
        <v>0</v>
      </c>
      <c r="N46" s="255">
        <f>'[2]Izm-Atam'!N46</f>
        <v>0</v>
      </c>
    </row>
    <row r="47" spans="2:14" ht="12.75">
      <c r="B47" s="262" t="s">
        <v>1778</v>
      </c>
      <c r="C47" s="253" t="s">
        <v>1779</v>
      </c>
      <c r="D47" s="254" t="str">
        <f>IF($A$2="e","Interest payment","Procentu maksājumi")</f>
        <v>Procentu maksājumi</v>
      </c>
      <c r="E47" s="258">
        <f>'[2]Izm-Atam'!E47</f>
        <v>0</v>
      </c>
      <c r="F47" s="263">
        <f>'[2]Izm-Atam'!F47</f>
        <v>0.00075414</v>
      </c>
      <c r="G47" s="258">
        <f>'[2]Izm-Atam'!G47</f>
        <v>0</v>
      </c>
      <c r="H47" s="258">
        <f>'[2]Izm-Atam'!H47</f>
        <v>0.01154318</v>
      </c>
      <c r="I47" s="258">
        <f>'[2]Izm-Atam'!I47</f>
        <v>0.01229732</v>
      </c>
      <c r="J47" s="258">
        <f>'[2]Izm-Atam'!J47</f>
        <v>0.03333</v>
      </c>
      <c r="K47" s="258">
        <f>'[2]Izm-Atam'!K47</f>
        <v>0.03</v>
      </c>
      <c r="L47" s="258">
        <f>'[2]Izm-Atam'!L47</f>
        <v>0.03</v>
      </c>
      <c r="M47" s="258">
        <f>'[2]Izm-Atam'!M47</f>
        <v>0.03</v>
      </c>
      <c r="N47" s="258">
        <f>'[2]Izm-Atam'!N47</f>
        <v>0.03</v>
      </c>
    </row>
    <row r="48" spans="2:14" ht="12.75">
      <c r="B48" s="252"/>
      <c r="C48" s="249"/>
      <c r="D48" s="250" t="str">
        <f>IF($A$2="e","Disbursement","Kredīta izmaksa")</f>
        <v>Kredīta izmaksa</v>
      </c>
      <c r="E48" s="251">
        <v>1.48</v>
      </c>
      <c r="F48" s="251">
        <v>0.04</v>
      </c>
      <c r="G48" s="251">
        <v>0.13</v>
      </c>
      <c r="H48" s="251">
        <v>0.13</v>
      </c>
      <c r="I48" s="251">
        <v>1.78</v>
      </c>
      <c r="J48" s="251">
        <f>'[2]Izm-Atam'!J48</f>
        <v>5.15</v>
      </c>
      <c r="K48" s="251">
        <f>'[2]Izm-Atam'!K48</f>
        <v>6.873636363636363</v>
      </c>
      <c r="L48" s="251">
        <f>'[2]Izm-Atam'!L48</f>
        <v>0</v>
      </c>
      <c r="M48" s="251">
        <f>'[2]Izm-Atam'!M48</f>
        <v>0</v>
      </c>
      <c r="N48" s="251">
        <f>'[2]Izm-Atam'!N48</f>
        <v>0</v>
      </c>
    </row>
    <row r="49" spans="1:14" ht="12.75">
      <c r="A49">
        <v>84</v>
      </c>
      <c r="B49" s="252" t="s">
        <v>1780</v>
      </c>
      <c r="C49" s="253" t="s">
        <v>1764</v>
      </c>
      <c r="D49" s="254" t="str">
        <f>IF($A$2="e","Repayment","Pamata maksājumi")</f>
        <v>Pamata maksājumi</v>
      </c>
      <c r="E49" s="255">
        <f>'[2]Izm-Atam'!E49</f>
        <v>0</v>
      </c>
      <c r="F49" s="255">
        <f>'[2]Izm-Atam'!F49</f>
        <v>0</v>
      </c>
      <c r="G49" s="255">
        <f>'[2]Izm-Atam'!G49</f>
        <v>0</v>
      </c>
      <c r="H49" s="255">
        <f>'[2]Izm-Atam'!H49</f>
        <v>0</v>
      </c>
      <c r="I49" s="255">
        <f>'[2]Izm-Atam'!I49</f>
        <v>0</v>
      </c>
      <c r="J49" s="255">
        <f>'[2]Izm-Atam'!J49</f>
        <v>0</v>
      </c>
      <c r="K49" s="255">
        <f>'[2]Izm-Atam'!K49</f>
        <v>0.043885879999999995</v>
      </c>
      <c r="L49" s="255">
        <f>'[2]Izm-Atam'!L49</f>
        <v>3.5803707200000003</v>
      </c>
      <c r="M49" s="255">
        <f>'[2]Izm-Atam'!M49</f>
        <v>3.5803707200000003</v>
      </c>
      <c r="N49" s="255">
        <f>'[2]Izm-Atam'!N49</f>
        <v>3.5803707200000003</v>
      </c>
    </row>
    <row r="50" spans="2:14" ht="12.75">
      <c r="B50" s="252" t="s">
        <v>1765</v>
      </c>
      <c r="C50" s="256" t="s">
        <v>1781</v>
      </c>
      <c r="D50" s="257" t="str">
        <f>IF($A$2="e","Interest payment","Procentu maksājumi")</f>
        <v>Procentu maksājumi</v>
      </c>
      <c r="E50" s="258">
        <f>'[2]Izm-Atam'!E50</f>
        <v>0.05644639</v>
      </c>
      <c r="F50" s="258">
        <f>'[2]Izm-Atam'!F50</f>
        <v>0</v>
      </c>
      <c r="G50" s="258">
        <f>'[2]Izm-Atam'!G50</f>
        <v>0.22065817</v>
      </c>
      <c r="H50" s="258">
        <f>'[2]Izm-Atam'!H50</f>
        <v>0</v>
      </c>
      <c r="I50" s="258">
        <f>'[2]Izm-Atam'!I50</f>
        <v>0.27710456</v>
      </c>
      <c r="J50" s="258">
        <f>'[2]Izm-Atam'!J50</f>
        <v>0.48819388</v>
      </c>
      <c r="K50" s="258">
        <f>'[2]Izm-Atam'!K50</f>
        <v>0.51605807</v>
      </c>
      <c r="L50" s="258">
        <f>'[2]Izm-Atam'!L50</f>
        <v>0.49424935</v>
      </c>
      <c r="M50" s="258">
        <f>'[2]Izm-Atam'!M50</f>
        <v>0.40684792</v>
      </c>
      <c r="N50" s="258">
        <f>'[2]Izm-Atam'!N50</f>
        <v>0.32070912</v>
      </c>
    </row>
    <row r="51" spans="2:14" ht="12.75">
      <c r="B51" s="259"/>
      <c r="C51" s="253"/>
      <c r="D51" s="254" t="str">
        <f>IF($A$2="e","Disbursement","Kredīta izmaksa")</f>
        <v>Kredīta izmaksa</v>
      </c>
      <c r="E51" s="251">
        <f>'[2]Izm-Atam'!E51</f>
        <v>0.28332337480225983</v>
      </c>
      <c r="F51" s="251">
        <f>'[2]Izm-Atam'!F51</f>
        <v>0.4377118644067796</v>
      </c>
      <c r="G51" s="251">
        <f>'[2]Izm-Atam'!G51</f>
        <v>0.4377118644067796</v>
      </c>
      <c r="H51" s="251">
        <f>'[2]Izm-Atam'!H51</f>
        <v>0.4377118644067796</v>
      </c>
      <c r="I51" s="251">
        <f>'[2]Izm-Atam'!I51</f>
        <v>1.5964589680225987</v>
      </c>
      <c r="J51" s="251">
        <f>'[2]Izm-Atam'!J51</f>
        <v>0</v>
      </c>
      <c r="K51" s="251">
        <f>'[2]Izm-Atam'!K51</f>
        <v>0</v>
      </c>
      <c r="L51" s="251">
        <f>'[2]Izm-Atam'!L51</f>
        <v>0</v>
      </c>
      <c r="M51" s="251">
        <f>'[2]Izm-Atam'!M51</f>
        <v>0</v>
      </c>
      <c r="N51" s="251">
        <f>'[2]Izm-Atam'!N51</f>
        <v>0</v>
      </c>
    </row>
    <row r="52" spans="1:16" ht="12.75">
      <c r="A52">
        <v>85</v>
      </c>
      <c r="B52" s="252" t="s">
        <v>1782</v>
      </c>
      <c r="C52" s="253" t="s">
        <v>1764</v>
      </c>
      <c r="D52" s="254" t="str">
        <f>IF($A$2="e","Repayment","Pamata maksājumi")</f>
        <v>Pamata maksājumi</v>
      </c>
      <c r="E52" s="255">
        <f>'[2]Izm-Atam'!E52</f>
        <v>0</v>
      </c>
      <c r="F52" s="255">
        <f>'[2]Izm-Atam'!F52</f>
        <v>0</v>
      </c>
      <c r="G52" s="255">
        <f>'[2]Izm-Atam'!G52</f>
        <v>0</v>
      </c>
      <c r="H52" s="255">
        <f>'[2]Izm-Atam'!H52</f>
        <v>0</v>
      </c>
      <c r="I52" s="255">
        <f>'[2]Izm-Atam'!I52</f>
        <v>0</v>
      </c>
      <c r="J52" s="255">
        <f>'[2]Izm-Atam'!J52</f>
        <v>0</v>
      </c>
      <c r="K52" s="255">
        <f>'[2]Izm-Atam'!K52</f>
        <v>0</v>
      </c>
      <c r="L52" s="255">
        <f>'[2]Izm-Atam'!L52</f>
        <v>0</v>
      </c>
      <c r="M52" s="255">
        <f>'[2]Izm-Atam'!M52</f>
        <v>0.462046</v>
      </c>
      <c r="N52" s="255">
        <f>'[2]Izm-Atam'!N52</f>
        <v>0.462046</v>
      </c>
      <c r="O52">
        <v>0.03201042012853878</v>
      </c>
      <c r="P52">
        <v>0.03201042012853878</v>
      </c>
    </row>
    <row r="53" spans="2:22" ht="12.75">
      <c r="B53" s="262" t="s">
        <v>1765</v>
      </c>
      <c r="C53" s="253" t="s">
        <v>1783</v>
      </c>
      <c r="D53" s="254" t="str">
        <f>IF($A$2="e","Interest payment","Procentu maksājumi")</f>
        <v>Procentu maksājumi</v>
      </c>
      <c r="E53" s="258">
        <f>'[2]Izm-Atam'!E53</f>
        <v>0</v>
      </c>
      <c r="F53" s="258">
        <f>'[2]Izm-Atam'!F53</f>
        <v>0.16</v>
      </c>
      <c r="G53" s="258">
        <f>'[2]Izm-Atam'!G53</f>
        <v>0</v>
      </c>
      <c r="H53" s="258">
        <f>'[2]Izm-Atam'!H53</f>
        <v>0.21007836</v>
      </c>
      <c r="I53" s="258">
        <f>'[2]Izm-Atam'!I53</f>
        <v>0.37007836</v>
      </c>
      <c r="J53" s="258">
        <f>'[2]Izm-Atam'!J53</f>
        <v>0.172862</v>
      </c>
      <c r="K53" s="258">
        <f>'[2]Izm-Atam'!K53</f>
        <v>0.229937</v>
      </c>
      <c r="L53" s="258">
        <f>'[2]Izm-Atam'!L53</f>
        <v>0.23196908</v>
      </c>
      <c r="M53" s="258">
        <f>'[2]Izm-Atam'!M53</f>
        <v>0.2249625</v>
      </c>
      <c r="N53" s="258">
        <f>'[2]Izm-Atam'!N53</f>
        <v>0.19967885000000002</v>
      </c>
      <c r="O53">
        <v>0.14265684</v>
      </c>
      <c r="P53">
        <v>0.14304768</v>
      </c>
      <c r="Q53">
        <v>0.12477586</v>
      </c>
      <c r="R53">
        <v>0.10099973</v>
      </c>
      <c r="S53">
        <v>0.0772236</v>
      </c>
      <c r="T53">
        <v>0.053610309999999994</v>
      </c>
      <c r="U53">
        <v>0.02967132</v>
      </c>
      <c r="V53">
        <v>0.00589517</v>
      </c>
    </row>
    <row r="54" spans="2:14" ht="12.75">
      <c r="B54" s="252"/>
      <c r="C54" s="249"/>
      <c r="D54" s="250" t="str">
        <f>IF($A$2="e","Disbursement","Kredīta izmaksa")</f>
        <v>Kredīta izmaksa</v>
      </c>
      <c r="E54" s="251">
        <v>0.57</v>
      </c>
      <c r="F54" s="251">
        <v>2.76</v>
      </c>
      <c r="G54" s="251">
        <v>3.47</v>
      </c>
      <c r="H54" s="251">
        <v>3.47</v>
      </c>
      <c r="I54" s="251">
        <v>10.27</v>
      </c>
      <c r="J54" s="251">
        <f>'[2]Izm-Atam'!J54</f>
        <v>0.5541154860238364</v>
      </c>
      <c r="K54" s="251">
        <f>'[2]Izm-Atam'!K54</f>
        <v>0</v>
      </c>
      <c r="L54" s="251">
        <f>'[2]Izm-Atam'!L54</f>
        <v>0</v>
      </c>
      <c r="M54" s="251">
        <f>'[2]Izm-Atam'!M54</f>
        <v>0</v>
      </c>
      <c r="N54" s="251">
        <f>'[2]Izm-Atam'!N54</f>
        <v>0</v>
      </c>
    </row>
    <row r="55" spans="1:22" ht="12.75">
      <c r="A55" t="s">
        <v>1784</v>
      </c>
      <c r="B55" s="252" t="s">
        <v>1785</v>
      </c>
      <c r="C55" s="253" t="s">
        <v>1764</v>
      </c>
      <c r="D55" s="254" t="str">
        <f>IF($A$2="e","Repayment","Pamata maksājumi")</f>
        <v>Pamata maksājumi</v>
      </c>
      <c r="E55" s="255">
        <f>'[2]Izm-Atam'!E55</f>
        <v>0</v>
      </c>
      <c r="F55" s="255">
        <f>'[2]Izm-Atam'!F55</f>
        <v>0</v>
      </c>
      <c r="G55" s="255">
        <f>'[2]Izm-Atam'!G55</f>
        <v>0</v>
      </c>
      <c r="H55" s="255">
        <f>'[2]Izm-Atam'!H55</f>
        <v>0</v>
      </c>
      <c r="I55" s="255">
        <f>'[2]Izm-Atam'!I55</f>
        <v>0</v>
      </c>
      <c r="J55" s="255">
        <f>'[2]Izm-Atam'!J55</f>
        <v>2.2632</v>
      </c>
      <c r="K55" s="255">
        <f>'[2]Izm-Atam'!K55</f>
        <v>2.2632</v>
      </c>
      <c r="L55" s="255">
        <f>'[2]Izm-Atam'!L55</f>
        <v>2.2632</v>
      </c>
      <c r="M55" s="255">
        <f>'[2]Izm-Atam'!M55</f>
        <v>2.2632</v>
      </c>
      <c r="N55" s="255">
        <f>'[2]Izm-Atam'!N55</f>
        <v>2.2632</v>
      </c>
      <c r="O55">
        <v>2.2632</v>
      </c>
      <c r="P55">
        <v>2.2632</v>
      </c>
      <c r="Q55">
        <v>2.2632</v>
      </c>
      <c r="R55">
        <v>2.2632</v>
      </c>
      <c r="S55">
        <v>2.2632</v>
      </c>
      <c r="T55">
        <v>2.2632</v>
      </c>
      <c r="U55">
        <v>2.2632</v>
      </c>
      <c r="V55">
        <v>1.1316</v>
      </c>
    </row>
    <row r="56" spans="2:22" ht="12.75">
      <c r="B56" s="252" t="s">
        <v>1765</v>
      </c>
      <c r="C56" s="256" t="s">
        <v>1786</v>
      </c>
      <c r="D56" s="257" t="str">
        <f>IF($A$2="e","Interest payment","Procentu maksājumi")</f>
        <v>Procentu maksājumi</v>
      </c>
      <c r="E56" s="258">
        <f>'[2]Izm-Atam'!E56</f>
        <v>0</v>
      </c>
      <c r="F56" s="258">
        <f>'[2]Izm-Atam'!F56</f>
        <v>0.21822810999999998</v>
      </c>
      <c r="G56" s="258">
        <f>'[2]Izm-Atam'!G56</f>
        <v>0</v>
      </c>
      <c r="H56" s="258">
        <f>'[2]Izm-Atam'!H56</f>
        <v>0.21007836</v>
      </c>
      <c r="I56" s="258">
        <f>'[2]Izm-Atam'!I56</f>
        <v>0.42830647</v>
      </c>
      <c r="J56" s="258">
        <f>'[2]Izm-Atam'!J56</f>
        <v>0.623989</v>
      </c>
      <c r="K56" s="258">
        <f>'[2]Izm-Atam'!K56</f>
        <v>0.743173</v>
      </c>
      <c r="L56" s="258">
        <f>'[2]Izm-Atam'!L56</f>
        <v>1.0170820742933335</v>
      </c>
      <c r="M56" s="258">
        <f>'[2]Izm-Atam'!M56</f>
        <v>0.9202171142933334</v>
      </c>
      <c r="N56" s="258">
        <f>'[2]Izm-Atam'!N56</f>
        <v>0.8233521542933335</v>
      </c>
      <c r="O56">
        <v>0.7264871942933334</v>
      </c>
      <c r="P56">
        <v>0.6296222342933334</v>
      </c>
      <c r="Q56">
        <v>0.5327572742933335</v>
      </c>
      <c r="R56">
        <v>0.43589231429333347</v>
      </c>
      <c r="S56">
        <v>0.3390273542933334</v>
      </c>
      <c r="T56">
        <v>0.24216239429333336</v>
      </c>
      <c r="U56">
        <v>0.1452974342933333</v>
      </c>
      <c r="V56">
        <v>0.048432474293333264</v>
      </c>
    </row>
    <row r="57" spans="2:14" ht="12.75">
      <c r="B57" s="259"/>
      <c r="C57" s="249"/>
      <c r="D57" s="250" t="str">
        <f>IF($A$2="e","Disbursement","Kredīta izmaksa")</f>
        <v>Kredīta izmaksa</v>
      </c>
      <c r="E57" s="251">
        <f>'[2]Izm-Atam'!E57</f>
        <v>0</v>
      </c>
      <c r="F57" s="251">
        <f>'[2]Izm-Atam'!F57</f>
        <v>0</v>
      </c>
      <c r="G57" s="251">
        <f>'[2]Izm-Atam'!G57</f>
        <v>0</v>
      </c>
      <c r="H57" s="251">
        <f>'[2]Izm-Atam'!H57</f>
        <v>0</v>
      </c>
      <c r="I57" s="251">
        <f>'[2]Izm-Atam'!I57</f>
        <v>0</v>
      </c>
      <c r="J57" s="251">
        <f>'[2]Izm-Atam'!J57</f>
        <v>0</v>
      </c>
      <c r="K57" s="251">
        <f>'[2]Izm-Atam'!K57</f>
        <v>0</v>
      </c>
      <c r="L57" s="251">
        <f>'[2]Izm-Atam'!L57</f>
        <v>0</v>
      </c>
      <c r="M57" s="251">
        <f>'[2]Izm-Atam'!M57</f>
        <v>0</v>
      </c>
      <c r="N57" s="251">
        <f>'[2]Izm-Atam'!N57</f>
        <v>0</v>
      </c>
    </row>
    <row r="58" spans="1:14" ht="12.75">
      <c r="A58" t="s">
        <v>1787</v>
      </c>
      <c r="B58" s="252" t="s">
        <v>716</v>
      </c>
      <c r="C58" s="253" t="s">
        <v>1788</v>
      </c>
      <c r="D58" s="254" t="str">
        <f>IF($A$2="e","Repayment","Pamata maksājumi")</f>
        <v>Pamata maksājumi</v>
      </c>
      <c r="E58" s="255">
        <f>'[2]Izm-Atam'!E58</f>
        <v>0</v>
      </c>
      <c r="F58" s="255">
        <f>'[2]Izm-Atam'!F58</f>
        <v>0</v>
      </c>
      <c r="G58" s="255">
        <f>'[2]Izm-Atam'!G58</f>
        <v>0</v>
      </c>
      <c r="H58" s="255">
        <f>'[2]Izm-Atam'!H58</f>
        <v>0</v>
      </c>
      <c r="I58" s="255">
        <f>'[2]Izm-Atam'!I58</f>
        <v>0</v>
      </c>
      <c r="J58" s="255">
        <f>'[2]Izm-Atam'!J58</f>
        <v>0</v>
      </c>
      <c r="K58" s="255">
        <f>'[2]Izm-Atam'!K58</f>
        <v>0</v>
      </c>
      <c r="L58" s="255">
        <f>'[2]Izm-Atam'!L58</f>
        <v>221.5</v>
      </c>
      <c r="M58" s="255">
        <f>'[2]Izm-Atam'!M58</f>
        <v>0</v>
      </c>
      <c r="N58" s="255">
        <f>'[2]Izm-Atam'!N58</f>
        <v>0</v>
      </c>
    </row>
    <row r="59" spans="2:14" ht="12.75">
      <c r="B59" s="262"/>
      <c r="C59" s="256"/>
      <c r="D59" s="257" t="str">
        <f>IF($A$2="e","Interest payment","Procentu maksājumi")</f>
        <v>Procentu maksājumi</v>
      </c>
      <c r="E59" s="258">
        <f>'[2]Izm-Atam'!E59</f>
        <v>0</v>
      </c>
      <c r="F59" s="258">
        <f>'[2]Izm-Atam'!F59</f>
        <v>14.024077</v>
      </c>
      <c r="G59" s="258">
        <f>'[2]Izm-Atam'!G59</f>
        <v>0</v>
      </c>
      <c r="H59" s="258">
        <f>'[2]Izm-Atam'!H59</f>
        <v>0</v>
      </c>
      <c r="I59" s="258">
        <f>'[2]Izm-Atam'!I59</f>
        <v>14.024077</v>
      </c>
      <c r="J59" s="258">
        <f>'[2]Izm-Atam'!J59</f>
        <v>14.024077</v>
      </c>
      <c r="K59" s="258">
        <f>'[2]Izm-Atam'!K59</f>
        <v>14.024077</v>
      </c>
      <c r="L59" s="258">
        <f>'[2]Izm-Atam'!L59</f>
        <v>17.56</v>
      </c>
      <c r="M59" s="258">
        <f>'[2]Izm-Atam'!M59</f>
        <v>0</v>
      </c>
      <c r="N59" s="258">
        <f>'[2]Izm-Atam'!N59</f>
        <v>0</v>
      </c>
    </row>
    <row r="60" spans="2:14" ht="12.75" hidden="1" outlineLevel="1">
      <c r="B60" s="252"/>
      <c r="C60" s="249"/>
      <c r="D60" s="250" t="str">
        <f>IF($A$2="e","Disbursement","Kredīta izmaksa")</f>
        <v>Kredīta izmaksa</v>
      </c>
      <c r="E60" s="251">
        <f>'[2]Izm-Atam'!E60</f>
        <v>0</v>
      </c>
      <c r="F60" s="251">
        <f>'[2]Izm-Atam'!F60</f>
        <v>0</v>
      </c>
      <c r="G60" s="258">
        <f>'[2]Izm-Atam'!G60</f>
        <v>0</v>
      </c>
      <c r="H60" s="258">
        <f>'[2]Izm-Atam'!H60</f>
        <v>0</v>
      </c>
      <c r="I60" s="258">
        <f>'[2]Izm-Atam'!I60</f>
        <v>0</v>
      </c>
      <c r="J60" s="251">
        <f>'[2]Izm-Atam'!J60</f>
        <v>0</v>
      </c>
      <c r="K60" s="251">
        <f>'[2]Izm-Atam'!K60</f>
        <v>0</v>
      </c>
      <c r="L60" s="251">
        <f>'[2]Izm-Atam'!L60</f>
        <v>0</v>
      </c>
      <c r="M60" s="251">
        <f>'[2]Izm-Atam'!M60</f>
        <v>0</v>
      </c>
      <c r="N60" s="251">
        <f>'[2]Izm-Atam'!N60</f>
        <v>0</v>
      </c>
    </row>
    <row r="61" spans="2:14" ht="12.75" hidden="1" outlineLevel="1">
      <c r="B61" s="252" t="s">
        <v>716</v>
      </c>
      <c r="C61" s="264" t="s">
        <v>1788</v>
      </c>
      <c r="D61" s="254" t="str">
        <f>IF($A$2="e","Repayment","Pamata maksājumi")</f>
        <v>Pamata maksājumi</v>
      </c>
      <c r="E61" s="255">
        <f>'[2]Izm-Atam'!E61</f>
        <v>0</v>
      </c>
      <c r="F61" s="255">
        <f>'[2]Izm-Atam'!F61</f>
        <v>0</v>
      </c>
      <c r="G61" s="258">
        <f>'[2]Izm-Atam'!G61</f>
        <v>0</v>
      </c>
      <c r="H61" s="258">
        <f>'[2]Izm-Atam'!H61</f>
        <v>0</v>
      </c>
      <c r="I61" s="258">
        <f>'[2]Izm-Atam'!I61</f>
        <v>0</v>
      </c>
      <c r="J61" s="255">
        <f>'[2]Izm-Atam'!J61</f>
        <v>0</v>
      </c>
      <c r="K61" s="255">
        <f>'[2]Izm-Atam'!K61</f>
        <v>0</v>
      </c>
      <c r="L61" s="255">
        <f>'[2]Izm-Atam'!L61</f>
        <v>0</v>
      </c>
      <c r="M61" s="255">
        <f>'[2]Izm-Atam'!M61</f>
        <v>0</v>
      </c>
      <c r="N61" s="255">
        <f>'[2]Izm-Atam'!N61</f>
        <v>0</v>
      </c>
    </row>
    <row r="62" spans="2:15" ht="12.75" hidden="1" outlineLevel="1">
      <c r="B62" s="252"/>
      <c r="C62" s="256"/>
      <c r="D62" s="257" t="str">
        <f>IF($A$2="e","Interest payment","Procentu maksājumi")</f>
        <v>Procentu maksājumi</v>
      </c>
      <c r="E62" s="258">
        <f>'[2]Izm-Atam'!E62</f>
        <v>0</v>
      </c>
      <c r="F62" s="258">
        <f>'[2]Izm-Atam'!F62</f>
        <v>0</v>
      </c>
      <c r="G62" s="258">
        <f>'[2]Izm-Atam'!G62</f>
        <v>0</v>
      </c>
      <c r="H62" s="258">
        <f>'[2]Izm-Atam'!H62</f>
        <v>0</v>
      </c>
      <c r="I62" s="258">
        <f>'[2]Izm-Atam'!I62</f>
        <v>0</v>
      </c>
      <c r="J62" s="258">
        <f>'[2]Izm-Atam'!J62</f>
        <v>0</v>
      </c>
      <c r="K62" s="258">
        <f>'[2]Izm-Atam'!K62</f>
        <v>0</v>
      </c>
      <c r="L62" s="258">
        <f>'[2]Izm-Atam'!L62</f>
        <v>0</v>
      </c>
      <c r="M62" s="258">
        <f>'[2]Izm-Atam'!M62</f>
        <v>0</v>
      </c>
      <c r="N62" s="258">
        <f>'[2]Izm-Atam'!N62</f>
        <v>0</v>
      </c>
      <c r="O62">
        <v>14.02</v>
      </c>
    </row>
    <row r="63" spans="2:14" ht="12.75" collapsed="1">
      <c r="B63" s="252"/>
      <c r="C63" s="253"/>
      <c r="D63" s="254" t="str">
        <f>IF($A$2="e","Disbursement","Kredīta izmaksa")</f>
        <v>Kredīta izmaksa</v>
      </c>
      <c r="E63" s="251">
        <f>'[2]Izm-Atam'!E63</f>
        <v>0</v>
      </c>
      <c r="F63" s="251">
        <f>'[2]Izm-Atam'!F63</f>
        <v>0</v>
      </c>
      <c r="G63" s="251">
        <f>'[2]Izm-Atam'!G63</f>
        <v>0.495</v>
      </c>
      <c r="H63" s="251">
        <f>'[2]Izm-Atam'!H63</f>
        <v>0.505</v>
      </c>
      <c r="I63" s="251">
        <f>'[2]Izm-Atam'!I63</f>
        <v>1</v>
      </c>
      <c r="J63" s="251">
        <f>'[2]Izm-Atam'!J63</f>
        <v>0</v>
      </c>
      <c r="K63" s="251">
        <f>'[2]Izm-Atam'!K63</f>
        <v>0</v>
      </c>
      <c r="L63" s="251">
        <f>'[2]Izm-Atam'!L63</f>
        <v>0</v>
      </c>
      <c r="M63" s="251">
        <f>'[2]Izm-Atam'!M63</f>
        <v>0</v>
      </c>
      <c r="N63" s="251">
        <f>'[2]Izm-Atam'!N63</f>
        <v>0</v>
      </c>
    </row>
    <row r="64" spans="1:27" ht="12.75">
      <c r="A64">
        <v>120</v>
      </c>
      <c r="B64" s="252" t="s">
        <v>1789</v>
      </c>
      <c r="C64" s="253" t="s">
        <v>1790</v>
      </c>
      <c r="D64" s="254" t="str">
        <f>IF($A$2="e","Repayment","Pamata maksājumi")</f>
        <v>Pamata maksājumi</v>
      </c>
      <c r="E64" s="255">
        <f>'[2]Izm-Atam'!E64</f>
        <v>0</v>
      </c>
      <c r="F64" s="255">
        <f>'[2]Izm-Atam'!F64</f>
        <v>0</v>
      </c>
      <c r="G64" s="255">
        <f>'[2]Izm-Atam'!G64</f>
        <v>0</v>
      </c>
      <c r="H64" s="255">
        <f>'[2]Izm-Atam'!H64</f>
        <v>0</v>
      </c>
      <c r="I64" s="255">
        <f>'[2]Izm-Atam'!I64</f>
        <v>0</v>
      </c>
      <c r="J64" s="255">
        <f>'[2]Izm-Atam'!J64</f>
        <v>0</v>
      </c>
      <c r="K64" s="255">
        <f>'[2]Izm-Atam'!K64</f>
        <v>0</v>
      </c>
      <c r="L64" s="255">
        <f>'[2]Izm-Atam'!L64</f>
        <v>0</v>
      </c>
      <c r="M64" s="255">
        <f>'[2]Izm-Atam'!M64</f>
        <v>0.714285714</v>
      </c>
      <c r="N64" s="255">
        <f>'[2]Izm-Atam'!N64</f>
        <v>1.428571428</v>
      </c>
      <c r="O64">
        <f aca="true" t="shared" si="2" ref="O64:Z64">0.714285714*2</f>
        <v>1.428571428</v>
      </c>
      <c r="P64">
        <f t="shared" si="2"/>
        <v>1.428571428</v>
      </c>
      <c r="Q64">
        <f t="shared" si="2"/>
        <v>1.428571428</v>
      </c>
      <c r="R64">
        <f t="shared" si="2"/>
        <v>1.428571428</v>
      </c>
      <c r="S64">
        <f t="shared" si="2"/>
        <v>1.428571428</v>
      </c>
      <c r="T64">
        <f t="shared" si="2"/>
        <v>1.428571428</v>
      </c>
      <c r="U64">
        <f t="shared" si="2"/>
        <v>1.428571428</v>
      </c>
      <c r="V64">
        <f t="shared" si="2"/>
        <v>1.428571428</v>
      </c>
      <c r="W64">
        <f t="shared" si="2"/>
        <v>1.428571428</v>
      </c>
      <c r="X64">
        <f t="shared" si="2"/>
        <v>1.428571428</v>
      </c>
      <c r="Y64">
        <f t="shared" si="2"/>
        <v>1.428571428</v>
      </c>
      <c r="Z64">
        <f t="shared" si="2"/>
        <v>1.428571428</v>
      </c>
      <c r="AA64">
        <f>0.714285714</f>
        <v>0.714285714</v>
      </c>
    </row>
    <row r="65" spans="2:14" ht="12.75">
      <c r="B65" s="262" t="s">
        <v>1791</v>
      </c>
      <c r="C65" s="256" t="s">
        <v>1792</v>
      </c>
      <c r="D65" s="257" t="str">
        <f>IF($A$2="e","Interest payment","Procentu maksājumi")</f>
        <v>Procentu maksājumi</v>
      </c>
      <c r="E65" s="258">
        <f>'[2]Izm-Atam'!E65</f>
        <v>0</v>
      </c>
      <c r="F65" s="258">
        <f>'[2]Izm-Atam'!F65</f>
        <v>0</v>
      </c>
      <c r="G65" s="258">
        <f>'[2]Izm-Atam'!G65</f>
        <v>0.01</v>
      </c>
      <c r="H65" s="258">
        <f>'[2]Izm-Atam'!H65</f>
        <v>0</v>
      </c>
      <c r="I65" s="258">
        <f>'[2]Izm-Atam'!I65</f>
        <v>0.01</v>
      </c>
      <c r="J65" s="258">
        <f>'[2]Izm-Atam'!J65</f>
        <v>0.23105</v>
      </c>
      <c r="K65" s="258">
        <f>'[2]Izm-Atam'!K65</f>
        <v>0.49844999999999995</v>
      </c>
      <c r="L65" s="258">
        <f>'[2]Izm-Atam'!L65</f>
        <v>0.79905</v>
      </c>
      <c r="M65" s="258">
        <f>'[2]Izm-Atam'!M65</f>
        <v>0.9099999996359999</v>
      </c>
      <c r="N65" s="258">
        <f>'[2]Izm-Atam'!N65</f>
        <v>0</v>
      </c>
    </row>
    <row r="66" spans="2:30" ht="12.75">
      <c r="B66" s="259"/>
      <c r="C66" s="249"/>
      <c r="D66" s="250" t="str">
        <f>IF($A$2="e","Disbursement","Kredīta izmaksa")</f>
        <v>Kredīta izmaksa</v>
      </c>
      <c r="E66" s="251">
        <v>3.43</v>
      </c>
      <c r="F66" s="251">
        <v>9.68</v>
      </c>
      <c r="G66" s="251">
        <v>6.97</v>
      </c>
      <c r="H66" s="251">
        <v>5.69</v>
      </c>
      <c r="I66" s="251">
        <v>25.77</v>
      </c>
      <c r="J66" s="251">
        <f>'[2]Izm-Atam'!J66</f>
        <v>5.704115486023837</v>
      </c>
      <c r="K66" s="251">
        <f>'[2]Izm-Atam'!K66</f>
        <v>6.873636363636363</v>
      </c>
      <c r="L66" s="251">
        <f>'[2]Izm-Atam'!L66</f>
        <v>0</v>
      </c>
      <c r="M66" s="251">
        <f>'[2]Izm-Atam'!M66</f>
        <v>0.72</v>
      </c>
      <c r="N66" s="251">
        <f>'[2]Izm-Atam'!N66</f>
        <v>0.28</v>
      </c>
      <c r="O66">
        <f aca="true" t="shared" si="3" ref="O66:AD68">O63+O57+O54+O51+O48+O45+O42+O39+O36+O33+O30+O27</f>
        <v>0</v>
      </c>
      <c r="P66">
        <f t="shared" si="3"/>
        <v>0</v>
      </c>
      <c r="Q66">
        <f t="shared" si="3"/>
        <v>0</v>
      </c>
      <c r="R66">
        <f t="shared" si="3"/>
        <v>0</v>
      </c>
      <c r="S66">
        <f t="shared" si="3"/>
        <v>0</v>
      </c>
      <c r="T66">
        <f t="shared" si="3"/>
        <v>0</v>
      </c>
      <c r="U66">
        <f t="shared" si="3"/>
        <v>0</v>
      </c>
      <c r="V66">
        <f t="shared" si="3"/>
        <v>0</v>
      </c>
      <c r="W66">
        <f t="shared" si="3"/>
        <v>0</v>
      </c>
      <c r="X66">
        <f t="shared" si="3"/>
        <v>0</v>
      </c>
      <c r="Y66">
        <f t="shared" si="3"/>
        <v>0</v>
      </c>
      <c r="Z66">
        <f t="shared" si="3"/>
        <v>0</v>
      </c>
      <c r="AA66">
        <f t="shared" si="3"/>
        <v>0</v>
      </c>
      <c r="AB66">
        <f t="shared" si="3"/>
        <v>0</v>
      </c>
      <c r="AC66">
        <f t="shared" si="3"/>
        <v>0</v>
      </c>
      <c r="AD66">
        <f t="shared" si="3"/>
        <v>0</v>
      </c>
    </row>
    <row r="67" spans="2:30" ht="12.75">
      <c r="B67" s="260" t="s">
        <v>1793</v>
      </c>
      <c r="C67" s="261" t="s">
        <v>1794</v>
      </c>
      <c r="D67" s="254" t="str">
        <f>IF($A$2="e","Repayment","Pamata maksājumi")</f>
        <v>Pamata maksājumi</v>
      </c>
      <c r="E67" s="255">
        <f>'[2]Izm-Atam'!E67</f>
        <v>0.18150861999999998</v>
      </c>
      <c r="F67" s="255">
        <f>'[2]Izm-Atam'!F67</f>
        <v>1.14305455</v>
      </c>
      <c r="G67" s="255">
        <f>'[2]Izm-Atam'!G67</f>
        <v>0.18150861999999998</v>
      </c>
      <c r="H67" s="255">
        <f>'[2]Izm-Atam'!H67</f>
        <v>1.0877863</v>
      </c>
      <c r="I67" s="255">
        <f>'[2]Izm-Atam'!I67</f>
        <v>2.59385809</v>
      </c>
      <c r="J67" s="255">
        <f>'[2]Izm-Atam'!J67</f>
        <v>10.598025507319143</v>
      </c>
      <c r="K67" s="255">
        <f>'[2]Izm-Atam'!K67</f>
        <v>11.415615563213775</v>
      </c>
      <c r="L67" s="255">
        <f>'[2]Izm-Atam'!L67</f>
        <v>236.39255207846165</v>
      </c>
      <c r="M67" s="255">
        <f>'[2]Izm-Atam'!M67</f>
        <v>15.754448345618085</v>
      </c>
      <c r="N67" s="255">
        <f>'[2]Izm-Atam'!N67</f>
        <v>16.491744235175265</v>
      </c>
      <c r="O67">
        <f t="shared" si="3"/>
        <v>11.276919945590997</v>
      </c>
      <c r="P67">
        <f t="shared" si="3"/>
        <v>10.05097133801263</v>
      </c>
      <c r="Q67">
        <f t="shared" si="3"/>
        <v>9.577593017810976</v>
      </c>
      <c r="R67">
        <f t="shared" si="3"/>
        <v>7.890046492806246</v>
      </c>
      <c r="S67">
        <f t="shared" si="3"/>
        <v>4.48683030326012</v>
      </c>
      <c r="T67">
        <f t="shared" si="3"/>
        <v>4.517507816131893</v>
      </c>
      <c r="U67">
        <f t="shared" si="3"/>
        <v>4.553298247815628</v>
      </c>
      <c r="V67">
        <f t="shared" si="3"/>
        <v>3.454932220093382</v>
      </c>
      <c r="W67">
        <f t="shared" si="3"/>
        <v>1.8912615904825776</v>
      </c>
      <c r="X67">
        <f t="shared" si="3"/>
        <v>1.428571428</v>
      </c>
      <c r="Y67">
        <f t="shared" si="3"/>
        <v>1.428571428</v>
      </c>
      <c r="Z67">
        <f t="shared" si="3"/>
        <v>1.428571428</v>
      </c>
      <c r="AA67">
        <f t="shared" si="3"/>
        <v>0.714285714</v>
      </c>
      <c r="AB67">
        <f t="shared" si="3"/>
        <v>0</v>
      </c>
      <c r="AC67">
        <f t="shared" si="3"/>
        <v>0</v>
      </c>
      <c r="AD67">
        <f t="shared" si="3"/>
        <v>0</v>
      </c>
    </row>
    <row r="68" spans="2:30" ht="12.75">
      <c r="B68" s="262"/>
      <c r="C68" s="256"/>
      <c r="D68" s="257" t="str">
        <f>IF($A$2="e","Interest payment","Procentu maksājumi")</f>
        <v>Procentu maksājumi</v>
      </c>
      <c r="E68" s="258">
        <v>0.15</v>
      </c>
      <c r="F68" s="258">
        <v>15.94</v>
      </c>
      <c r="G68" s="258">
        <f>'[2]Izm-Atam'!G68</f>
        <v>0.30194918</v>
      </c>
      <c r="H68" s="258">
        <f>'[2]Izm-Atam'!H68</f>
        <v>2.00907056</v>
      </c>
      <c r="I68" s="258">
        <v>18.41</v>
      </c>
      <c r="J68" s="258">
        <f>'[2]Izm-Atam'!J68</f>
        <v>18.77971088</v>
      </c>
      <c r="K68" s="258">
        <f>'[2]Izm-Atam'!K68</f>
        <v>18.95409507</v>
      </c>
      <c r="L68" s="258">
        <f>'[2]Izm-Atam'!L68</f>
        <v>22.689194884293336</v>
      </c>
      <c r="M68" s="258">
        <f>'[2]Izm-Atam'!M68</f>
        <v>4.633640883929333</v>
      </c>
      <c r="N68" s="258">
        <f>'[2]Izm-Atam'!N68</f>
        <v>3.121019324293334</v>
      </c>
      <c r="O68">
        <f t="shared" si="3"/>
        <v>2.1609610042933336</v>
      </c>
      <c r="P68">
        <f t="shared" si="3"/>
        <v>1.6622132442933335</v>
      </c>
      <c r="Q68">
        <f t="shared" si="3"/>
        <v>1.1705322142933337</v>
      </c>
      <c r="R68">
        <f t="shared" si="3"/>
        <v>0.7821995742933335</v>
      </c>
      <c r="S68">
        <f t="shared" si="3"/>
        <v>0.5149311842933334</v>
      </c>
      <c r="T68">
        <f t="shared" si="3"/>
        <v>0.3727415742933333</v>
      </c>
      <c r="U68">
        <f t="shared" si="3"/>
        <v>0.2292502442933333</v>
      </c>
      <c r="V68">
        <f t="shared" si="3"/>
        <v>0.08507337429333325</v>
      </c>
      <c r="W68">
        <f t="shared" si="3"/>
        <v>0.006218</v>
      </c>
      <c r="X68">
        <f t="shared" si="3"/>
        <v>0</v>
      </c>
      <c r="Y68">
        <f t="shared" si="3"/>
        <v>0</v>
      </c>
      <c r="Z68">
        <f t="shared" si="3"/>
        <v>0</v>
      </c>
      <c r="AA68">
        <f t="shared" si="3"/>
        <v>0</v>
      </c>
      <c r="AB68">
        <f t="shared" si="3"/>
        <v>0</v>
      </c>
      <c r="AC68">
        <f t="shared" si="3"/>
        <v>0</v>
      </c>
      <c r="AD68">
        <f t="shared" si="3"/>
        <v>0</v>
      </c>
    </row>
    <row r="69" spans="2:14" ht="12.75" hidden="1" outlineLevel="1">
      <c r="B69" s="252" t="s">
        <v>525</v>
      </c>
      <c r="C69" s="253" t="s">
        <v>1795</v>
      </c>
      <c r="D69" s="254"/>
      <c r="E69" s="251">
        <f>'[2]Izm-Atam'!E69</f>
        <v>0</v>
      </c>
      <c r="F69" s="251">
        <f>'[2]Izm-Atam'!F69</f>
        <v>0</v>
      </c>
      <c r="G69" s="251">
        <f>'[2]Izm-Atam'!G69</f>
        <v>0</v>
      </c>
      <c r="H69" s="251">
        <f>'[2]Izm-Atam'!H69</f>
        <v>0</v>
      </c>
      <c r="I69" s="251">
        <f>'[2]Izm-Atam'!I69</f>
        <v>0</v>
      </c>
      <c r="J69" s="251">
        <f>'[2]Izm-Atam'!J69</f>
        <v>0</v>
      </c>
      <c r="K69" s="251">
        <f>'[2]Izm-Atam'!K69</f>
        <v>0</v>
      </c>
      <c r="L69" s="251">
        <f>'[2]Izm-Atam'!L69</f>
        <v>0</v>
      </c>
      <c r="M69" s="251">
        <f>'[2]Izm-Atam'!M69</f>
        <v>0</v>
      </c>
      <c r="N69" s="251">
        <f>'[2]Izm-Atam'!N69</f>
        <v>0</v>
      </c>
    </row>
    <row r="70" spans="2:14" ht="12.75" collapsed="1">
      <c r="B70" s="252"/>
      <c r="C70" s="253"/>
      <c r="D70" s="254" t="str">
        <f>IF($A$2="e","Disbursement","Kredīta izmaksa")</f>
        <v>Kredīta izmaksa</v>
      </c>
      <c r="E70" s="251">
        <f>'[2]Izm-Atam'!E70</f>
        <v>0</v>
      </c>
      <c r="F70" s="251">
        <f>'[2]Izm-Atam'!F70</f>
        <v>0</v>
      </c>
      <c r="G70" s="251">
        <f>'[2]Izm-Atam'!G70</f>
        <v>0</v>
      </c>
      <c r="H70" s="251">
        <f>'[2]Izm-Atam'!H70</f>
        <v>0</v>
      </c>
      <c r="I70" s="251">
        <f>'[2]Izm-Atam'!I70</f>
        <v>0</v>
      </c>
      <c r="J70" s="251">
        <f>'[2]Izm-Atam'!J70</f>
        <v>0</v>
      </c>
      <c r="K70" s="251">
        <f>'[2]Izm-Atam'!K70</f>
        <v>0</v>
      </c>
      <c r="L70" s="251">
        <f>'[2]Izm-Atam'!L70</f>
        <v>0</v>
      </c>
      <c r="M70" s="251">
        <f>'[2]Izm-Atam'!M70</f>
        <v>0</v>
      </c>
      <c r="N70" s="251">
        <f>'[2]Izm-Atam'!N70</f>
        <v>0</v>
      </c>
    </row>
    <row r="71" spans="1:17" ht="12.75">
      <c r="A71">
        <v>1</v>
      </c>
      <c r="B71" s="252" t="s">
        <v>1796</v>
      </c>
      <c r="C71" s="253" t="s">
        <v>1797</v>
      </c>
      <c r="D71" s="254" t="str">
        <f>IF($A$2="e","Repayment","Pamata maksājumi")</f>
        <v>Pamata maksājumi</v>
      </c>
      <c r="E71" s="255">
        <f>'[2]Izm-Atam'!E71</f>
        <v>109.345</v>
      </c>
      <c r="F71" s="255">
        <f>'[2]Izm-Atam'!F71</f>
        <v>0</v>
      </c>
      <c r="G71" s="255">
        <f>'[2]Izm-Atam'!G71</f>
        <v>109.345</v>
      </c>
      <c r="H71" s="255">
        <f>'[2]Izm-Atam'!H71</f>
        <v>0</v>
      </c>
      <c r="I71" s="255">
        <f>'[2]Izm-Atam'!I71</f>
        <v>218.69</v>
      </c>
      <c r="J71" s="255">
        <f>'[2]Izm-Atam'!J71</f>
        <v>218.69</v>
      </c>
      <c r="K71" s="255">
        <f>'[2]Izm-Atam'!K71</f>
        <v>218.69</v>
      </c>
      <c r="L71" s="255">
        <f>'[2]Izm-Atam'!L71</f>
        <v>218.69</v>
      </c>
      <c r="M71" s="255">
        <f>'[2]Izm-Atam'!M71</f>
        <v>218.69</v>
      </c>
      <c r="N71" s="255">
        <f>'[2]Izm-Atam'!N71</f>
        <v>218.69</v>
      </c>
      <c r="O71">
        <v>218.69</v>
      </c>
      <c r="P71">
        <v>218.69</v>
      </c>
      <c r="Q71">
        <v>218.69</v>
      </c>
    </row>
    <row r="72" spans="2:17" ht="12.75">
      <c r="B72" s="252" t="s">
        <v>1798</v>
      </c>
      <c r="C72" s="253" t="s">
        <v>1799</v>
      </c>
      <c r="D72" s="254" t="str">
        <f>IF($A$2="e","Interest payment","Procentu maksājumi")</f>
        <v>Procentu maksājumi</v>
      </c>
      <c r="E72" s="258">
        <f>'[2]Izm-Atam'!E72</f>
        <v>38.21</v>
      </c>
      <c r="F72" s="258">
        <f>'[2]Izm-Atam'!F72</f>
        <v>0</v>
      </c>
      <c r="G72" s="258">
        <f>'[2]Izm-Atam'!G72</f>
        <v>37.081404240000005</v>
      </c>
      <c r="H72" s="258">
        <f>'[2]Izm-Atam'!H72</f>
        <v>0</v>
      </c>
      <c r="I72" s="258">
        <f>'[2]Izm-Atam'!I72</f>
        <v>75.29140424</v>
      </c>
      <c r="J72" s="258">
        <f>'[2]Izm-Atam'!J72</f>
        <v>66.128903</v>
      </c>
      <c r="K72" s="258">
        <f>'[2]Izm-Atam'!K72</f>
        <v>57.62566263</v>
      </c>
      <c r="L72" s="258">
        <f>'[2]Izm-Atam'!L72</f>
        <v>49.345217399999996</v>
      </c>
      <c r="M72" s="258">
        <f>'[2]Izm-Atam'!M72</f>
        <v>40.64261413</v>
      </c>
      <c r="N72" s="258">
        <f>'[2]Izm-Atam'!N72</f>
        <v>32.08073022</v>
      </c>
      <c r="O72">
        <v>23.63608451</v>
      </c>
      <c r="P72">
        <v>14.93352913</v>
      </c>
      <c r="Q72">
        <v>6.40680709</v>
      </c>
    </row>
    <row r="73" spans="2:14" ht="12.75">
      <c r="B73" s="259"/>
      <c r="C73" s="249"/>
      <c r="D73" s="250" t="str">
        <f>IF($A$2="e","Disbursement","Kredīta izmaksa")</f>
        <v>Kredīta izmaksa</v>
      </c>
      <c r="E73" s="251">
        <f>'[2]Izm-Atam'!E73</f>
        <v>212.375</v>
      </c>
      <c r="F73" s="251">
        <f>'[2]Izm-Atam'!F73</f>
        <v>39.34030515</v>
      </c>
      <c r="G73" s="251">
        <f>'[2]Izm-Atam'!G73</f>
        <v>0</v>
      </c>
      <c r="H73" s="251">
        <f>'[2]Izm-Atam'!H73</f>
        <v>0</v>
      </c>
      <c r="I73" s="251">
        <f>'[2]Izm-Atam'!I73</f>
        <v>251.71530515</v>
      </c>
      <c r="J73" s="251">
        <f>'[2]Izm-Atam'!J73</f>
        <v>0</v>
      </c>
      <c r="K73" s="251">
        <f>'[2]Izm-Atam'!K73</f>
        <v>0</v>
      </c>
      <c r="L73" s="251">
        <f>'[2]Izm-Atam'!L73</f>
        <v>0</v>
      </c>
      <c r="M73" s="251">
        <f>'[2]Izm-Atam'!M73</f>
        <v>0</v>
      </c>
      <c r="N73" s="251">
        <f>'[2]Izm-Atam'!N73</f>
        <v>0</v>
      </c>
    </row>
    <row r="74" spans="1:17" ht="12.75">
      <c r="A74">
        <v>17</v>
      </c>
      <c r="B74" s="252" t="s">
        <v>1800</v>
      </c>
      <c r="C74" s="253" t="s">
        <v>1797</v>
      </c>
      <c r="D74" s="254" t="str">
        <f>IF($A$2="e","Repayment","Pamata maksājumi")</f>
        <v>Pamata maksājumi</v>
      </c>
      <c r="E74" s="255">
        <f>'[2]Izm-Atam'!E74</f>
        <v>46.01</v>
      </c>
      <c r="F74" s="255">
        <f>'[2]Izm-Atam'!F74</f>
        <v>104.0025</v>
      </c>
      <c r="G74" s="255">
        <f>'[2]Izm-Atam'!G74</f>
        <v>46.01</v>
      </c>
      <c r="H74" s="255">
        <f>'[2]Izm-Atam'!H74</f>
        <v>104.0025</v>
      </c>
      <c r="I74" s="255">
        <f>'[2]Izm-Atam'!I74</f>
        <v>300.025</v>
      </c>
      <c r="J74" s="255">
        <f>'[2]Izm-Atam'!J74</f>
        <v>299.981</v>
      </c>
      <c r="K74" s="255">
        <f>'[2]Izm-Atam'!K74</f>
        <v>299.981</v>
      </c>
      <c r="L74" s="255">
        <f>'[2]Izm-Atam'!L74</f>
        <v>299.981</v>
      </c>
      <c r="M74" s="255">
        <f>'[2]Izm-Atam'!M74</f>
        <v>299.981</v>
      </c>
      <c r="N74" s="255">
        <f>'[2]Izm-Atam'!N74</f>
        <v>299.981</v>
      </c>
      <c r="O74">
        <v>299.981</v>
      </c>
      <c r="P74">
        <v>299.981</v>
      </c>
      <c r="Q74">
        <v>299.969</v>
      </c>
    </row>
    <row r="75" spans="2:17" ht="12.75">
      <c r="B75" s="262" t="s">
        <v>1798</v>
      </c>
      <c r="C75" s="256" t="s">
        <v>1801</v>
      </c>
      <c r="D75" s="257" t="str">
        <f>IF($A$2="e","Interest payment","Procentu maksājumi")</f>
        <v>Procentu maksājumi</v>
      </c>
      <c r="E75" s="258">
        <f>'[2]Izm-Atam'!E75</f>
        <v>46.278709</v>
      </c>
      <c r="F75" s="258">
        <f>'[2]Izm-Atam'!F75</f>
        <v>0</v>
      </c>
      <c r="G75" s="258">
        <f>'[2]Izm-Atam'!G75</f>
        <v>41.78028712</v>
      </c>
      <c r="H75" s="258">
        <f>'[2]Izm-Atam'!H75</f>
        <v>0</v>
      </c>
      <c r="I75" s="258">
        <f>'[2]Izm-Atam'!I75</f>
        <v>88.05899611999999</v>
      </c>
      <c r="J75" s="258">
        <f>'[2]Izm-Atam'!J75</f>
        <v>73.670845</v>
      </c>
      <c r="K75" s="258">
        <f>'[2]Izm-Atam'!K75</f>
        <v>64.053029</v>
      </c>
      <c r="L75" s="258">
        <f>'[2]Izm-Atam'!L75</f>
        <v>60.03330789726028</v>
      </c>
      <c r="M75" s="258">
        <f>'[2]Izm-Atam'!M75</f>
        <v>49.5938099520548</v>
      </c>
      <c r="N75" s="258">
        <f>'[2]Izm-Atam'!N75</f>
        <v>39.24691452739726</v>
      </c>
      <c r="O75">
        <v>28.701584636986304</v>
      </c>
      <c r="P75">
        <v>18.262086691780823</v>
      </c>
      <c r="Q75">
        <v>7.822588746575344</v>
      </c>
    </row>
    <row r="76" spans="2:30" ht="12.75">
      <c r="B76" s="252"/>
      <c r="C76" s="253"/>
      <c r="D76" s="254" t="str">
        <f>IF($A$2="e","Disbursement","Kredīta izmaksa")</f>
        <v>Kredīta izmaksa</v>
      </c>
      <c r="E76" s="251">
        <f>'[2]Izm-Atam'!E76</f>
        <v>212.375</v>
      </c>
      <c r="F76" s="251"/>
      <c r="G76" s="251">
        <f>'[2]Izm-Atam'!G76</f>
        <v>0</v>
      </c>
      <c r="H76" s="251">
        <f>'[2]Izm-Atam'!H76</f>
        <v>0</v>
      </c>
      <c r="I76" s="251">
        <v>212.38</v>
      </c>
      <c r="J76" s="251">
        <f>'[2]Izm-Atam'!J76</f>
        <v>0</v>
      </c>
      <c r="K76" s="251">
        <f>'[2]Izm-Atam'!K76</f>
        <v>0</v>
      </c>
      <c r="L76" s="251">
        <f>'[2]Izm-Atam'!L76</f>
        <v>0</v>
      </c>
      <c r="M76" s="251">
        <f>'[2]Izm-Atam'!M76</f>
        <v>0</v>
      </c>
      <c r="N76" s="251">
        <f>'[2]Izm-Atam'!N76</f>
        <v>0</v>
      </c>
      <c r="O76">
        <f aca="true" t="shared" si="4" ref="O76:AD78">O70+O73</f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t="shared" si="4"/>
        <v>0</v>
      </c>
      <c r="T76">
        <f t="shared" si="4"/>
        <v>0</v>
      </c>
      <c r="U76">
        <f t="shared" si="4"/>
        <v>0</v>
      </c>
      <c r="V76">
        <f t="shared" si="4"/>
        <v>0</v>
      </c>
      <c r="W76">
        <f t="shared" si="4"/>
        <v>0</v>
      </c>
      <c r="X76">
        <f t="shared" si="4"/>
        <v>0</v>
      </c>
      <c r="Y76">
        <f t="shared" si="4"/>
        <v>0</v>
      </c>
      <c r="Z76">
        <f t="shared" si="4"/>
        <v>0</v>
      </c>
      <c r="AA76">
        <f t="shared" si="4"/>
        <v>0</v>
      </c>
      <c r="AB76">
        <f t="shared" si="4"/>
        <v>0</v>
      </c>
      <c r="AC76">
        <f t="shared" si="4"/>
        <v>0</v>
      </c>
      <c r="AD76">
        <f t="shared" si="4"/>
        <v>0</v>
      </c>
    </row>
    <row r="77" spans="2:30" ht="12.75">
      <c r="B77" s="260" t="s">
        <v>1802</v>
      </c>
      <c r="C77" s="261" t="s">
        <v>1803</v>
      </c>
      <c r="D77" s="254" t="str">
        <f>IF($A$2="e","Repayment","Pamata maksājumi")</f>
        <v>Pamata maksājumi</v>
      </c>
      <c r="E77" s="255">
        <f>'[2]Izm-Atam'!E77</f>
        <v>155.355</v>
      </c>
      <c r="F77" s="255">
        <f>'[2]Izm-Atam'!F77</f>
        <v>104.0025</v>
      </c>
      <c r="G77" s="255">
        <f>'[2]Izm-Atam'!G77</f>
        <v>155.355</v>
      </c>
      <c r="H77" s="255">
        <f>'[2]Izm-Atam'!H77</f>
        <v>104.0025</v>
      </c>
      <c r="I77" s="255">
        <f>'[2]Izm-Atam'!I77</f>
        <v>518.7149999999999</v>
      </c>
      <c r="J77" s="255">
        <f>'[2]Izm-Atam'!J77</f>
        <v>518.671</v>
      </c>
      <c r="K77" s="255">
        <f>'[2]Izm-Atam'!K77</f>
        <v>518.671</v>
      </c>
      <c r="L77" s="255">
        <f>'[2]Izm-Atam'!L77</f>
        <v>518.671</v>
      </c>
      <c r="M77" s="255">
        <f>'[2]Izm-Atam'!M77</f>
        <v>518.671</v>
      </c>
      <c r="N77" s="255">
        <f>'[2]Izm-Atam'!N77</f>
        <v>518.671</v>
      </c>
      <c r="O77">
        <f t="shared" si="4"/>
        <v>518.671</v>
      </c>
      <c r="P77">
        <f t="shared" si="4"/>
        <v>518.671</v>
      </c>
      <c r="Q77">
        <f t="shared" si="4"/>
        <v>518.659</v>
      </c>
      <c r="R77">
        <f t="shared" si="4"/>
        <v>0</v>
      </c>
      <c r="S77">
        <f t="shared" si="4"/>
        <v>0</v>
      </c>
      <c r="T77">
        <f t="shared" si="4"/>
        <v>0</v>
      </c>
      <c r="U77">
        <f t="shared" si="4"/>
        <v>0</v>
      </c>
      <c r="V77">
        <f t="shared" si="4"/>
        <v>0</v>
      </c>
      <c r="W77">
        <f t="shared" si="4"/>
        <v>0</v>
      </c>
      <c r="X77">
        <f t="shared" si="4"/>
        <v>0</v>
      </c>
      <c r="Y77">
        <f t="shared" si="4"/>
        <v>0</v>
      </c>
      <c r="Z77">
        <f t="shared" si="4"/>
        <v>0</v>
      </c>
      <c r="AA77">
        <f t="shared" si="4"/>
        <v>0</v>
      </c>
      <c r="AB77">
        <f t="shared" si="4"/>
        <v>0</v>
      </c>
      <c r="AC77">
        <f t="shared" si="4"/>
        <v>0</v>
      </c>
      <c r="AD77">
        <f t="shared" si="4"/>
        <v>0</v>
      </c>
    </row>
    <row r="78" spans="2:30" ht="12.75">
      <c r="B78" s="252"/>
      <c r="C78" s="253"/>
      <c r="D78" s="254" t="str">
        <f>IF($A$2="e","Interest payment","Procentu maksājumi")</f>
        <v>Procentu maksājumi</v>
      </c>
      <c r="E78" s="258">
        <f>'[2]Izm-Atam'!E78</f>
        <v>84.488709</v>
      </c>
      <c r="F78" s="258">
        <f>'[2]Izm-Atam'!F78</f>
        <v>0</v>
      </c>
      <c r="G78" s="258">
        <f>'[2]Izm-Atam'!G78</f>
        <v>78.86169136000001</v>
      </c>
      <c r="H78" s="258">
        <f>'[2]Izm-Atam'!H78</f>
        <v>0</v>
      </c>
      <c r="I78" s="258">
        <f>'[2]Izm-Atam'!I78</f>
        <v>163.35040036</v>
      </c>
      <c r="J78" s="258">
        <f>'[2]Izm-Atam'!J78</f>
        <v>139.799748</v>
      </c>
      <c r="K78" s="258">
        <f>'[2]Izm-Atam'!K78</f>
        <v>121.67869163</v>
      </c>
      <c r="L78" s="258">
        <f>'[2]Izm-Atam'!L78</f>
        <v>109.37852529726027</v>
      </c>
      <c r="M78" s="258">
        <f>'[2]Izm-Atam'!M78</f>
        <v>90.2364240820548</v>
      </c>
      <c r="N78" s="258">
        <f>'[2]Izm-Atam'!N78</f>
        <v>71.32764474739726</v>
      </c>
      <c r="O78">
        <f t="shared" si="4"/>
        <v>52.3376691469863</v>
      </c>
      <c r="P78">
        <f t="shared" si="4"/>
        <v>33.19561582178082</v>
      </c>
      <c r="Q78">
        <f t="shared" si="4"/>
        <v>14.229395836575344</v>
      </c>
      <c r="R78">
        <f t="shared" si="4"/>
        <v>0</v>
      </c>
      <c r="S78">
        <f t="shared" si="4"/>
        <v>0</v>
      </c>
      <c r="T78">
        <f t="shared" si="4"/>
        <v>0</v>
      </c>
      <c r="U78">
        <f t="shared" si="4"/>
        <v>0</v>
      </c>
      <c r="V78">
        <f t="shared" si="4"/>
        <v>0</v>
      </c>
      <c r="W78">
        <f t="shared" si="4"/>
        <v>0</v>
      </c>
      <c r="X78">
        <f t="shared" si="4"/>
        <v>0</v>
      </c>
      <c r="Y78">
        <f t="shared" si="4"/>
        <v>0</v>
      </c>
      <c r="Z78">
        <f t="shared" si="4"/>
        <v>0</v>
      </c>
      <c r="AA78">
        <f t="shared" si="4"/>
        <v>0</v>
      </c>
      <c r="AB78">
        <f t="shared" si="4"/>
        <v>0</v>
      </c>
      <c r="AC78">
        <f t="shared" si="4"/>
        <v>0</v>
      </c>
      <c r="AD78">
        <f t="shared" si="4"/>
        <v>0</v>
      </c>
    </row>
    <row r="79" spans="2:14" ht="12.75" hidden="1" outlineLevel="1">
      <c r="B79" s="252" t="s">
        <v>530</v>
      </c>
      <c r="C79" s="253" t="s">
        <v>1804</v>
      </c>
      <c r="D79" s="254"/>
      <c r="E79" s="251">
        <f>'[2]Izm-Atam'!E79</f>
        <v>0</v>
      </c>
      <c r="F79" s="251">
        <f>'[2]Izm-Atam'!F79</f>
        <v>0</v>
      </c>
      <c r="G79" s="251">
        <f>'[2]Izm-Atam'!G79</f>
        <v>0</v>
      </c>
      <c r="H79" s="251">
        <f>'[2]Izm-Atam'!H79</f>
        <v>0</v>
      </c>
      <c r="I79" s="251">
        <f>'[2]Izm-Atam'!I79</f>
        <v>0</v>
      </c>
      <c r="J79" s="251">
        <f>'[2]Izm-Atam'!J79</f>
        <v>0</v>
      </c>
      <c r="K79" s="251">
        <f>'[2]Izm-Atam'!K79</f>
        <v>0</v>
      </c>
      <c r="L79" s="251">
        <f>'[2]Izm-Atam'!L79</f>
        <v>0</v>
      </c>
      <c r="M79" s="251">
        <f>'[2]Izm-Atam'!M79</f>
        <v>0</v>
      </c>
      <c r="N79" s="251">
        <f>'[2]Izm-Atam'!N79</f>
        <v>0</v>
      </c>
    </row>
    <row r="80" spans="2:14" ht="12.75" collapsed="1">
      <c r="B80" s="259"/>
      <c r="C80" s="249"/>
      <c r="D80" s="250" t="str">
        <f>IF($A$2="e","Disbursement","Kredīta izmaksa")</f>
        <v>Kredīta izmaksa</v>
      </c>
      <c r="E80" s="251">
        <f>'[2]Izm-Atam'!E80</f>
        <v>0</v>
      </c>
      <c r="F80" s="251">
        <f>'[2]Izm-Atam'!F80</f>
        <v>0</v>
      </c>
      <c r="G80" s="251">
        <f>'[2]Izm-Atam'!G80</f>
        <v>0</v>
      </c>
      <c r="H80" s="251">
        <f>'[2]Izm-Atam'!H80</f>
        <v>0</v>
      </c>
      <c r="I80" s="251">
        <f>'[2]Izm-Atam'!I80</f>
        <v>0</v>
      </c>
      <c r="J80" s="251">
        <f>'[2]Izm-Atam'!J80</f>
        <v>0</v>
      </c>
      <c r="K80" s="251">
        <f>'[2]Izm-Atam'!K80</f>
        <v>0</v>
      </c>
      <c r="L80" s="251">
        <f>'[2]Izm-Atam'!L80</f>
        <v>0</v>
      </c>
      <c r="M80" s="251">
        <f>'[2]Izm-Atam'!M80</f>
        <v>0</v>
      </c>
      <c r="N80" s="251">
        <f>'[2]Izm-Atam'!N80</f>
        <v>0</v>
      </c>
    </row>
    <row r="81" spans="1:15" ht="12.75">
      <c r="A81">
        <v>72</v>
      </c>
      <c r="B81" s="252" t="s">
        <v>1805</v>
      </c>
      <c r="C81" s="253" t="s">
        <v>1806</v>
      </c>
      <c r="D81" s="254" t="str">
        <f>IF($A$2="e","Repayment","Pamata maksājumi")</f>
        <v>Pamata maksājumi</v>
      </c>
      <c r="E81" s="255">
        <f>'[2]Izm-Atam'!E81</f>
        <v>0.117794</v>
      </c>
      <c r="F81" s="255">
        <f>'[2]Izm-Atam'!F81</f>
        <v>0</v>
      </c>
      <c r="G81" s="255">
        <f>'[2]Izm-Atam'!G81</f>
        <v>0.117794</v>
      </c>
      <c r="H81" s="255">
        <f>'[2]Izm-Atam'!H81</f>
        <v>0</v>
      </c>
      <c r="I81" s="255">
        <f>'[2]Izm-Atam'!I81</f>
        <v>0.235588</v>
      </c>
      <c r="J81" s="255">
        <f>'[2]Izm-Atam'!J81</f>
        <v>0.235588</v>
      </c>
      <c r="K81" s="255">
        <f>'[2]Izm-Atam'!K81</f>
        <v>0.235588</v>
      </c>
      <c r="L81" s="255">
        <f>'[2]Izm-Atam'!L81</f>
        <v>0.235588</v>
      </c>
      <c r="M81" s="255">
        <f>'[2]Izm-Atam'!M81</f>
        <v>0.235588</v>
      </c>
      <c r="N81" s="255">
        <f>'[2]Izm-Atam'!N81</f>
        <v>0.235588</v>
      </c>
      <c r="O81">
        <v>0.117794</v>
      </c>
    </row>
    <row r="82" spans="2:15" ht="12.75">
      <c r="B82" s="262" t="s">
        <v>1807</v>
      </c>
      <c r="C82" s="256" t="s">
        <v>1808</v>
      </c>
      <c r="D82" s="257" t="str">
        <f>IF($A$2="e","Interest payment","Procentu maksājumi")</f>
        <v>Procentu maksājumi</v>
      </c>
      <c r="E82" s="258">
        <f>'[2]Izm-Atam'!E82</f>
        <v>0.05</v>
      </c>
      <c r="F82" s="258">
        <f>'[2]Izm-Atam'!F82</f>
        <v>0</v>
      </c>
      <c r="G82" s="258">
        <f>'[2]Izm-Atam'!G82</f>
        <v>0.042406</v>
      </c>
      <c r="H82" s="258">
        <f>'[2]Izm-Atam'!H82</f>
        <v>0</v>
      </c>
      <c r="I82" s="258">
        <f>'[2]Izm-Atam'!I82</f>
        <v>0.092406</v>
      </c>
      <c r="J82" s="258">
        <f>'[2]Izm-Atam'!J82</f>
        <v>0.053431</v>
      </c>
      <c r="K82" s="258">
        <f>'[2]Izm-Atam'!K82</f>
        <v>0.060074</v>
      </c>
      <c r="L82" s="258">
        <f>'[2]Izm-Atam'!L82</f>
        <v>0.045939999999999995</v>
      </c>
      <c r="M82" s="258">
        <f>'[2]Izm-Atam'!M82</f>
        <v>0.031804</v>
      </c>
      <c r="N82" s="258">
        <f>'[2]Izm-Atam'!N82</f>
        <v>0.017668999999999997</v>
      </c>
      <c r="O82">
        <v>0.003534</v>
      </c>
    </row>
    <row r="83" spans="2:14" ht="12.75">
      <c r="B83" s="252"/>
      <c r="C83" s="253"/>
      <c r="D83" s="254" t="str">
        <f>IF($A$2="e","Disbursement","Kredīta izmaksa")</f>
        <v>Kredīta izmaksa</v>
      </c>
      <c r="E83" s="251">
        <f>'[2]Izm-Atam'!E83</f>
        <v>0</v>
      </c>
      <c r="F83" s="251">
        <f>'[2]Izm-Atam'!F83</f>
        <v>0</v>
      </c>
      <c r="G83" s="251">
        <f>'[2]Izm-Atam'!G83</f>
        <v>0</v>
      </c>
      <c r="H83" s="251">
        <f>'[2]Izm-Atam'!H83</f>
        <v>0</v>
      </c>
      <c r="I83" s="251">
        <f>'[2]Izm-Atam'!I83</f>
        <v>0</v>
      </c>
      <c r="J83" s="251">
        <f>'[2]Izm-Atam'!J83</f>
        <v>0</v>
      </c>
      <c r="K83" s="251">
        <f>'[2]Izm-Atam'!K83</f>
        <v>0</v>
      </c>
      <c r="L83" s="251">
        <f>'[2]Izm-Atam'!L83</f>
        <v>0</v>
      </c>
      <c r="M83" s="251">
        <f>'[2]Izm-Atam'!M83</f>
        <v>0</v>
      </c>
      <c r="N83" s="251">
        <f>'[2]Izm-Atam'!N83</f>
        <v>0</v>
      </c>
    </row>
    <row r="84" spans="1:15" ht="12.75">
      <c r="A84">
        <v>78</v>
      </c>
      <c r="B84" s="252" t="s">
        <v>1809</v>
      </c>
      <c r="C84" s="253" t="s">
        <v>1806</v>
      </c>
      <c r="D84" s="254" t="str">
        <f>IF($A$2="e","Repayment","Pamata maksājumi")</f>
        <v>Pamata maksājumi</v>
      </c>
      <c r="E84" s="255">
        <f>'[2]Izm-Atam'!E84</f>
        <v>0</v>
      </c>
      <c r="F84" s="255">
        <f>'[2]Izm-Atam'!F84</f>
        <v>0</v>
      </c>
      <c r="G84" s="255">
        <f>'[2]Izm-Atam'!G84</f>
        <v>0</v>
      </c>
      <c r="H84" s="255">
        <f>'[2]Izm-Atam'!H84</f>
        <v>0</v>
      </c>
      <c r="I84" s="255">
        <f>'[2]Izm-Atam'!I84</f>
        <v>0</v>
      </c>
      <c r="J84" s="255">
        <f>'[2]Izm-Atam'!J84</f>
        <v>0.156326</v>
      </c>
      <c r="K84" s="255">
        <f>'[2]Izm-Atam'!K84</f>
        <v>0.312652</v>
      </c>
      <c r="L84" s="255">
        <f>'[2]Izm-Atam'!L84</f>
        <v>0.312652</v>
      </c>
      <c r="M84" s="255">
        <f>'[2]Izm-Atam'!M84</f>
        <v>0.312652</v>
      </c>
      <c r="N84" s="255">
        <f>'[2]Izm-Atam'!N84</f>
        <v>0.312652</v>
      </c>
      <c r="O84">
        <v>0.312652</v>
      </c>
    </row>
    <row r="85" spans="2:15" ht="12.75">
      <c r="B85" s="252" t="s">
        <v>1810</v>
      </c>
      <c r="C85" s="253" t="s">
        <v>1811</v>
      </c>
      <c r="D85" s="254" t="str">
        <f>IF($A$2="e","Interest payment","Procentu maksājumi")</f>
        <v>Procentu maksājumi</v>
      </c>
      <c r="E85" s="258">
        <f>'[2]Izm-Atam'!E85</f>
        <v>0.037401</v>
      </c>
      <c r="F85" s="258">
        <f>'[2]Izm-Atam'!F85</f>
        <v>0</v>
      </c>
      <c r="G85" s="258">
        <f>'[2]Izm-Atam'!G85</f>
        <v>0.036848</v>
      </c>
      <c r="H85" s="258">
        <f>'[2]Izm-Atam'!H85</f>
        <v>0</v>
      </c>
      <c r="I85" s="258">
        <f>'[2]Izm-Atam'!I85</f>
        <v>0.074249</v>
      </c>
      <c r="J85" s="258">
        <f>'[2]Izm-Atam'!J85</f>
        <v>0.074286</v>
      </c>
      <c r="K85" s="258">
        <f>'[2]Izm-Atam'!K85</f>
        <v>0.089106</v>
      </c>
      <c r="L85" s="258">
        <f>'[2]Izm-Atam'!L85</f>
        <v>0.070346</v>
      </c>
      <c r="M85" s="258">
        <f>'[2]Izm-Atam'!M85</f>
        <v>0.051588</v>
      </c>
      <c r="N85" s="258">
        <f>'[2]Izm-Atam'!N85</f>
        <v>0.032828</v>
      </c>
      <c r="O85">
        <v>0.01407</v>
      </c>
    </row>
    <row r="86" spans="2:30" ht="12.75">
      <c r="B86" s="259"/>
      <c r="C86" s="249"/>
      <c r="D86" s="250" t="str">
        <f>IF($A$2="e","Disbursement","Kredīta izmaksa")</f>
        <v>Kredīta izmaksa</v>
      </c>
      <c r="E86" s="251">
        <f>'[2]Izm-Atam'!E86</f>
        <v>0</v>
      </c>
      <c r="F86" s="251">
        <f>'[2]Izm-Atam'!F86</f>
        <v>0</v>
      </c>
      <c r="G86" s="251">
        <f>'[2]Izm-Atam'!G86</f>
        <v>0</v>
      </c>
      <c r="H86" s="251">
        <f>'[2]Izm-Atam'!H86</f>
        <v>0</v>
      </c>
      <c r="I86" s="251">
        <f>'[2]Izm-Atam'!I86</f>
        <v>0</v>
      </c>
      <c r="J86" s="251">
        <f>'[2]Izm-Atam'!J86</f>
        <v>0</v>
      </c>
      <c r="K86" s="251">
        <f>'[2]Izm-Atam'!K86</f>
        <v>0</v>
      </c>
      <c r="L86" s="251">
        <f>'[2]Izm-Atam'!L86</f>
        <v>0</v>
      </c>
      <c r="M86" s="251">
        <f>'[2]Izm-Atam'!M86</f>
        <v>0</v>
      </c>
      <c r="N86" s="251">
        <f>'[2]Izm-Atam'!N86</f>
        <v>0</v>
      </c>
      <c r="O86">
        <f aca="true" t="shared" si="5" ref="O86:AD88">O80+O83</f>
        <v>0</v>
      </c>
      <c r="P86">
        <f t="shared" si="5"/>
        <v>0</v>
      </c>
      <c r="Q86">
        <f t="shared" si="5"/>
        <v>0</v>
      </c>
      <c r="R86">
        <f t="shared" si="5"/>
        <v>0</v>
      </c>
      <c r="S86">
        <f t="shared" si="5"/>
        <v>0</v>
      </c>
      <c r="T86">
        <f t="shared" si="5"/>
        <v>0</v>
      </c>
      <c r="U86">
        <f t="shared" si="5"/>
        <v>0</v>
      </c>
      <c r="V86">
        <f t="shared" si="5"/>
        <v>0</v>
      </c>
      <c r="W86">
        <f t="shared" si="5"/>
        <v>0</v>
      </c>
      <c r="X86">
        <f t="shared" si="5"/>
        <v>0</v>
      </c>
      <c r="Y86">
        <f t="shared" si="5"/>
        <v>0</v>
      </c>
      <c r="Z86">
        <f t="shared" si="5"/>
        <v>0</v>
      </c>
      <c r="AA86">
        <f t="shared" si="5"/>
        <v>0</v>
      </c>
      <c r="AB86">
        <f t="shared" si="5"/>
        <v>0</v>
      </c>
      <c r="AC86">
        <f t="shared" si="5"/>
        <v>0</v>
      </c>
      <c r="AD86">
        <f t="shared" si="5"/>
        <v>0</v>
      </c>
    </row>
    <row r="87" spans="2:30" ht="12.75">
      <c r="B87" s="260" t="s">
        <v>1812</v>
      </c>
      <c r="C87" s="261" t="s">
        <v>1813</v>
      </c>
      <c r="D87" s="254" t="str">
        <f>IF($A$2="e","Repayment","Pamata maksājumi")</f>
        <v>Pamata maksājumi</v>
      </c>
      <c r="E87" s="255">
        <f>'[2]Izm-Atam'!E87</f>
        <v>0.117794</v>
      </c>
      <c r="F87" s="255">
        <f>'[2]Izm-Atam'!F87</f>
        <v>0</v>
      </c>
      <c r="G87" s="255">
        <f>'[2]Izm-Atam'!G87</f>
        <v>0.117794</v>
      </c>
      <c r="H87" s="255">
        <f>'[2]Izm-Atam'!H87</f>
        <v>0</v>
      </c>
      <c r="I87" s="255">
        <f>'[2]Izm-Atam'!I87</f>
        <v>0.235588</v>
      </c>
      <c r="J87" s="255">
        <f>'[2]Izm-Atam'!J87</f>
        <v>0.391914</v>
      </c>
      <c r="K87" s="255">
        <f>'[2]Izm-Atam'!K87</f>
        <v>0.54824</v>
      </c>
      <c r="L87" s="255">
        <f>'[2]Izm-Atam'!L87</f>
        <v>0.54824</v>
      </c>
      <c r="M87" s="255">
        <f>'[2]Izm-Atam'!M87</f>
        <v>0.54824</v>
      </c>
      <c r="N87" s="255">
        <f>'[2]Izm-Atam'!N87</f>
        <v>0.54824</v>
      </c>
      <c r="O87">
        <f t="shared" si="5"/>
        <v>0.430446</v>
      </c>
      <c r="P87">
        <f t="shared" si="5"/>
        <v>0</v>
      </c>
      <c r="Q87">
        <f t="shared" si="5"/>
        <v>0</v>
      </c>
      <c r="R87">
        <f t="shared" si="5"/>
        <v>0</v>
      </c>
      <c r="S87">
        <f t="shared" si="5"/>
        <v>0</v>
      </c>
      <c r="T87">
        <f t="shared" si="5"/>
        <v>0</v>
      </c>
      <c r="U87">
        <f t="shared" si="5"/>
        <v>0</v>
      </c>
      <c r="V87">
        <f t="shared" si="5"/>
        <v>0</v>
      </c>
      <c r="W87">
        <f t="shared" si="5"/>
        <v>0</v>
      </c>
      <c r="X87">
        <f t="shared" si="5"/>
        <v>0</v>
      </c>
      <c r="Y87">
        <f t="shared" si="5"/>
        <v>0</v>
      </c>
      <c r="Z87">
        <f t="shared" si="5"/>
        <v>0</v>
      </c>
      <c r="AA87">
        <f t="shared" si="5"/>
        <v>0</v>
      </c>
      <c r="AB87">
        <f t="shared" si="5"/>
        <v>0</v>
      </c>
      <c r="AC87">
        <f t="shared" si="5"/>
        <v>0</v>
      </c>
      <c r="AD87">
        <f t="shared" si="5"/>
        <v>0</v>
      </c>
    </row>
    <row r="88" spans="2:30" ht="12.75">
      <c r="B88" s="262"/>
      <c r="C88" s="256"/>
      <c r="D88" s="257" t="str">
        <f>IF($A$2="e","Interest payment","Procentu maksājumi")</f>
        <v>Procentu maksājumi</v>
      </c>
      <c r="E88" s="258">
        <f>'[2]Izm-Atam'!E88</f>
        <v>0.087401</v>
      </c>
      <c r="F88" s="258">
        <f>'[2]Izm-Atam'!F88</f>
        <v>0</v>
      </c>
      <c r="G88" s="258">
        <f>'[2]Izm-Atam'!G88</f>
        <v>0.07925399999999999</v>
      </c>
      <c r="H88" s="258">
        <f>'[2]Izm-Atam'!H88</f>
        <v>0</v>
      </c>
      <c r="I88" s="258">
        <f>'[2]Izm-Atam'!I88</f>
        <v>0.166655</v>
      </c>
      <c r="J88" s="258">
        <f>'[2]Izm-Atam'!J88</f>
        <v>0.127717</v>
      </c>
      <c r="K88" s="258">
        <f>'[2]Izm-Atam'!K88</f>
        <v>0.14918</v>
      </c>
      <c r="L88" s="258">
        <f>'[2]Izm-Atam'!L88</f>
        <v>0.116286</v>
      </c>
      <c r="M88" s="258">
        <f>'[2]Izm-Atam'!M88</f>
        <v>0.083392</v>
      </c>
      <c r="N88" s="258">
        <f>'[2]Izm-Atam'!N88</f>
        <v>0.050497</v>
      </c>
      <c r="O88">
        <f t="shared" si="5"/>
        <v>0.017603999999999998</v>
      </c>
      <c r="P88">
        <f t="shared" si="5"/>
        <v>0</v>
      </c>
      <c r="Q88">
        <f t="shared" si="5"/>
        <v>0</v>
      </c>
      <c r="R88">
        <f t="shared" si="5"/>
        <v>0</v>
      </c>
      <c r="S88">
        <f t="shared" si="5"/>
        <v>0</v>
      </c>
      <c r="T88">
        <f t="shared" si="5"/>
        <v>0</v>
      </c>
      <c r="U88">
        <f t="shared" si="5"/>
        <v>0</v>
      </c>
      <c r="V88">
        <f t="shared" si="5"/>
        <v>0</v>
      </c>
      <c r="W88">
        <f t="shared" si="5"/>
        <v>0</v>
      </c>
      <c r="X88">
        <f t="shared" si="5"/>
        <v>0</v>
      </c>
      <c r="Y88">
        <f t="shared" si="5"/>
        <v>0</v>
      </c>
      <c r="Z88">
        <f t="shared" si="5"/>
        <v>0</v>
      </c>
      <c r="AA88">
        <f t="shared" si="5"/>
        <v>0</v>
      </c>
      <c r="AB88">
        <f t="shared" si="5"/>
        <v>0</v>
      </c>
      <c r="AC88">
        <f t="shared" si="5"/>
        <v>0</v>
      </c>
      <c r="AD88">
        <f t="shared" si="5"/>
        <v>0</v>
      </c>
    </row>
    <row r="89" spans="2:14" ht="12.75" hidden="1" outlineLevel="1">
      <c r="B89" s="252" t="s">
        <v>534</v>
      </c>
      <c r="C89" s="253" t="s">
        <v>1814</v>
      </c>
      <c r="D89" s="254"/>
      <c r="E89" s="251">
        <f>'[2]Izm-Atam'!E89</f>
        <v>0</v>
      </c>
      <c r="F89" s="251">
        <f>'[2]Izm-Atam'!F89</f>
        <v>0</v>
      </c>
      <c r="G89" s="251">
        <f>'[2]Izm-Atam'!G89</f>
        <v>0</v>
      </c>
      <c r="H89" s="251">
        <f>'[2]Izm-Atam'!H89</f>
        <v>0</v>
      </c>
      <c r="I89" s="251">
        <f>'[2]Izm-Atam'!I89</f>
        <v>0</v>
      </c>
      <c r="J89" s="251">
        <f>'[2]Izm-Atam'!J89</f>
        <v>0</v>
      </c>
      <c r="K89" s="251">
        <f>'[2]Izm-Atam'!K89</f>
        <v>0</v>
      </c>
      <c r="L89" s="251">
        <f>'[2]Izm-Atam'!L89</f>
        <v>0</v>
      </c>
      <c r="M89" s="251">
        <f>'[2]Izm-Atam'!M89</f>
        <v>0</v>
      </c>
      <c r="N89" s="251">
        <f>'[2]Izm-Atam'!N89</f>
        <v>0</v>
      </c>
    </row>
    <row r="90" spans="2:14" ht="12.75" collapsed="1">
      <c r="B90" s="252"/>
      <c r="C90" s="253"/>
      <c r="D90" s="254" t="str">
        <f>IF($A$2="e","Disbursement","Kredīta izmaksa")</f>
        <v>Kredīta izmaksa</v>
      </c>
      <c r="E90" s="251">
        <f>'[2]Izm-Atam'!E90</f>
        <v>0</v>
      </c>
      <c r="F90" s="251">
        <f>'[2]Izm-Atam'!F90</f>
        <v>0</v>
      </c>
      <c r="G90" s="251">
        <f>'[2]Izm-Atam'!G90</f>
        <v>0</v>
      </c>
      <c r="H90" s="251">
        <f>'[2]Izm-Atam'!H90</f>
        <v>0</v>
      </c>
      <c r="I90" s="251">
        <f>'[2]Izm-Atam'!I90</f>
        <v>0</v>
      </c>
      <c r="J90" s="251">
        <f>'[2]Izm-Atam'!J90</f>
        <v>0</v>
      </c>
      <c r="K90" s="251">
        <f>'[2]Izm-Atam'!K90</f>
        <v>0</v>
      </c>
      <c r="L90" s="251">
        <f>'[2]Izm-Atam'!L90</f>
        <v>0</v>
      </c>
      <c r="M90" s="251">
        <f>'[2]Izm-Atam'!M90</f>
        <v>0</v>
      </c>
      <c r="N90" s="251">
        <f>'[2]Izm-Atam'!N90</f>
        <v>0</v>
      </c>
    </row>
    <row r="91" spans="1:17" ht="12.75">
      <c r="A91">
        <v>2</v>
      </c>
      <c r="B91" s="252" t="s">
        <v>1796</v>
      </c>
      <c r="C91" s="253" t="s">
        <v>1815</v>
      </c>
      <c r="D91" s="254" t="str">
        <f>IF($A$2="e","Repayment","Pamata maksājumi")</f>
        <v>Pamata maksājumi</v>
      </c>
      <c r="E91" s="255">
        <f>'[2]Izm-Atam'!E91</f>
        <v>1.560869</v>
      </c>
      <c r="F91" s="255">
        <f>'[2]Izm-Atam'!F91</f>
        <v>0</v>
      </c>
      <c r="G91" s="255">
        <f>'[2]Izm-Atam'!G91</f>
        <v>1.5745700900000001</v>
      </c>
      <c r="H91" s="255">
        <f>'[2]Izm-Atam'!H91</f>
        <v>0</v>
      </c>
      <c r="I91" s="255">
        <f>'[2]Izm-Atam'!I91</f>
        <v>3.13543909</v>
      </c>
      <c r="J91" s="255">
        <f>'[2]Izm-Atam'!J91</f>
        <v>3.48672174</v>
      </c>
      <c r="K91" s="255">
        <f>'[2]Izm-Atam'!K91</f>
        <v>3.48672174</v>
      </c>
      <c r="L91" s="255">
        <f>'[2]Izm-Atam'!L91</f>
        <v>3.48672174</v>
      </c>
      <c r="M91" s="255">
        <f>'[2]Izm-Atam'!M91</f>
        <v>3.48672174</v>
      </c>
      <c r="N91" s="255">
        <f>'[2]Izm-Atam'!N91</f>
        <v>3.48672174</v>
      </c>
      <c r="O91">
        <v>3.48672174</v>
      </c>
      <c r="P91">
        <v>3.48672174</v>
      </c>
      <c r="Q91">
        <v>3.48672174</v>
      </c>
    </row>
    <row r="92" spans="2:17" ht="12.75">
      <c r="B92" s="252" t="s">
        <v>1765</v>
      </c>
      <c r="C92" s="253" t="s">
        <v>1799</v>
      </c>
      <c r="D92" s="254" t="str">
        <f>IF($A$2="e","Interest payment","Procentu maksājumi")</f>
        <v>Procentu maksājumi</v>
      </c>
      <c r="E92" s="258">
        <f>'[2]Izm-Atam'!E92</f>
        <v>0.86</v>
      </c>
      <c r="F92" s="258">
        <f>'[2]Izm-Atam'!F92</f>
        <v>0</v>
      </c>
      <c r="G92" s="258">
        <f>'[2]Izm-Atam'!G92</f>
        <v>0.83079903</v>
      </c>
      <c r="H92" s="258">
        <f>'[2]Izm-Atam'!H92</f>
        <v>0</v>
      </c>
      <c r="I92" s="258">
        <f>'[2]Izm-Atam'!I92</f>
        <v>1.69079903</v>
      </c>
      <c r="J92" s="258">
        <f>'[2]Izm-Atam'!J92</f>
        <v>1.50326242</v>
      </c>
      <c r="K92" s="258">
        <f>'[2]Izm-Atam'!K92</f>
        <v>1.3095516900000002</v>
      </c>
      <c r="L92" s="258">
        <f>'[2]Izm-Atam'!L92</f>
        <v>1.11695461</v>
      </c>
      <c r="M92" s="258">
        <f>'[2]Izm-Atam'!M92</f>
        <v>0.92130668</v>
      </c>
      <c r="N92" s="258">
        <f>'[2]Izm-Atam'!N92</f>
        <v>0.72841959</v>
      </c>
      <c r="O92">
        <v>0.5347088799999999</v>
      </c>
      <c r="P92">
        <v>0.34145566</v>
      </c>
      <c r="Q92">
        <v>0.14711998</v>
      </c>
    </row>
    <row r="93" spans="2:14" ht="12.75">
      <c r="B93" s="259"/>
      <c r="C93" s="249"/>
      <c r="D93" s="250" t="str">
        <f>IF($A$2="e","Disbursement","Kredīta izmaksa")</f>
        <v>Kredīta izmaksa</v>
      </c>
      <c r="E93" s="251">
        <f>'[2]Izm-Atam'!E93</f>
        <v>0</v>
      </c>
      <c r="F93" s="251">
        <f>'[2]Izm-Atam'!F93</f>
        <v>0</v>
      </c>
      <c r="G93" s="251">
        <f>'[2]Izm-Atam'!G93</f>
        <v>0</v>
      </c>
      <c r="H93" s="251">
        <f>'[2]Izm-Atam'!H93</f>
        <v>0</v>
      </c>
      <c r="I93" s="251">
        <f>'[2]Izm-Atam'!I93</f>
        <v>0</v>
      </c>
      <c r="J93" s="251">
        <f>'[2]Izm-Atam'!J93</f>
        <v>0</v>
      </c>
      <c r="K93" s="251">
        <f>'[2]Izm-Atam'!K93</f>
        <v>0</v>
      </c>
      <c r="L93" s="251">
        <f>'[2]Izm-Atam'!L93</f>
        <v>0</v>
      </c>
      <c r="M93" s="251">
        <f>'[2]Izm-Atam'!M93</f>
        <v>0</v>
      </c>
      <c r="N93" s="251">
        <f>'[2]Izm-Atam'!N93</f>
        <v>0</v>
      </c>
    </row>
    <row r="94" spans="1:19" ht="12.75">
      <c r="A94">
        <v>3</v>
      </c>
      <c r="B94" s="252" t="s">
        <v>1816</v>
      </c>
      <c r="C94" s="253" t="s">
        <v>1815</v>
      </c>
      <c r="D94" s="254" t="str">
        <f>IF($A$2="e","Repayment","Pamata maksājumi")</f>
        <v>Pamata maksājumi</v>
      </c>
      <c r="E94" s="255">
        <f>'[2]Izm-Atam'!E94</f>
        <v>0.61524723</v>
      </c>
      <c r="F94" s="255">
        <f>'[2]Izm-Atam'!F94</f>
        <v>0</v>
      </c>
      <c r="G94" s="255">
        <f>'[2]Izm-Atam'!G94</f>
        <v>0.68520053</v>
      </c>
      <c r="H94" s="255">
        <f>'[2]Izm-Atam'!H94</f>
        <v>0</v>
      </c>
      <c r="I94" s="255">
        <f>'[2]Izm-Atam'!I94</f>
        <v>1.30044776</v>
      </c>
      <c r="J94" s="255">
        <f>'[2]Izm-Atam'!J94</f>
        <v>1.545</v>
      </c>
      <c r="K94" s="255">
        <f>'[2]Izm-Atam'!K94</f>
        <v>1.66</v>
      </c>
      <c r="L94" s="255">
        <f>'[2]Izm-Atam'!L94</f>
        <v>1.785</v>
      </c>
      <c r="M94" s="255">
        <f>'[2]Izm-Atam'!M94</f>
        <v>1.925</v>
      </c>
      <c r="N94" s="255">
        <f>'[2]Izm-Atam'!N94</f>
        <v>2.07</v>
      </c>
      <c r="O94">
        <v>2.22</v>
      </c>
      <c r="P94">
        <v>2.395</v>
      </c>
      <c r="Q94">
        <v>2.575</v>
      </c>
      <c r="R94">
        <v>2.78</v>
      </c>
      <c r="S94">
        <v>1.46</v>
      </c>
    </row>
    <row r="95" spans="2:19" ht="12.75">
      <c r="B95" s="262" t="s">
        <v>1765</v>
      </c>
      <c r="C95" s="256" t="s">
        <v>1817</v>
      </c>
      <c r="D95" s="257" t="str">
        <f>IF($A$2="e","Interest payment","Procentu maksājumi")</f>
        <v>Procentu maksājumi</v>
      </c>
      <c r="E95" s="258">
        <f>'[2]Izm-Atam'!E95</f>
        <v>0.46653619</v>
      </c>
      <c r="F95" s="258">
        <f>'[2]Izm-Atam'!F95</f>
        <v>0</v>
      </c>
      <c r="G95" s="258">
        <f>'[2]Izm-Atam'!G95</f>
        <v>0.53130149</v>
      </c>
      <c r="H95" s="258">
        <f>'[2]Izm-Atam'!H95</f>
        <v>0</v>
      </c>
      <c r="I95" s="258">
        <f>'[2]Izm-Atam'!I95</f>
        <v>0.9978376800000001</v>
      </c>
      <c r="J95" s="258">
        <f>'[2]Izm-Atam'!J95</f>
        <v>0.998266</v>
      </c>
      <c r="K95" s="258">
        <f>'[2]Izm-Atam'!K95</f>
        <v>0.919603</v>
      </c>
      <c r="L95" s="258">
        <f>'[2]Izm-Atam'!L95</f>
        <v>0.9633891400000001</v>
      </c>
      <c r="M95" s="258">
        <f>'[2]Izm-Atam'!M95</f>
        <v>0.85687355</v>
      </c>
      <c r="N95" s="258">
        <f>'[2]Izm-Atam'!N95</f>
        <v>0.690074163</v>
      </c>
      <c r="O95">
        <v>0.62361146</v>
      </c>
      <c r="P95">
        <v>0.49398633000000003</v>
      </c>
      <c r="Q95">
        <v>0.35264142</v>
      </c>
      <c r="R95">
        <v>0.20208123</v>
      </c>
      <c r="S95">
        <v>0.04073653</v>
      </c>
    </row>
    <row r="96" spans="2:14" ht="12.75">
      <c r="B96" s="252"/>
      <c r="C96" s="253"/>
      <c r="D96" s="254" t="str">
        <f>IF($A$2="e","Disbursement","Kredīta izmaksa")</f>
        <v>Kredīta izmaksa</v>
      </c>
      <c r="E96" s="251">
        <f>'[2]Izm-Atam'!E96</f>
        <v>0</v>
      </c>
      <c r="F96" s="251">
        <f>'[2]Izm-Atam'!F96</f>
        <v>0</v>
      </c>
      <c r="G96" s="251">
        <f>'[2]Izm-Atam'!G96</f>
        <v>0</v>
      </c>
      <c r="H96" s="251">
        <f>'[2]Izm-Atam'!H96</f>
        <v>0</v>
      </c>
      <c r="I96" s="251">
        <f>'[2]Izm-Atam'!I96</f>
        <v>0</v>
      </c>
      <c r="J96" s="251">
        <f>'[2]Izm-Atam'!J96</f>
        <v>0</v>
      </c>
      <c r="K96" s="251">
        <f>'[2]Izm-Atam'!K96</f>
        <v>0</v>
      </c>
      <c r="L96" s="251">
        <f>'[2]Izm-Atam'!L96</f>
        <v>0</v>
      </c>
      <c r="M96" s="251">
        <f>'[2]Izm-Atam'!M96</f>
        <v>0</v>
      </c>
      <c r="N96" s="251">
        <f>'[2]Izm-Atam'!N96</f>
        <v>0</v>
      </c>
    </row>
    <row r="97" spans="1:14" ht="12.75">
      <c r="A97">
        <v>4</v>
      </c>
      <c r="B97" s="252" t="s">
        <v>1759</v>
      </c>
      <c r="C97" s="253" t="s">
        <v>1760</v>
      </c>
      <c r="D97" s="254" t="str">
        <f>IF($A$2="e","Repayment","Pamata maksājumi")</f>
        <v>Pamata maksājumi</v>
      </c>
      <c r="E97" s="255">
        <f>'[2]Izm-Atam'!E97</f>
        <v>0</v>
      </c>
      <c r="F97" s="255">
        <f>'[2]Izm-Atam'!F97</f>
        <v>0.26445975</v>
      </c>
      <c r="G97" s="255">
        <f>'[2]Izm-Atam'!G97</f>
        <v>0</v>
      </c>
      <c r="H97" s="255">
        <f>'[2]Izm-Atam'!H97</f>
        <v>0.26445975</v>
      </c>
      <c r="I97" s="255">
        <f>'[2]Izm-Atam'!I97</f>
        <v>0.5289195</v>
      </c>
      <c r="J97" s="255">
        <f>'[2]Izm-Atam'!J97</f>
        <v>0.5289195</v>
      </c>
      <c r="K97" s="255">
        <f>'[2]Izm-Atam'!K97</f>
        <v>0.5289195</v>
      </c>
      <c r="L97" s="255">
        <f>'[2]Izm-Atam'!L97</f>
        <v>0.41995607</v>
      </c>
      <c r="M97" s="255">
        <f>'[2]Izm-Atam'!M97</f>
        <v>0</v>
      </c>
      <c r="N97" s="255">
        <f>'[2]Izm-Atam'!N97</f>
        <v>0</v>
      </c>
    </row>
    <row r="98" spans="2:14" ht="12.75">
      <c r="B98" s="252" t="s">
        <v>1761</v>
      </c>
      <c r="C98" s="253" t="s">
        <v>1762</v>
      </c>
      <c r="D98" s="254" t="str">
        <f>IF($A$2="e","Interest payment","Procentu maksājumi")</f>
        <v>Procentu maksājumi</v>
      </c>
      <c r="E98" s="258">
        <f>'[2]Izm-Atam'!E98</f>
        <v>0</v>
      </c>
      <c r="F98" s="258">
        <f>'[2]Izm-Atam'!F98</f>
        <v>0.0634066</v>
      </c>
      <c r="G98" s="258">
        <f>'[2]Izm-Atam'!G98</f>
        <v>0</v>
      </c>
      <c r="H98" s="258">
        <f>'[2]Izm-Atam'!H98</f>
        <v>0.05535289</v>
      </c>
      <c r="I98" s="258">
        <f>'[2]Izm-Atam'!I98</f>
        <v>0.11875949</v>
      </c>
      <c r="J98" s="258">
        <f>'[2]Izm-Atam'!J98</f>
        <v>0.08524289</v>
      </c>
      <c r="K98" s="258">
        <f>'[2]Izm-Atam'!K98</f>
        <v>0.05172629</v>
      </c>
      <c r="L98" s="258">
        <f>'[2]Izm-Atam'!L98</f>
        <v>0.0700089</v>
      </c>
      <c r="M98" s="258">
        <f>'[2]Izm-Atam'!M98</f>
        <v>0</v>
      </c>
      <c r="N98" s="258">
        <f>'[2]Izm-Atam'!N98</f>
        <v>0</v>
      </c>
    </row>
    <row r="99" spans="2:14" ht="12.75">
      <c r="B99" s="259"/>
      <c r="C99" s="249"/>
      <c r="D99" s="250" t="str">
        <f>IF($A$2="e","Disbursement","Kredīta izmaksa")</f>
        <v>Kredīta izmaksa</v>
      </c>
      <c r="E99" s="251">
        <f>'[2]Izm-Atam'!E99</f>
        <v>0</v>
      </c>
      <c r="F99" s="251">
        <f>'[2]Izm-Atam'!F99</f>
        <v>0</v>
      </c>
      <c r="G99" s="251">
        <f>'[2]Izm-Atam'!G99</f>
        <v>0</v>
      </c>
      <c r="H99" s="251">
        <f>'[2]Izm-Atam'!H99</f>
        <v>0</v>
      </c>
      <c r="I99" s="251">
        <f>'[2]Izm-Atam'!I99</f>
        <v>0</v>
      </c>
      <c r="J99" s="251">
        <f>'[2]Izm-Atam'!J99</f>
        <v>0</v>
      </c>
      <c r="K99" s="251">
        <f>'[2]Izm-Atam'!K99</f>
        <v>0</v>
      </c>
      <c r="L99" s="251">
        <f>'[2]Izm-Atam'!L99</f>
        <v>0</v>
      </c>
      <c r="M99" s="251">
        <f>'[2]Izm-Atam'!M99</f>
        <v>0</v>
      </c>
      <c r="N99" s="251">
        <f>'[2]Izm-Atam'!N99</f>
        <v>0</v>
      </c>
    </row>
    <row r="100" spans="1:30" ht="12.75">
      <c r="A100">
        <v>10</v>
      </c>
      <c r="B100" s="252" t="s">
        <v>1759</v>
      </c>
      <c r="C100" s="253" t="s">
        <v>1818</v>
      </c>
      <c r="D100" s="254" t="str">
        <f>IF($A$2="e","Repayment","Pamata maksājumi")</f>
        <v>Pamata maksājumi</v>
      </c>
      <c r="E100" s="255">
        <f>'[2]Izm-Atam'!E100</f>
        <v>0</v>
      </c>
      <c r="F100" s="255">
        <f>'[2]Izm-Atam'!F100</f>
        <v>0</v>
      </c>
      <c r="G100" s="255">
        <f>'[2]Izm-Atam'!G100</f>
        <v>0</v>
      </c>
      <c r="H100" s="255">
        <f>'[2]Izm-Atam'!H100</f>
        <v>0.38828653999999996</v>
      </c>
      <c r="I100" s="255">
        <f>'[2]Izm-Atam'!I100</f>
        <v>0.38828653999999996</v>
      </c>
      <c r="J100" s="255">
        <f>'[2]Izm-Atam'!J100</f>
        <v>0.38828654</v>
      </c>
      <c r="K100" s="255">
        <f>'[2]Izm-Atam'!K100</f>
        <v>0.38828654</v>
      </c>
      <c r="L100" s="255">
        <f>'[2]Izm-Atam'!L100</f>
        <v>0.38828654</v>
      </c>
      <c r="M100" s="255">
        <f>'[2]Izm-Atam'!M100</f>
        <v>0.38828654</v>
      </c>
      <c r="N100" s="255">
        <f>'[2]Izm-Atam'!N100</f>
        <v>0.38828654</v>
      </c>
      <c r="O100">
        <v>0.38828654</v>
      </c>
      <c r="P100">
        <v>0.38828654</v>
      </c>
      <c r="Q100">
        <v>0.38828654</v>
      </c>
      <c r="R100">
        <v>0.38828654</v>
      </c>
      <c r="S100">
        <v>0.38828654</v>
      </c>
      <c r="T100">
        <v>0.38828654</v>
      </c>
      <c r="U100">
        <v>0.38828654</v>
      </c>
      <c r="V100">
        <v>0.38828654</v>
      </c>
      <c r="W100">
        <v>0.38828654</v>
      </c>
      <c r="X100">
        <v>0.38828654</v>
      </c>
      <c r="Y100">
        <v>0.38828654</v>
      </c>
      <c r="Z100">
        <v>0.38828654</v>
      </c>
      <c r="AA100">
        <v>0.38828654</v>
      </c>
      <c r="AB100">
        <v>0.38828654</v>
      </c>
      <c r="AC100">
        <v>0.38828654</v>
      </c>
      <c r="AD100">
        <v>0.38828643</v>
      </c>
    </row>
    <row r="101" spans="2:30" ht="12.75">
      <c r="B101" s="262" t="s">
        <v>1819</v>
      </c>
      <c r="C101" s="256" t="s">
        <v>1762</v>
      </c>
      <c r="D101" s="257" t="str">
        <f>IF($A$2="e","Interest payment","Procentu maksājumi")</f>
        <v>Procentu maksājumi</v>
      </c>
      <c r="E101" s="258">
        <f>'[2]Izm-Atam'!E101</f>
        <v>0</v>
      </c>
      <c r="F101" s="258">
        <f>'[2]Izm-Atam'!F101</f>
        <v>0</v>
      </c>
      <c r="G101" s="258">
        <f>'[2]Izm-Atam'!G101</f>
        <v>0</v>
      </c>
      <c r="H101" s="258">
        <f>'[2]Izm-Atam'!H101</f>
        <v>0.25626910999999997</v>
      </c>
      <c r="I101" s="258">
        <f>'[2]Izm-Atam'!I101</f>
        <v>0.25626910999999997</v>
      </c>
      <c r="J101" s="258">
        <f>'[2]Izm-Atam'!J101</f>
        <v>0.244621</v>
      </c>
      <c r="K101" s="258">
        <f>'[2]Izm-Atam'!K101</f>
        <v>0.23297192</v>
      </c>
      <c r="L101" s="258">
        <f>'[2]Izm-Atam'!L101</f>
        <v>0.22132332</v>
      </c>
      <c r="M101" s="258">
        <f>'[2]Izm-Atam'!M101</f>
        <v>0.20967473</v>
      </c>
      <c r="N101" s="258">
        <f>'[2]Izm-Atam'!N101</f>
        <v>0.19802613</v>
      </c>
      <c r="O101">
        <v>0.18637754</v>
      </c>
      <c r="P101">
        <v>0.17472894</v>
      </c>
      <c r="Q101">
        <v>0.16308034</v>
      </c>
      <c r="R101">
        <v>0.15143175</v>
      </c>
      <c r="S101">
        <v>0.13978315</v>
      </c>
      <c r="T101">
        <v>0.12813455</v>
      </c>
      <c r="U101">
        <v>0.11648596</v>
      </c>
      <c r="V101">
        <v>0.10483736</v>
      </c>
      <c r="W101">
        <v>0.09318877</v>
      </c>
      <c r="X101">
        <v>0.08154017</v>
      </c>
      <c r="Y101">
        <v>0.06989157</v>
      </c>
      <c r="Z101">
        <v>0.05824298</v>
      </c>
      <c r="AA101">
        <v>0.04659438</v>
      </c>
      <c r="AB101">
        <v>0.03494579</v>
      </c>
      <c r="AC101">
        <v>0.02329719</v>
      </c>
      <c r="AD101">
        <v>0.0116486</v>
      </c>
    </row>
    <row r="102" spans="2:14" ht="12.75">
      <c r="B102" s="252"/>
      <c r="C102" s="253"/>
      <c r="D102" s="254" t="str">
        <f>IF($A$2="e","Disbursement","Kredīta izmaksa")</f>
        <v>Kredīta izmaksa</v>
      </c>
      <c r="E102" s="251">
        <f>'[2]Izm-Atam'!E102</f>
        <v>0</v>
      </c>
      <c r="F102" s="251">
        <f>'[2]Izm-Atam'!F102</f>
        <v>0</v>
      </c>
      <c r="G102" s="251">
        <f>'[2]Izm-Atam'!G102</f>
        <v>0</v>
      </c>
      <c r="H102" s="251">
        <f>'[2]Izm-Atam'!H102</f>
        <v>0</v>
      </c>
      <c r="I102" s="251">
        <f>'[2]Izm-Atam'!I102</f>
        <v>0</v>
      </c>
      <c r="J102" s="251">
        <f>'[2]Izm-Atam'!J102</f>
        <v>0</v>
      </c>
      <c r="K102" s="251">
        <f>'[2]Izm-Atam'!K102</f>
        <v>0</v>
      </c>
      <c r="L102" s="251">
        <f>'[2]Izm-Atam'!L102</f>
        <v>0</v>
      </c>
      <c r="M102" s="251">
        <f>'[2]Izm-Atam'!M102</f>
        <v>0</v>
      </c>
      <c r="N102" s="251">
        <f>'[2]Izm-Atam'!N102</f>
        <v>0</v>
      </c>
    </row>
    <row r="103" spans="1:20" ht="12.75">
      <c r="A103">
        <v>11</v>
      </c>
      <c r="B103" s="252" t="s">
        <v>1820</v>
      </c>
      <c r="C103" s="253" t="s">
        <v>1764</v>
      </c>
      <c r="D103" s="254" t="str">
        <f>IF($A$2="e","Repayment","Pamata maksājumi")</f>
        <v>Pamata maksājumi</v>
      </c>
      <c r="E103" s="255">
        <f>'[2]Izm-Atam'!E103</f>
        <v>0.14720898999999998</v>
      </c>
      <c r="F103" s="255">
        <f>'[2]Izm-Atam'!F103</f>
        <v>0</v>
      </c>
      <c r="G103" s="255">
        <f>'[2]Izm-Atam'!G103</f>
        <v>0.15415519</v>
      </c>
      <c r="H103" s="255">
        <f>'[2]Izm-Atam'!H103</f>
        <v>0</v>
      </c>
      <c r="I103" s="255">
        <f>'[2]Izm-Atam'!I103</f>
        <v>0.30136418</v>
      </c>
      <c r="J103" s="255">
        <f>'[2]Izm-Atam'!J103</f>
        <v>0.33649999999999997</v>
      </c>
      <c r="K103" s="255">
        <f>'[2]Izm-Atam'!K103</f>
        <v>0.33649999999999997</v>
      </c>
      <c r="L103" s="255">
        <f>'[2]Izm-Atam'!L103</f>
        <v>0.33649999999999997</v>
      </c>
      <c r="M103" s="255">
        <f>'[2]Izm-Atam'!M103</f>
        <v>0.33649999999999997</v>
      </c>
      <c r="N103" s="255">
        <f>'[2]Izm-Atam'!N103</f>
        <v>0.33649999999999997</v>
      </c>
      <c r="O103">
        <v>0.33649999999999997</v>
      </c>
      <c r="P103">
        <v>0.33649999999999997</v>
      </c>
      <c r="Q103">
        <v>0.33649999999999997</v>
      </c>
      <c r="R103">
        <v>0.33649999999999997</v>
      </c>
      <c r="S103">
        <v>0.33649999999999997</v>
      </c>
      <c r="T103">
        <v>0.13025</v>
      </c>
    </row>
    <row r="104" spans="2:20" ht="12.75">
      <c r="B104" s="252" t="s">
        <v>1765</v>
      </c>
      <c r="C104" s="253" t="s">
        <v>1821</v>
      </c>
      <c r="D104" s="254" t="str">
        <f>IF($A$2="e","Interest payment","Procentu maksājumi")</f>
        <v>Procentu maksājumi</v>
      </c>
      <c r="E104" s="258">
        <f>'[2]Izm-Atam'!E104</f>
        <v>0.07985078</v>
      </c>
      <c r="F104" s="258">
        <f>'[2]Izm-Atam'!F104</f>
        <v>0</v>
      </c>
      <c r="G104" s="258">
        <f>'[2]Izm-Atam'!G104</f>
        <v>0.08790666</v>
      </c>
      <c r="H104" s="258">
        <f>'[2]Izm-Atam'!H104</f>
        <v>0</v>
      </c>
      <c r="I104" s="258">
        <f>'[2]Izm-Atam'!I104</f>
        <v>0.16775743999999998</v>
      </c>
      <c r="J104" s="258">
        <f>'[2]Izm-Atam'!J104</f>
        <v>0.165413</v>
      </c>
      <c r="K104" s="258">
        <f>'[2]Izm-Atam'!K104</f>
        <v>0.166</v>
      </c>
      <c r="L104" s="258">
        <f>'[2]Izm-Atam'!L104</f>
        <v>0.16551645999999998</v>
      </c>
      <c r="M104" s="258">
        <f>'[2]Izm-Atam'!M104</f>
        <v>0.14621568000000001</v>
      </c>
      <c r="N104" s="258">
        <f>'[2]Izm-Atam'!N104</f>
        <v>0.12735414</v>
      </c>
      <c r="O104">
        <v>0.10849259</v>
      </c>
      <c r="P104">
        <v>0.0898636</v>
      </c>
      <c r="Q104">
        <v>0.07076953</v>
      </c>
      <c r="R104">
        <v>0.05190797</v>
      </c>
      <c r="S104">
        <v>0.033046439999999996</v>
      </c>
      <c r="T104">
        <v>0.01421075</v>
      </c>
    </row>
    <row r="105" spans="2:14" ht="12.75">
      <c r="B105" s="259"/>
      <c r="C105" s="249"/>
      <c r="D105" s="250" t="str">
        <f>IF($A$2="e","Disbursement","Kredīta izmaksa")</f>
        <v>Kredīta izmaksa</v>
      </c>
      <c r="E105" s="251">
        <f>'[2]Izm-Atam'!E105</f>
        <v>0</v>
      </c>
      <c r="F105" s="251">
        <f>'[2]Izm-Atam'!F105</f>
        <v>0</v>
      </c>
      <c r="G105" s="251">
        <f>'[2]Izm-Atam'!G105</f>
        <v>0</v>
      </c>
      <c r="H105" s="251">
        <f>'[2]Izm-Atam'!H105</f>
        <v>0</v>
      </c>
      <c r="I105" s="251">
        <f>'[2]Izm-Atam'!I105</f>
        <v>0</v>
      </c>
      <c r="J105" s="251">
        <f>'[2]Izm-Atam'!J105</f>
        <v>0</v>
      </c>
      <c r="K105" s="251">
        <f>'[2]Izm-Atam'!K105</f>
        <v>0</v>
      </c>
      <c r="L105" s="251">
        <f>'[2]Izm-Atam'!L105</f>
        <v>0</v>
      </c>
      <c r="M105" s="251">
        <f>'[2]Izm-Atam'!M105</f>
        <v>0</v>
      </c>
      <c r="N105" s="251">
        <f>'[2]Izm-Atam'!N105</f>
        <v>0</v>
      </c>
    </row>
    <row r="106" spans="1:14" ht="12.75">
      <c r="A106" t="s">
        <v>1822</v>
      </c>
      <c r="B106" s="252" t="s">
        <v>1763</v>
      </c>
      <c r="C106" s="253" t="s">
        <v>1764</v>
      </c>
      <c r="D106" s="254" t="str">
        <f>IF($A$2="e","Repayment","Pamata maksājumi")</f>
        <v>Pamata maksājumi</v>
      </c>
      <c r="E106" s="255">
        <f>'[2]Izm-Atam'!E106</f>
        <v>0.415</v>
      </c>
      <c r="F106" s="255">
        <f>'[2]Izm-Atam'!F106</f>
        <v>0.78664214</v>
      </c>
      <c r="G106" s="255">
        <f>'[2]Izm-Atam'!G106</f>
        <v>0.415</v>
      </c>
      <c r="H106" s="255">
        <f>'[2]Izm-Atam'!H106</f>
        <v>0.78664214</v>
      </c>
      <c r="I106" s="255">
        <f>'[2]Izm-Atam'!I106</f>
        <v>2.40328428</v>
      </c>
      <c r="J106" s="255">
        <f>'[2]Izm-Atam'!J106</f>
        <v>2.5</v>
      </c>
      <c r="K106" s="255">
        <f>'[2]Izm-Atam'!K106</f>
        <v>2.5</v>
      </c>
      <c r="L106" s="255">
        <f>'[2]Izm-Atam'!L106</f>
        <v>2.5</v>
      </c>
      <c r="M106" s="255">
        <f>'[2]Izm-Atam'!M106</f>
        <v>2.5</v>
      </c>
      <c r="N106" s="255">
        <f>'[2]Izm-Atam'!N106</f>
        <v>2.5</v>
      </c>
    </row>
    <row r="107" spans="2:14" ht="12.75">
      <c r="B107" s="262" t="s">
        <v>1765</v>
      </c>
      <c r="C107" s="256" t="s">
        <v>1823</v>
      </c>
      <c r="D107" s="257" t="str">
        <f>IF($A$2="e","Interest payment","Procentu maksājumi")</f>
        <v>Procentu maksājumi</v>
      </c>
      <c r="E107" s="258">
        <f>'[2]Izm-Atam'!E107</f>
        <v>0</v>
      </c>
      <c r="F107" s="258">
        <f>'[2]Izm-Atam'!F107</f>
        <v>0.49264302000000004</v>
      </c>
      <c r="G107" s="258">
        <f>'[2]Izm-Atam'!G107</f>
        <v>0.25750644</v>
      </c>
      <c r="H107" s="258">
        <f>'[2]Izm-Atam'!H107</f>
        <v>0.47295162</v>
      </c>
      <c r="I107" s="258">
        <f>'[2]Izm-Atam'!I107</f>
        <v>1.2231010800000002</v>
      </c>
      <c r="J107" s="258">
        <f>'[2]Izm-Atam'!J107</f>
        <v>1.358584</v>
      </c>
      <c r="K107" s="258">
        <f>'[2]Izm-Atam'!K107</f>
        <v>1.24</v>
      </c>
      <c r="L107" s="258">
        <f>'[2]Izm-Atam'!L107</f>
        <v>1.24</v>
      </c>
      <c r="M107" s="258">
        <f>'[2]Izm-Atam'!M107</f>
        <v>1.2</v>
      </c>
      <c r="N107" s="258">
        <f>'[2]Izm-Atam'!N107</f>
        <v>1.04</v>
      </c>
    </row>
    <row r="108" spans="2:14" ht="12.75">
      <c r="B108" s="252"/>
      <c r="C108" s="253"/>
      <c r="D108" s="254" t="str">
        <f>IF($A$2="e","Disbursement","Kredīta izmaksa")</f>
        <v>Kredīta izmaksa</v>
      </c>
      <c r="E108" s="251">
        <f>'[2]Izm-Atam'!E108</f>
        <v>0</v>
      </c>
      <c r="F108" s="251">
        <f>'[2]Izm-Atam'!F108</f>
        <v>0</v>
      </c>
      <c r="G108" s="251">
        <f>'[2]Izm-Atam'!G108</f>
        <v>0</v>
      </c>
      <c r="H108" s="251">
        <f>'[2]Izm-Atam'!H108</f>
        <v>0</v>
      </c>
      <c r="I108" s="251">
        <f>'[2]Izm-Atam'!I108</f>
        <v>0</v>
      </c>
      <c r="J108" s="251">
        <f>'[2]Izm-Atam'!J108</f>
        <v>0</v>
      </c>
      <c r="K108" s="251">
        <f>'[2]Izm-Atam'!K108</f>
        <v>0</v>
      </c>
      <c r="L108" s="251">
        <f>'[2]Izm-Atam'!L108</f>
        <v>0</v>
      </c>
      <c r="M108" s="251">
        <f>'[2]Izm-Atam'!M108</f>
        <v>0</v>
      </c>
      <c r="N108" s="251">
        <f>'[2]Izm-Atam'!N108</f>
        <v>0</v>
      </c>
    </row>
    <row r="109" spans="1:17" ht="12.75">
      <c r="A109">
        <v>15</v>
      </c>
      <c r="B109" s="252" t="s">
        <v>1824</v>
      </c>
      <c r="C109" s="253" t="s">
        <v>1825</v>
      </c>
      <c r="D109" s="254" t="str">
        <f>IF($A$2="e","Repayment","Pamata maksājumi")</f>
        <v>Pamata maksājumi</v>
      </c>
      <c r="E109" s="255">
        <f>'[2]Izm-Atam'!E109</f>
        <v>0.41443268</v>
      </c>
      <c r="F109" s="255">
        <f>'[2]Izm-Atam'!F109</f>
        <v>0</v>
      </c>
      <c r="G109" s="255">
        <f>'[2]Izm-Atam'!G109</f>
        <v>0.41443268</v>
      </c>
      <c r="H109" s="255">
        <f>'[2]Izm-Atam'!H109</f>
        <v>0</v>
      </c>
      <c r="I109" s="255">
        <f>'[2]Izm-Atam'!I109</f>
        <v>0.82886536</v>
      </c>
      <c r="J109" s="255">
        <f>'[2]Izm-Atam'!J109</f>
        <v>0.87</v>
      </c>
      <c r="K109" s="255">
        <f>'[2]Izm-Atam'!K109</f>
        <v>0.87</v>
      </c>
      <c r="L109" s="255">
        <f>'[2]Izm-Atam'!L109</f>
        <v>0.866</v>
      </c>
      <c r="M109" s="255">
        <f>'[2]Izm-Atam'!M109</f>
        <v>0.866</v>
      </c>
      <c r="N109" s="255">
        <f>'[2]Izm-Atam'!N109</f>
        <v>0.866</v>
      </c>
      <c r="O109">
        <v>0.866</v>
      </c>
      <c r="P109">
        <v>0.866</v>
      </c>
      <c r="Q109">
        <v>0.874</v>
      </c>
    </row>
    <row r="110" spans="2:17" ht="12.75">
      <c r="B110" s="252" t="s">
        <v>1826</v>
      </c>
      <c r="C110" s="256" t="s">
        <v>1827</v>
      </c>
      <c r="D110" s="257" t="str">
        <f>IF($A$2="e","Interest payment","Procentu maksājumi")</f>
        <v>Procentu maksājumi</v>
      </c>
      <c r="E110" s="258">
        <f>'[2]Izm-Atam'!E110</f>
        <v>0.29729743</v>
      </c>
      <c r="F110" s="258">
        <f>'[2]Izm-Atam'!F110</f>
        <v>0</v>
      </c>
      <c r="G110" s="258">
        <f>'[2]Izm-Atam'!G110</f>
        <v>0.25933685</v>
      </c>
      <c r="H110" s="258">
        <f>'[2]Izm-Atam'!H110</f>
        <v>0</v>
      </c>
      <c r="I110" s="258">
        <f>'[2]Izm-Atam'!I110</f>
        <v>0.5566342799999999</v>
      </c>
      <c r="J110" s="258">
        <f>'[2]Izm-Atam'!J110</f>
        <v>0.476954</v>
      </c>
      <c r="K110" s="258">
        <f>'[2]Izm-Atam'!K110</f>
        <v>0.34371916</v>
      </c>
      <c r="L110" s="258">
        <f>'[2]Izm-Atam'!L110</f>
        <v>0.29358037000000003</v>
      </c>
      <c r="M110" s="258">
        <f>'[2]Izm-Atam'!M110</f>
        <v>0.24323238000000003</v>
      </c>
      <c r="N110" s="258">
        <f>'[2]Izm-Atam'!N110</f>
        <v>0.19037397</v>
      </c>
      <c r="O110">
        <v>0.13967732</v>
      </c>
      <c r="P110">
        <v>0.08939905</v>
      </c>
      <c r="Q110">
        <v>0.038284</v>
      </c>
    </row>
    <row r="111" spans="2:14" ht="12.75">
      <c r="B111" s="259"/>
      <c r="C111" s="249"/>
      <c r="D111" s="250" t="str">
        <f>IF($A$2="e","Disbursement","Kredīta izmaksa")</f>
        <v>Kredīta izmaksa</v>
      </c>
      <c r="E111" s="251">
        <f>'[2]Izm-Atam'!E111</f>
        <v>0</v>
      </c>
      <c r="F111" s="251">
        <f>'[2]Izm-Atam'!F111</f>
        <v>0</v>
      </c>
      <c r="G111" s="251">
        <f>'[2]Izm-Atam'!G111</f>
        <v>0</v>
      </c>
      <c r="H111" s="251">
        <f>'[2]Izm-Atam'!H111</f>
        <v>0</v>
      </c>
      <c r="I111" s="251">
        <f>'[2]Izm-Atam'!I111</f>
        <v>0</v>
      </c>
      <c r="J111" s="251">
        <f>'[2]Izm-Atam'!J111</f>
        <v>0</v>
      </c>
      <c r="K111" s="251">
        <f>'[2]Izm-Atam'!K111</f>
        <v>0</v>
      </c>
      <c r="L111" s="251">
        <f>'[2]Izm-Atam'!L111</f>
        <v>0</v>
      </c>
      <c r="M111" s="251">
        <f>'[2]Izm-Atam'!M111</f>
        <v>0</v>
      </c>
      <c r="N111" s="251">
        <f>'[2]Izm-Atam'!N111</f>
        <v>0</v>
      </c>
    </row>
    <row r="112" spans="1:20" ht="12.75">
      <c r="A112">
        <v>19</v>
      </c>
      <c r="B112" s="252" t="s">
        <v>1828</v>
      </c>
      <c r="C112" s="253" t="s">
        <v>1815</v>
      </c>
      <c r="D112" s="254" t="str">
        <f>IF($A$2="e","Repayment","Pamata maksājumi")</f>
        <v>Pamata maksājumi</v>
      </c>
      <c r="E112" s="255">
        <f>'[2]Izm-Atam'!E112</f>
        <v>0</v>
      </c>
      <c r="F112" s="255">
        <f>'[2]Izm-Atam'!F112</f>
        <v>0.57024474</v>
      </c>
      <c r="G112" s="255">
        <f>'[2]Izm-Atam'!G112</f>
        <v>0</v>
      </c>
      <c r="H112" s="255">
        <f>'[2]Izm-Atam'!H112</f>
        <v>0.57024474</v>
      </c>
      <c r="I112" s="255">
        <f>'[2]Izm-Atam'!I112</f>
        <v>1.14048948</v>
      </c>
      <c r="J112" s="255">
        <f>'[2]Izm-Atam'!J112</f>
        <v>1.17</v>
      </c>
      <c r="K112" s="255">
        <f>'[2]Izm-Atam'!K112</f>
        <v>1.17</v>
      </c>
      <c r="L112" s="255">
        <f>'[2]Izm-Atam'!L112</f>
        <v>1.17</v>
      </c>
      <c r="M112" s="255">
        <f>'[2]Izm-Atam'!M112</f>
        <v>1.17</v>
      </c>
      <c r="N112" s="255">
        <f>'[2]Izm-Atam'!N112</f>
        <v>1.17</v>
      </c>
      <c r="O112">
        <v>1.17</v>
      </c>
      <c r="P112">
        <v>1.17</v>
      </c>
      <c r="Q112">
        <v>1.17</v>
      </c>
      <c r="R112">
        <v>1.17</v>
      </c>
      <c r="S112">
        <v>1.17</v>
      </c>
      <c r="T112">
        <v>0.545</v>
      </c>
    </row>
    <row r="113" spans="2:20" ht="12.75">
      <c r="B113" s="262" t="s">
        <v>1765</v>
      </c>
      <c r="C113" s="256" t="s">
        <v>1829</v>
      </c>
      <c r="D113" s="257" t="str">
        <f>IF($A$2="e","Interest payment","Procentu maksājumi")</f>
        <v>Procentu maksājumi</v>
      </c>
      <c r="E113" s="258">
        <f>'[2]Izm-Atam'!E113</f>
        <v>0</v>
      </c>
      <c r="F113" s="258">
        <f>'[2]Izm-Atam'!F113</f>
        <v>0.27402487</v>
      </c>
      <c r="G113" s="258">
        <f>'[2]Izm-Atam'!G113</f>
        <v>0</v>
      </c>
      <c r="H113" s="258">
        <f>'[2]Izm-Atam'!H113</f>
        <v>0.36538715000000005</v>
      </c>
      <c r="I113" s="258">
        <f>'[2]Izm-Atam'!I113</f>
        <v>0.63941202</v>
      </c>
      <c r="J113" s="258">
        <f>'[2]Izm-Atam'!J113</f>
        <v>0.675729</v>
      </c>
      <c r="K113" s="258">
        <f>'[2]Izm-Atam'!K113</f>
        <v>0.667858</v>
      </c>
      <c r="L113" s="258">
        <f>'[2]Izm-Atam'!L113</f>
        <v>0.59553096</v>
      </c>
      <c r="M113" s="258">
        <f>'[2]Izm-Atam'!M113</f>
        <v>0.52229666</v>
      </c>
      <c r="N113" s="258">
        <f>'[2]Izm-Atam'!N113</f>
        <v>0.44988648</v>
      </c>
      <c r="O113">
        <v>0.37722933000000003</v>
      </c>
      <c r="P113">
        <v>0.30476966</v>
      </c>
      <c r="Q113">
        <v>0.23180077999999998</v>
      </c>
      <c r="R113">
        <v>0.15925787000000002</v>
      </c>
      <c r="S113">
        <v>0.08660071</v>
      </c>
      <c r="T113">
        <v>0.01605518</v>
      </c>
    </row>
    <row r="114" spans="2:14" ht="12.75">
      <c r="B114" s="252"/>
      <c r="C114" s="253"/>
      <c r="D114" s="254" t="str">
        <f>IF($A$2="e","Disbursement","Kredīta izmaksa")</f>
        <v>Kredīta izmaksa</v>
      </c>
      <c r="E114" s="251">
        <f>'[2]Izm-Atam'!E114</f>
        <v>0</v>
      </c>
      <c r="F114" s="251">
        <f>'[2]Izm-Atam'!F114</f>
        <v>0</v>
      </c>
      <c r="G114" s="251">
        <f>'[2]Izm-Atam'!G114</f>
        <v>0</v>
      </c>
      <c r="H114" s="251">
        <f>'[2]Izm-Atam'!H114</f>
        <v>0</v>
      </c>
      <c r="I114" s="251">
        <f>'[2]Izm-Atam'!I114</f>
        <v>0</v>
      </c>
      <c r="J114" s="251">
        <f>'[2]Izm-Atam'!J114</f>
        <v>0</v>
      </c>
      <c r="K114" s="251">
        <f>'[2]Izm-Atam'!K114</f>
        <v>0</v>
      </c>
      <c r="L114" s="251">
        <f>'[2]Izm-Atam'!L114</f>
        <v>0</v>
      </c>
      <c r="M114" s="251">
        <f>'[2]Izm-Atam'!M114</f>
        <v>0</v>
      </c>
      <c r="N114" s="251">
        <f>'[2]Izm-Atam'!N114</f>
        <v>0</v>
      </c>
    </row>
    <row r="115" spans="1:14" ht="12.75">
      <c r="A115">
        <v>20</v>
      </c>
      <c r="B115" s="252" t="s">
        <v>1830</v>
      </c>
      <c r="C115" s="253" t="s">
        <v>1831</v>
      </c>
      <c r="D115" s="254" t="str">
        <f>IF($A$2="e","Repayment","Pamata maksājumi")</f>
        <v>Pamata maksājumi</v>
      </c>
      <c r="E115" s="255">
        <f>'[2]Izm-Atam'!E115</f>
        <v>0.14304896</v>
      </c>
      <c r="F115" s="255">
        <f>'[2]Izm-Atam'!F115</f>
        <v>0</v>
      </c>
      <c r="G115" s="255">
        <f>'[2]Izm-Atam'!G115</f>
        <v>0.14304896</v>
      </c>
      <c r="H115" s="255">
        <f>'[2]Izm-Atam'!H115</f>
        <v>0</v>
      </c>
      <c r="I115" s="255">
        <f>'[2]Izm-Atam'!I115</f>
        <v>0.28609792</v>
      </c>
      <c r="J115" s="255">
        <f>'[2]Izm-Atam'!J115</f>
        <v>0.29</v>
      </c>
      <c r="K115" s="255">
        <f>'[2]Izm-Atam'!K115</f>
        <v>0.29</v>
      </c>
      <c r="L115" s="255">
        <f>'[2]Izm-Atam'!L115</f>
        <v>0.28609792</v>
      </c>
      <c r="M115" s="255">
        <f>'[2]Izm-Atam'!M115</f>
        <v>0.28609792</v>
      </c>
      <c r="N115" s="255">
        <f>'[2]Izm-Atam'!N115</f>
        <v>0.28609792</v>
      </c>
    </row>
    <row r="116" spans="2:14" ht="12.75">
      <c r="B116" s="252" t="s">
        <v>1832</v>
      </c>
      <c r="C116" s="253" t="s">
        <v>1827</v>
      </c>
      <c r="D116" s="254" t="str">
        <f>IF($A$2="e","Interest payment","Procentu maksājumi")</f>
        <v>Procentu maksājumi</v>
      </c>
      <c r="E116" s="258">
        <f>'[2]Izm-Atam'!E116</f>
        <v>0</v>
      </c>
      <c r="F116" s="258">
        <f>'[2]Izm-Atam'!F116</f>
        <v>0</v>
      </c>
      <c r="G116" s="258">
        <f>'[2]Izm-Atam'!G116</f>
        <v>0</v>
      </c>
      <c r="H116" s="258">
        <f>'[2]Izm-Atam'!H116</f>
        <v>0</v>
      </c>
      <c r="I116" s="258">
        <f>'[2]Izm-Atam'!I116</f>
        <v>0</v>
      </c>
      <c r="J116" s="258">
        <f>'[2]Izm-Atam'!J116</f>
        <v>0</v>
      </c>
      <c r="K116" s="258">
        <f>'[2]Izm-Atam'!K116</f>
        <v>0</v>
      </c>
      <c r="L116" s="258">
        <f>'[2]Izm-Atam'!L116</f>
        <v>0</v>
      </c>
      <c r="M116" s="258">
        <f>'[2]Izm-Atam'!M116</f>
        <v>0</v>
      </c>
      <c r="N116" s="258">
        <f>'[2]Izm-Atam'!N116</f>
        <v>0</v>
      </c>
    </row>
    <row r="117" spans="2:14" ht="12.75">
      <c r="B117" s="259"/>
      <c r="C117" s="249"/>
      <c r="D117" s="250" t="str">
        <f>IF($A$2="e","Disbursement","Kredīta izmaksa")</f>
        <v>Kredīta izmaksa</v>
      </c>
      <c r="E117" s="251">
        <f>'[2]Izm-Atam'!E117</f>
        <v>0</v>
      </c>
      <c r="F117" s="251">
        <f>'[2]Izm-Atam'!F117</f>
        <v>0</v>
      </c>
      <c r="G117" s="251">
        <f>'[2]Izm-Atam'!G117</f>
        <v>0</v>
      </c>
      <c r="H117" s="251">
        <f>'[2]Izm-Atam'!H117</f>
        <v>0</v>
      </c>
      <c r="I117" s="251">
        <f>'[2]Izm-Atam'!I117</f>
        <v>0</v>
      </c>
      <c r="J117" s="251">
        <f>'[2]Izm-Atam'!J117</f>
        <v>0</v>
      </c>
      <c r="K117" s="251">
        <f>'[2]Izm-Atam'!K117</f>
        <v>0</v>
      </c>
      <c r="L117" s="251">
        <f>'[2]Izm-Atam'!L117</f>
        <v>0</v>
      </c>
      <c r="M117" s="251">
        <f>'[2]Izm-Atam'!M117</f>
        <v>0</v>
      </c>
      <c r="N117" s="251">
        <f>'[2]Izm-Atam'!N117</f>
        <v>0</v>
      </c>
    </row>
    <row r="118" spans="1:15" ht="12.75">
      <c r="A118">
        <v>21</v>
      </c>
      <c r="B118" s="252" t="s">
        <v>1833</v>
      </c>
      <c r="C118" s="253" t="s">
        <v>1831</v>
      </c>
      <c r="D118" s="254" t="str">
        <f>IF($A$2="e","Repayment","Pamata maksājumi")</f>
        <v>Pamata maksājumi</v>
      </c>
      <c r="E118" s="255">
        <f>'[2]Izm-Atam'!E118</f>
        <v>0</v>
      </c>
      <c r="F118" s="255">
        <f>'[2]Izm-Atam'!F118</f>
        <v>0.02990691</v>
      </c>
      <c r="G118" s="255">
        <f>'[2]Izm-Atam'!G118</f>
        <v>0</v>
      </c>
      <c r="H118" s="255">
        <f>'[2]Izm-Atam'!H118</f>
        <v>0.02990691</v>
      </c>
      <c r="I118" s="255">
        <f>'[2]Izm-Atam'!I118</f>
        <v>0.05981382</v>
      </c>
      <c r="J118" s="255">
        <f>'[2]Izm-Atam'!J118</f>
        <v>0.05981382</v>
      </c>
      <c r="K118" s="255">
        <f>'[2]Izm-Atam'!K118</f>
        <v>0.05981382</v>
      </c>
      <c r="L118" s="255">
        <f>'[2]Izm-Atam'!L118</f>
        <v>0.05981382</v>
      </c>
      <c r="M118" s="255">
        <f>'[2]Izm-Atam'!M118</f>
        <v>0.05981382</v>
      </c>
      <c r="N118" s="255">
        <f>'[2]Izm-Atam'!N118</f>
        <v>0.05981382</v>
      </c>
      <c r="O118">
        <v>0.02990691</v>
      </c>
    </row>
    <row r="119" spans="2:14" ht="12.75">
      <c r="B119" s="262" t="s">
        <v>1832</v>
      </c>
      <c r="C119" s="256" t="s">
        <v>1834</v>
      </c>
      <c r="D119" s="257" t="str">
        <f>IF($A$2="e","Interest payment","Procentu maksājumi")</f>
        <v>Procentu maksājumi</v>
      </c>
      <c r="E119" s="258">
        <f>'[2]Izm-Atam'!E119</f>
        <v>0</v>
      </c>
      <c r="F119" s="258">
        <f>'[2]Izm-Atam'!F119</f>
        <v>0</v>
      </c>
      <c r="G119" s="258">
        <f>'[2]Izm-Atam'!G119</f>
        <v>0</v>
      </c>
      <c r="H119" s="258">
        <f>'[2]Izm-Atam'!H119</f>
        <v>0</v>
      </c>
      <c r="I119" s="258">
        <f>'[2]Izm-Atam'!I119</f>
        <v>0</v>
      </c>
      <c r="J119" s="258">
        <f>'[2]Izm-Atam'!J119</f>
        <v>0</v>
      </c>
      <c r="K119" s="258">
        <f>'[2]Izm-Atam'!K119</f>
        <v>0</v>
      </c>
      <c r="L119" s="258">
        <f>'[2]Izm-Atam'!L119</f>
        <v>0</v>
      </c>
      <c r="M119" s="258">
        <f>'[2]Izm-Atam'!M119</f>
        <v>0</v>
      </c>
      <c r="N119" s="258">
        <f>'[2]Izm-Atam'!N119</f>
        <v>0</v>
      </c>
    </row>
    <row r="120" spans="2:14" ht="12.75">
      <c r="B120" s="252"/>
      <c r="C120" s="253"/>
      <c r="D120" s="254" t="str">
        <f>IF($A$2="e","Disbursement","Kredīta izmaksa")</f>
        <v>Kredīta izmaksa</v>
      </c>
      <c r="E120" s="251">
        <f>'[2]Izm-Atam'!E120</f>
        <v>0</v>
      </c>
      <c r="F120" s="251">
        <f>'[2]Izm-Atam'!F120</f>
        <v>0</v>
      </c>
      <c r="G120" s="251">
        <f>'[2]Izm-Atam'!G120</f>
        <v>0</v>
      </c>
      <c r="H120" s="251">
        <f>'[2]Izm-Atam'!H120</f>
        <v>0</v>
      </c>
      <c r="I120" s="251">
        <f>'[2]Izm-Atam'!I120</f>
        <v>0</v>
      </c>
      <c r="J120" s="251">
        <f>'[2]Izm-Atam'!J120</f>
        <v>0</v>
      </c>
      <c r="K120" s="251">
        <f>'[2]Izm-Atam'!K120</f>
        <v>0</v>
      </c>
      <c r="L120" s="251">
        <f>'[2]Izm-Atam'!L120</f>
        <v>0</v>
      </c>
      <c r="M120" s="251">
        <f>'[2]Izm-Atam'!M120</f>
        <v>0</v>
      </c>
      <c r="N120" s="251">
        <f>'[2]Izm-Atam'!N120</f>
        <v>0</v>
      </c>
    </row>
    <row r="121" spans="1:14" ht="12.75">
      <c r="A121">
        <v>22</v>
      </c>
      <c r="B121" s="252" t="s">
        <v>1835</v>
      </c>
      <c r="C121" s="253" t="s">
        <v>1831</v>
      </c>
      <c r="D121" s="254" t="str">
        <f>IF($A$2="e","Repayment","Pamata maksājumi")</f>
        <v>Pamata maksājumi</v>
      </c>
      <c r="E121" s="255">
        <f>'[2]Izm-Atam'!E121</f>
        <v>0.02865397</v>
      </c>
      <c r="F121" s="255">
        <f>'[2]Izm-Atam'!F121</f>
        <v>0</v>
      </c>
      <c r="G121" s="255">
        <f>'[2]Izm-Atam'!G121</f>
        <v>0.02865397</v>
      </c>
      <c r="H121" s="255">
        <f>'[2]Izm-Atam'!H121</f>
        <v>0</v>
      </c>
      <c r="I121" s="255">
        <f>'[2]Izm-Atam'!I121</f>
        <v>0.05730794</v>
      </c>
      <c r="J121" s="255">
        <f>'[2]Izm-Atam'!J121</f>
        <v>0.06</v>
      </c>
      <c r="K121" s="255">
        <f>'[2]Izm-Atam'!K121</f>
        <v>0.06</v>
      </c>
      <c r="L121" s="255">
        <f>'[2]Izm-Atam'!L121</f>
        <v>0.05730794</v>
      </c>
      <c r="M121" s="255">
        <f>'[2]Izm-Atam'!M121</f>
        <v>0.05730794</v>
      </c>
      <c r="N121" s="255">
        <f>'[2]Izm-Atam'!N121</f>
        <v>0.05730794</v>
      </c>
    </row>
    <row r="122" spans="2:14" ht="12.75">
      <c r="B122" s="262" t="s">
        <v>1832</v>
      </c>
      <c r="C122" s="256" t="s">
        <v>1836</v>
      </c>
      <c r="D122" s="257" t="str">
        <f>IF($A$2="e","Interest payment","Procentu maksājumi")</f>
        <v>Procentu maksājumi</v>
      </c>
      <c r="E122" s="258">
        <f>'[2]Izm-Atam'!E122</f>
        <v>0</v>
      </c>
      <c r="F122" s="258">
        <f>'[2]Izm-Atam'!F122</f>
        <v>0</v>
      </c>
      <c r="G122" s="258">
        <f>'[2]Izm-Atam'!G122</f>
        <v>0</v>
      </c>
      <c r="H122" s="258">
        <f>'[2]Izm-Atam'!H122</f>
        <v>0</v>
      </c>
      <c r="I122" s="258">
        <f>'[2]Izm-Atam'!I122</f>
        <v>0</v>
      </c>
      <c r="J122" s="258">
        <f>'[2]Izm-Atam'!J122</f>
        <v>0</v>
      </c>
      <c r="K122" s="258">
        <f>'[2]Izm-Atam'!K122</f>
        <v>0</v>
      </c>
      <c r="L122" s="258">
        <f>'[2]Izm-Atam'!L122</f>
        <v>0</v>
      </c>
      <c r="M122" s="258">
        <f>'[2]Izm-Atam'!M122</f>
        <v>0</v>
      </c>
      <c r="N122" s="258">
        <f>'[2]Izm-Atam'!N122</f>
        <v>0</v>
      </c>
    </row>
    <row r="123" spans="2:14" ht="12.75">
      <c r="B123" s="259"/>
      <c r="C123" s="249"/>
      <c r="D123" s="250" t="str">
        <f>IF($A$2="e","Disbursement","Kredīta izmaksa")</f>
        <v>Kredīta izmaksa</v>
      </c>
      <c r="E123" s="251">
        <f>'[2]Izm-Atam'!E123</f>
        <v>0</v>
      </c>
      <c r="F123" s="251">
        <f>'[2]Izm-Atam'!F123</f>
        <v>0</v>
      </c>
      <c r="G123" s="251">
        <f>'[2]Izm-Atam'!G123</f>
        <v>0</v>
      </c>
      <c r="H123" s="251">
        <f>'[2]Izm-Atam'!H123</f>
        <v>0</v>
      </c>
      <c r="I123" s="251">
        <f>'[2]Izm-Atam'!I123</f>
        <v>0</v>
      </c>
      <c r="J123" s="251">
        <f>'[2]Izm-Atam'!J123</f>
        <v>0</v>
      </c>
      <c r="K123" s="251">
        <f>'[2]Izm-Atam'!K123</f>
        <v>0</v>
      </c>
      <c r="L123" s="251">
        <f>'[2]Izm-Atam'!L123</f>
        <v>0</v>
      </c>
      <c r="M123" s="251">
        <f>'[2]Izm-Atam'!M123</f>
        <v>0</v>
      </c>
      <c r="N123" s="251">
        <f>'[2]Izm-Atam'!N123</f>
        <v>0</v>
      </c>
    </row>
    <row r="124" spans="1:14" ht="12.75">
      <c r="A124">
        <v>23</v>
      </c>
      <c r="B124" s="252" t="s">
        <v>1837</v>
      </c>
      <c r="C124" s="253" t="s">
        <v>1831</v>
      </c>
      <c r="D124" s="254" t="str">
        <f>IF($A$2="e","Repayment","Pamata maksājumi")</f>
        <v>Pamata maksājumi</v>
      </c>
      <c r="E124" s="255">
        <f>'[2]Izm-Atam'!E124</f>
        <v>0.16261719</v>
      </c>
      <c r="F124" s="255">
        <f>'[2]Izm-Atam'!F124</f>
        <v>0</v>
      </c>
      <c r="G124" s="255">
        <f>'[2]Izm-Atam'!G124</f>
        <v>0.16261719</v>
      </c>
      <c r="H124" s="255">
        <f>'[2]Izm-Atam'!H124</f>
        <v>0</v>
      </c>
      <c r="I124" s="255">
        <f>'[2]Izm-Atam'!I124</f>
        <v>0.32523438</v>
      </c>
      <c r="J124" s="255">
        <f>'[2]Izm-Atam'!J124</f>
        <v>0.32523438</v>
      </c>
      <c r="K124" s="255">
        <f>'[2]Izm-Atam'!K124</f>
        <v>0.32523438</v>
      </c>
      <c r="L124" s="255">
        <f>'[2]Izm-Atam'!L124</f>
        <v>0.32523438</v>
      </c>
      <c r="M124" s="255">
        <f>'[2]Izm-Atam'!M124</f>
        <v>0.32523438</v>
      </c>
      <c r="N124" s="255">
        <f>'[2]Izm-Atam'!N124</f>
        <v>0.32523438</v>
      </c>
    </row>
    <row r="125" spans="2:14" ht="12.75">
      <c r="B125" s="262" t="s">
        <v>1832</v>
      </c>
      <c r="C125" s="256" t="s">
        <v>1838</v>
      </c>
      <c r="D125" s="257" t="str">
        <f>IF($A$2="e","Interest payment","Procentu maksājumi")</f>
        <v>Procentu maksājumi</v>
      </c>
      <c r="E125" s="258">
        <f>'[2]Izm-Atam'!E125</f>
        <v>0</v>
      </c>
      <c r="F125" s="258">
        <f>'[2]Izm-Atam'!F125</f>
        <v>0</v>
      </c>
      <c r="G125" s="258">
        <f>'[2]Izm-Atam'!G125</f>
        <v>0</v>
      </c>
      <c r="H125" s="258">
        <f>'[2]Izm-Atam'!H125</f>
        <v>0</v>
      </c>
      <c r="I125" s="258">
        <f>'[2]Izm-Atam'!I125</f>
        <v>0</v>
      </c>
      <c r="J125" s="258">
        <f>'[2]Izm-Atam'!J125</f>
        <v>0</v>
      </c>
      <c r="K125" s="258">
        <f>'[2]Izm-Atam'!K125</f>
        <v>0</v>
      </c>
      <c r="L125" s="258">
        <f>'[2]Izm-Atam'!L125</f>
        <v>0</v>
      </c>
      <c r="M125" s="258">
        <f>'[2]Izm-Atam'!M125</f>
        <v>0</v>
      </c>
      <c r="N125" s="258">
        <f>'[2]Izm-Atam'!N125</f>
        <v>0</v>
      </c>
    </row>
    <row r="126" spans="2:14" ht="12.75">
      <c r="B126" s="252"/>
      <c r="C126" s="253"/>
      <c r="D126" s="254" t="str">
        <f>IF($A$2="e","Disbursement","Kredīta izmaksa")</f>
        <v>Kredīta izmaksa</v>
      </c>
      <c r="E126" s="251">
        <f>'[2]Izm-Atam'!E126</f>
        <v>0</v>
      </c>
      <c r="F126" s="251">
        <f>'[2]Izm-Atam'!F126</f>
        <v>0</v>
      </c>
      <c r="G126" s="251">
        <f>'[2]Izm-Atam'!G126</f>
        <v>0</v>
      </c>
      <c r="H126" s="251">
        <f>'[2]Izm-Atam'!H126</f>
        <v>0</v>
      </c>
      <c r="I126" s="251">
        <f>'[2]Izm-Atam'!I126</f>
        <v>0</v>
      </c>
      <c r="J126" s="251">
        <f>'[2]Izm-Atam'!J126</f>
        <v>0</v>
      </c>
      <c r="K126" s="251">
        <f>'[2]Izm-Atam'!K126</f>
        <v>0</v>
      </c>
      <c r="L126" s="251">
        <f>'[2]Izm-Atam'!L126</f>
        <v>0</v>
      </c>
      <c r="M126" s="251">
        <f>'[2]Izm-Atam'!M126</f>
        <v>0</v>
      </c>
      <c r="N126" s="251">
        <f>'[2]Izm-Atam'!N126</f>
        <v>0</v>
      </c>
    </row>
    <row r="127" spans="1:14" ht="12.75">
      <c r="A127">
        <v>24</v>
      </c>
      <c r="B127" s="252" t="s">
        <v>1839</v>
      </c>
      <c r="C127" s="253" t="s">
        <v>1831</v>
      </c>
      <c r="D127" s="254" t="str">
        <f>IF($A$2="e","Repayment","Pamata maksājumi")</f>
        <v>Pamata maksājumi</v>
      </c>
      <c r="E127" s="255">
        <f>'[2]Izm-Atam'!E127</f>
        <v>0.00457747</v>
      </c>
      <c r="F127" s="255">
        <f>'[2]Izm-Atam'!F127</f>
        <v>0</v>
      </c>
      <c r="G127" s="255">
        <f>'[2]Izm-Atam'!G127</f>
        <v>0.00457747</v>
      </c>
      <c r="H127" s="255">
        <f>'[2]Izm-Atam'!H127</f>
        <v>0</v>
      </c>
      <c r="I127" s="255">
        <f>'[2]Izm-Atam'!I127</f>
        <v>0.00915494</v>
      </c>
      <c r="J127" s="255">
        <f>'[2]Izm-Atam'!J127</f>
        <v>0.01</v>
      </c>
      <c r="K127" s="255">
        <f>'[2]Izm-Atam'!K127</f>
        <v>0.01</v>
      </c>
      <c r="L127" s="255">
        <f>'[2]Izm-Atam'!L127</f>
        <v>0.00915494</v>
      </c>
      <c r="M127" s="255">
        <f>'[2]Izm-Atam'!M127</f>
        <v>0.00915494</v>
      </c>
      <c r="N127" s="255">
        <f>'[2]Izm-Atam'!N127</f>
        <v>0.00915494</v>
      </c>
    </row>
    <row r="128" spans="2:14" ht="12.75">
      <c r="B128" s="252" t="s">
        <v>1832</v>
      </c>
      <c r="C128" s="253" t="s">
        <v>1840</v>
      </c>
      <c r="D128" s="254" t="str">
        <f>IF($A$2="e","Interest payment","Procentu maksājumi")</f>
        <v>Procentu maksājumi</v>
      </c>
      <c r="E128" s="258">
        <f>'[2]Izm-Atam'!E128</f>
        <v>0</v>
      </c>
      <c r="F128" s="258">
        <f>'[2]Izm-Atam'!F128</f>
        <v>0</v>
      </c>
      <c r="G128" s="258">
        <f>'[2]Izm-Atam'!G128</f>
        <v>0</v>
      </c>
      <c r="H128" s="258">
        <f>'[2]Izm-Atam'!H128</f>
        <v>0</v>
      </c>
      <c r="I128" s="258">
        <f>'[2]Izm-Atam'!I128</f>
        <v>0</v>
      </c>
      <c r="J128" s="258">
        <f>'[2]Izm-Atam'!J128</f>
        <v>0</v>
      </c>
      <c r="K128" s="258">
        <f>'[2]Izm-Atam'!K128</f>
        <v>0</v>
      </c>
      <c r="L128" s="258">
        <f>'[2]Izm-Atam'!L128</f>
        <v>0</v>
      </c>
      <c r="M128" s="258">
        <f>'[2]Izm-Atam'!M128</f>
        <v>0</v>
      </c>
      <c r="N128" s="258">
        <f>'[2]Izm-Atam'!N128</f>
        <v>0</v>
      </c>
    </row>
    <row r="129" spans="2:14" ht="12.75">
      <c r="B129" s="259"/>
      <c r="C129" s="249"/>
      <c r="D129" s="250" t="str">
        <f>IF($A$2="e","Disbursement","Kredīta izmaksa")</f>
        <v>Kredīta izmaksa</v>
      </c>
      <c r="E129" s="251">
        <f>'[2]Izm-Atam'!E129</f>
        <v>0.14159941</v>
      </c>
      <c r="F129" s="251">
        <f>'[2]Izm-Atam'!F129</f>
        <v>0</v>
      </c>
      <c r="G129" s="251">
        <f>'[2]Izm-Atam'!G129</f>
        <v>0</v>
      </c>
      <c r="H129" s="251">
        <f>'[2]Izm-Atam'!H129</f>
        <v>0</v>
      </c>
      <c r="I129" s="251">
        <f>'[2]Izm-Atam'!I129</f>
        <v>0.14159941</v>
      </c>
      <c r="J129" s="251">
        <f>'[2]Izm-Atam'!J129</f>
        <v>0</v>
      </c>
      <c r="K129" s="251">
        <f>'[2]Izm-Atam'!K129</f>
        <v>0</v>
      </c>
      <c r="L129" s="251">
        <f>'[2]Izm-Atam'!L129</f>
        <v>0</v>
      </c>
      <c r="M129" s="251">
        <f>'[2]Izm-Atam'!M129</f>
        <v>0</v>
      </c>
      <c r="N129" s="251">
        <f>'[2]Izm-Atam'!N129</f>
        <v>0</v>
      </c>
    </row>
    <row r="130" spans="1:14" ht="12.75">
      <c r="A130">
        <v>27</v>
      </c>
      <c r="B130" s="252" t="s">
        <v>1841</v>
      </c>
      <c r="C130" s="253" t="s">
        <v>1815</v>
      </c>
      <c r="D130" s="254" t="str">
        <f>IF($A$2="e","Repayment","Pamata maksājumi")</f>
        <v>Pamata maksājumi</v>
      </c>
      <c r="E130" s="255">
        <f>'[2]Izm-Atam'!E130</f>
        <v>0</v>
      </c>
      <c r="F130" s="255">
        <f>'[2]Izm-Atam'!F130</f>
        <v>0.705</v>
      </c>
      <c r="G130" s="255">
        <f>'[2]Izm-Atam'!G130</f>
        <v>0</v>
      </c>
      <c r="H130" s="255">
        <f>'[2]Izm-Atam'!H130</f>
        <v>0.73</v>
      </c>
      <c r="I130" s="255">
        <f>'[2]Izm-Atam'!I130</f>
        <v>1.435</v>
      </c>
      <c r="J130" s="255">
        <f>'[2]Izm-Atam'!J130</f>
        <v>1.17464492</v>
      </c>
      <c r="K130" s="255">
        <f>'[2]Izm-Atam'!K130</f>
        <v>1.190939</v>
      </c>
      <c r="L130" s="255">
        <f>'[2]Izm-Atam'!L130</f>
        <v>1.200088</v>
      </c>
      <c r="M130" s="255">
        <f>'[2]Izm-Atam'!M130</f>
        <v>1.19999</v>
      </c>
      <c r="N130" s="255">
        <f>'[2]Izm-Atam'!N130</f>
        <v>1.198768</v>
      </c>
    </row>
    <row r="131" spans="2:14" ht="12.75">
      <c r="B131" s="262" t="s">
        <v>1765</v>
      </c>
      <c r="C131" s="256" t="s">
        <v>1842</v>
      </c>
      <c r="D131" s="257" t="str">
        <f>IF($A$2="e","Interest payment","Procentu maksājumi")</f>
        <v>Procentu maksājumi</v>
      </c>
      <c r="E131" s="258">
        <f>'[2]Izm-Atam'!E131</f>
        <v>0</v>
      </c>
      <c r="F131" s="258">
        <f>'[2]Izm-Atam'!F131</f>
        <v>0.3422262626</v>
      </c>
      <c r="G131" s="258">
        <f>'[2]Izm-Atam'!G131</f>
        <v>0</v>
      </c>
      <c r="H131" s="258">
        <f>'[2]Izm-Atam'!H131</f>
        <v>0.3317434614</v>
      </c>
      <c r="I131" s="258">
        <f>'[2]Izm-Atam'!I131</f>
        <v>0.673969724</v>
      </c>
      <c r="J131" s="258">
        <f>'[2]Izm-Atam'!J131</f>
        <v>1.101456</v>
      </c>
      <c r="K131" s="258">
        <f>'[2]Izm-Atam'!K131</f>
        <v>1.039305</v>
      </c>
      <c r="L131" s="258">
        <f>'[2]Izm-Atam'!L131</f>
        <v>0.976636</v>
      </c>
      <c r="M131" s="258">
        <f>'[2]Izm-Atam'!M131</f>
        <v>0.9127760500000001</v>
      </c>
      <c r="N131" s="258">
        <f>'[2]Izm-Atam'!N131</f>
        <v>0.84971841</v>
      </c>
    </row>
    <row r="132" spans="2:14" ht="12.75">
      <c r="B132" s="252"/>
      <c r="C132" s="253"/>
      <c r="D132" s="254" t="str">
        <f>IF($A$2="e","Disbursement","Kredīta izmaksa")</f>
        <v>Kredīta izmaksa</v>
      </c>
      <c r="E132" s="251">
        <f>'[2]Izm-Atam'!E132</f>
        <v>0</v>
      </c>
      <c r="F132" s="251">
        <f>'[2]Izm-Atam'!F132</f>
        <v>0</v>
      </c>
      <c r="G132" s="251">
        <f>'[2]Izm-Atam'!G132</f>
        <v>0</v>
      </c>
      <c r="H132" s="251">
        <f>'[2]Izm-Atam'!H132</f>
        <v>0</v>
      </c>
      <c r="I132" s="251">
        <f>'[2]Izm-Atam'!I132</f>
        <v>0</v>
      </c>
      <c r="J132" s="251">
        <f>'[2]Izm-Atam'!J132</f>
        <v>0</v>
      </c>
      <c r="K132" s="251">
        <f>'[2]Izm-Atam'!K132</f>
        <v>0</v>
      </c>
      <c r="L132" s="251">
        <f>'[2]Izm-Atam'!L132</f>
        <v>0</v>
      </c>
      <c r="M132" s="251">
        <f>'[2]Izm-Atam'!M132</f>
        <v>0</v>
      </c>
      <c r="N132" s="251">
        <f>'[2]Izm-Atam'!N132</f>
        <v>0</v>
      </c>
    </row>
    <row r="133" spans="1:14" ht="12.75">
      <c r="A133">
        <v>30</v>
      </c>
      <c r="B133" s="252" t="s">
        <v>1843</v>
      </c>
      <c r="C133" s="253" t="s">
        <v>1844</v>
      </c>
      <c r="D133" s="254" t="str">
        <f>IF($A$2="e","Repayment","Pamata maksājumi")</f>
        <v>Pamata maksājumi</v>
      </c>
      <c r="E133" s="255">
        <f>'[2]Izm-Atam'!E133</f>
        <v>0</v>
      </c>
      <c r="F133" s="255">
        <f>'[2]Izm-Atam'!F133</f>
        <v>0.35388277</v>
      </c>
      <c r="G133" s="255">
        <f>'[2]Izm-Atam'!G133</f>
        <v>0</v>
      </c>
      <c r="H133" s="255">
        <f>'[2]Izm-Atam'!H133</f>
        <v>0.35388276</v>
      </c>
      <c r="I133" s="255">
        <f>'[2]Izm-Atam'!I133</f>
        <v>0.7077655300000001</v>
      </c>
      <c r="J133" s="255">
        <f>'[2]Izm-Atam'!J133</f>
        <v>0</v>
      </c>
      <c r="K133" s="255">
        <f>'[2]Izm-Atam'!K133</f>
        <v>0</v>
      </c>
      <c r="L133" s="255">
        <f>'[2]Izm-Atam'!L133</f>
        <v>0</v>
      </c>
      <c r="M133" s="255">
        <f>'[2]Izm-Atam'!M133</f>
        <v>0</v>
      </c>
      <c r="N133" s="255">
        <f>'[2]Izm-Atam'!N133</f>
        <v>0</v>
      </c>
    </row>
    <row r="134" spans="2:14" ht="12.75">
      <c r="B134" s="252" t="s">
        <v>1845</v>
      </c>
      <c r="C134" s="253" t="s">
        <v>1846</v>
      </c>
      <c r="D134" s="254" t="str">
        <f>IF($A$2="e","Interest payment","Procentu maksājumi")</f>
        <v>Procentu maksājumi</v>
      </c>
      <c r="E134" s="258">
        <f>'[2]Izm-Atam'!E134</f>
        <v>0</v>
      </c>
      <c r="F134" s="258">
        <f>'[2]Izm-Atam'!F134</f>
        <v>0.0160606168</v>
      </c>
      <c r="G134" s="258">
        <f>'[2]Izm-Atam'!G134</f>
        <v>0</v>
      </c>
      <c r="H134" s="258">
        <f>'[2]Izm-Atam'!H134</f>
        <v>0.0080303084</v>
      </c>
      <c r="I134" s="258">
        <f>'[2]Izm-Atam'!I134</f>
        <v>0.024090925200000002</v>
      </c>
      <c r="J134" s="258">
        <f>'[2]Izm-Atam'!J134</f>
        <v>0</v>
      </c>
      <c r="K134" s="258">
        <f>'[2]Izm-Atam'!K134</f>
        <v>0</v>
      </c>
      <c r="L134" s="258">
        <f>'[2]Izm-Atam'!L134</f>
        <v>0</v>
      </c>
      <c r="M134" s="258">
        <f>'[2]Izm-Atam'!M134</f>
        <v>0</v>
      </c>
      <c r="N134" s="258">
        <f>'[2]Izm-Atam'!N134</f>
        <v>0</v>
      </c>
    </row>
    <row r="135" spans="2:14" ht="12.75">
      <c r="B135" s="259"/>
      <c r="C135" s="249"/>
      <c r="D135" s="250" t="str">
        <f>IF($A$2="e","Disbursement","Kredīta izmaksa")</f>
        <v>Kredīta izmaksa</v>
      </c>
      <c r="E135" s="251">
        <f>'[2]Izm-Atam'!E135</f>
        <v>0</v>
      </c>
      <c r="F135" s="251">
        <f>'[2]Izm-Atam'!F135</f>
        <v>0</v>
      </c>
      <c r="G135" s="251">
        <f>'[2]Izm-Atam'!G135</f>
        <v>0</v>
      </c>
      <c r="H135" s="251">
        <f>'[2]Izm-Atam'!H135</f>
        <v>0</v>
      </c>
      <c r="I135" s="251">
        <f>'[2]Izm-Atam'!I135</f>
        <v>0</v>
      </c>
      <c r="J135" s="251">
        <f>'[2]Izm-Atam'!J135</f>
        <v>0</v>
      </c>
      <c r="K135" s="251">
        <f>'[2]Izm-Atam'!K135</f>
        <v>0</v>
      </c>
      <c r="L135" s="251">
        <f>'[2]Izm-Atam'!L135</f>
        <v>0</v>
      </c>
      <c r="M135" s="251">
        <f>'[2]Izm-Atam'!M135</f>
        <v>0</v>
      </c>
      <c r="N135" s="251">
        <f>'[2]Izm-Atam'!N135</f>
        <v>0</v>
      </c>
    </row>
    <row r="136" spans="1:15" ht="12.75">
      <c r="A136">
        <v>39</v>
      </c>
      <c r="B136" s="252" t="s">
        <v>1847</v>
      </c>
      <c r="C136" s="253" t="s">
        <v>1831</v>
      </c>
      <c r="D136" s="254" t="str">
        <f>IF($A$2="e","Repayment","Pamata maksājumi")</f>
        <v>Pamata maksājumi</v>
      </c>
      <c r="E136" s="255">
        <f>'[2]Izm-Atam'!E136</f>
        <v>0.30389183</v>
      </c>
      <c r="F136" s="255">
        <f>'[2]Izm-Atam'!F136</f>
        <v>0</v>
      </c>
      <c r="G136" s="255">
        <f>'[2]Izm-Atam'!G136</f>
        <v>0.30389183</v>
      </c>
      <c r="H136" s="255">
        <f>'[2]Izm-Atam'!H136</f>
        <v>0</v>
      </c>
      <c r="I136" s="255">
        <f>'[2]Izm-Atam'!I136</f>
        <v>0.60778366</v>
      </c>
      <c r="J136" s="255">
        <f>'[2]Izm-Atam'!J136</f>
        <v>0.60778366</v>
      </c>
      <c r="K136" s="255">
        <f>'[2]Izm-Atam'!K136</f>
        <v>0.60778366</v>
      </c>
      <c r="L136" s="255">
        <f>'[2]Izm-Atam'!L136</f>
        <v>0.60778366</v>
      </c>
      <c r="M136" s="255">
        <f>'[2]Izm-Atam'!M136</f>
        <v>0.60778366</v>
      </c>
      <c r="N136" s="255">
        <f>'[2]Izm-Atam'!N136</f>
        <v>0.60778369</v>
      </c>
      <c r="O136">
        <v>0.05093771</v>
      </c>
    </row>
    <row r="137" spans="2:14" ht="12.75">
      <c r="B137" s="262" t="s">
        <v>1832</v>
      </c>
      <c r="C137" s="256" t="s">
        <v>1848</v>
      </c>
      <c r="D137" s="257" t="str">
        <f>IF($A$2="e","Interest payment","Procentu maksājumi")</f>
        <v>Procentu maksājumi</v>
      </c>
      <c r="E137" s="258">
        <f>'[2]Izm-Atam'!E137</f>
        <v>0</v>
      </c>
      <c r="F137" s="258">
        <f>'[2]Izm-Atam'!F137</f>
        <v>0</v>
      </c>
      <c r="G137" s="258">
        <f>'[2]Izm-Atam'!G137</f>
        <v>0</v>
      </c>
      <c r="H137" s="258">
        <f>'[2]Izm-Atam'!H137</f>
        <v>0</v>
      </c>
      <c r="I137" s="258">
        <f>'[2]Izm-Atam'!I137</f>
        <v>0</v>
      </c>
      <c r="J137" s="258">
        <f>'[2]Izm-Atam'!J137</f>
        <v>0</v>
      </c>
      <c r="K137" s="258">
        <f>'[2]Izm-Atam'!K137</f>
        <v>0</v>
      </c>
      <c r="L137" s="258">
        <f>'[2]Izm-Atam'!L137</f>
        <v>0</v>
      </c>
      <c r="M137" s="258">
        <f>'[2]Izm-Atam'!M137</f>
        <v>0</v>
      </c>
      <c r="N137" s="258">
        <f>'[2]Izm-Atam'!N137</f>
        <v>0</v>
      </c>
    </row>
    <row r="138" spans="2:14" ht="12.75">
      <c r="B138" s="252"/>
      <c r="C138" s="253"/>
      <c r="D138" s="254" t="str">
        <f>IF($A$2="e","Disbursement","Kredīta izmaksa")</f>
        <v>Kredīta izmaksa</v>
      </c>
      <c r="E138" s="251">
        <f>'[2]Izm-Atam'!E138</f>
        <v>0</v>
      </c>
      <c r="F138" s="251">
        <f>'[2]Izm-Atam'!F138</f>
        <v>0</v>
      </c>
      <c r="G138" s="251">
        <f>'[2]Izm-Atam'!G138</f>
        <v>0</v>
      </c>
      <c r="H138" s="251">
        <f>'[2]Izm-Atam'!H138</f>
        <v>0</v>
      </c>
      <c r="I138" s="251">
        <f>'[2]Izm-Atam'!I138</f>
        <v>0</v>
      </c>
      <c r="J138" s="251">
        <f>'[2]Izm-Atam'!J138</f>
        <v>0</v>
      </c>
      <c r="K138" s="251">
        <f>'[2]Izm-Atam'!K138</f>
        <v>0</v>
      </c>
      <c r="L138" s="251">
        <f>'[2]Izm-Atam'!L138</f>
        <v>0</v>
      </c>
      <c r="M138" s="251">
        <f>'[2]Izm-Atam'!M138</f>
        <v>0</v>
      </c>
      <c r="N138" s="251">
        <f>'[2]Izm-Atam'!N138</f>
        <v>0</v>
      </c>
    </row>
    <row r="139" spans="1:16" ht="12.75">
      <c r="A139">
        <v>61</v>
      </c>
      <c r="B139" s="252" t="s">
        <v>1849</v>
      </c>
      <c r="C139" s="253" t="s">
        <v>1831</v>
      </c>
      <c r="D139" s="254" t="str">
        <f>IF($A$2="e","Repayment","Pamata maksājumi")</f>
        <v>Pamata maksājumi</v>
      </c>
      <c r="E139" s="255">
        <f>'[2]Izm-Atam'!E139</f>
        <v>0.1474319</v>
      </c>
      <c r="F139" s="255">
        <f>'[2]Izm-Atam'!F139</f>
        <v>0</v>
      </c>
      <c r="G139" s="255">
        <f>'[2]Izm-Atam'!G139</f>
        <v>0.1474319</v>
      </c>
      <c r="H139" s="255">
        <f>'[2]Izm-Atam'!H139</f>
        <v>0</v>
      </c>
      <c r="I139" s="255">
        <f>'[2]Izm-Atam'!I139</f>
        <v>0.2948638</v>
      </c>
      <c r="J139" s="255">
        <f>'[2]Izm-Atam'!J139</f>
        <v>0.294864</v>
      </c>
      <c r="K139" s="255">
        <f>'[2]Izm-Atam'!K139</f>
        <v>0.294864</v>
      </c>
      <c r="L139" s="255">
        <f>'[2]Izm-Atam'!L139</f>
        <v>0.294864</v>
      </c>
      <c r="M139" s="255">
        <f>'[2]Izm-Atam'!M139</f>
        <v>0.294864</v>
      </c>
      <c r="N139" s="255">
        <f>'[2]Izm-Atam'!N139</f>
        <v>0.294864</v>
      </c>
      <c r="O139">
        <v>0.294864</v>
      </c>
      <c r="P139">
        <v>0.147432</v>
      </c>
    </row>
    <row r="140" spans="2:14" ht="12.75">
      <c r="B140" s="252" t="s">
        <v>1832</v>
      </c>
      <c r="C140" s="253" t="s">
        <v>1850</v>
      </c>
      <c r="D140" s="254" t="str">
        <f>IF($A$2="e","Interest payment","Procentu maksājumi")</f>
        <v>Procentu maksājumi</v>
      </c>
      <c r="E140" s="258">
        <f>'[2]Izm-Atam'!E140</f>
        <v>0</v>
      </c>
      <c r="F140" s="258">
        <f>'[2]Izm-Atam'!F140</f>
        <v>0</v>
      </c>
      <c r="G140" s="258">
        <f>'[2]Izm-Atam'!G140</f>
        <v>0</v>
      </c>
      <c r="H140" s="258">
        <f>'[2]Izm-Atam'!H140</f>
        <v>0</v>
      </c>
      <c r="I140" s="258">
        <f>'[2]Izm-Atam'!I140</f>
        <v>0</v>
      </c>
      <c r="J140" s="258">
        <f>'[2]Izm-Atam'!J140</f>
        <v>0</v>
      </c>
      <c r="K140" s="258">
        <f>'[2]Izm-Atam'!K140</f>
        <v>0</v>
      </c>
      <c r="L140" s="258">
        <f>'[2]Izm-Atam'!L140</f>
        <v>0</v>
      </c>
      <c r="M140" s="258">
        <f>'[2]Izm-Atam'!M140</f>
        <v>0</v>
      </c>
      <c r="N140" s="258">
        <f>'[2]Izm-Atam'!N140</f>
        <v>0</v>
      </c>
    </row>
    <row r="141" spans="2:14" ht="12.75">
      <c r="B141" s="259"/>
      <c r="C141" s="249"/>
      <c r="D141" s="250" t="str">
        <f>IF($A$2="e","Disbursement","Kredīta izmaksa")</f>
        <v>Kredīta izmaksa</v>
      </c>
      <c r="E141" s="251">
        <f>'[2]Izm-Atam'!E141</f>
        <v>0</v>
      </c>
      <c r="F141" s="251">
        <f>'[2]Izm-Atam'!F141</f>
        <v>0</v>
      </c>
      <c r="G141" s="251">
        <f>'[2]Izm-Atam'!G141</f>
        <v>0</v>
      </c>
      <c r="H141" s="251">
        <f>'[2]Izm-Atam'!H141</f>
        <v>0</v>
      </c>
      <c r="I141" s="251">
        <f>'[2]Izm-Atam'!I141</f>
        <v>0</v>
      </c>
      <c r="J141" s="251">
        <f>'[2]Izm-Atam'!J141</f>
        <v>0</v>
      </c>
      <c r="K141" s="251">
        <f>'[2]Izm-Atam'!K141</f>
        <v>0</v>
      </c>
      <c r="L141" s="251">
        <f>'[2]Izm-Atam'!L141</f>
        <v>0</v>
      </c>
      <c r="M141" s="251">
        <f>'[2]Izm-Atam'!M141</f>
        <v>0</v>
      </c>
      <c r="N141" s="251">
        <f>'[2]Izm-Atam'!N141</f>
        <v>0</v>
      </c>
    </row>
    <row r="142" spans="1:14" ht="12.75">
      <c r="A142">
        <v>63</v>
      </c>
      <c r="B142" s="252" t="s">
        <v>1851</v>
      </c>
      <c r="C142" s="253" t="s">
        <v>1852</v>
      </c>
      <c r="D142" s="254" t="str">
        <f>IF($A$2="e","Repayment","Pamata maksājumi")</f>
        <v>Pamata maksājumi</v>
      </c>
      <c r="E142" s="255">
        <f>'[2]Izm-Atam'!E142</f>
        <v>0</v>
      </c>
      <c r="F142" s="255">
        <f>'[2]Izm-Atam'!F142</f>
        <v>0.09701773</v>
      </c>
      <c r="G142" s="255">
        <f>'[2]Izm-Atam'!G142</f>
        <v>0</v>
      </c>
      <c r="H142" s="255">
        <f>'[2]Izm-Atam'!H142</f>
        <v>0.09701773</v>
      </c>
      <c r="I142" s="255">
        <f>'[2]Izm-Atam'!I142</f>
        <v>0.19403546</v>
      </c>
      <c r="J142" s="255">
        <f>'[2]Izm-Atam'!J142</f>
        <v>0.19403546</v>
      </c>
      <c r="K142" s="255">
        <f>'[2]Izm-Atam'!K142</f>
        <v>0.19403546</v>
      </c>
      <c r="L142" s="255">
        <f>'[2]Izm-Atam'!L142</f>
        <v>0</v>
      </c>
      <c r="M142" s="255">
        <f>'[2]Izm-Atam'!M142</f>
        <v>0</v>
      </c>
      <c r="N142" s="255">
        <f>'[2]Izm-Atam'!N142</f>
        <v>0</v>
      </c>
    </row>
    <row r="143" spans="2:14" ht="12.75">
      <c r="B143" s="262" t="s">
        <v>1853</v>
      </c>
      <c r="C143" s="256" t="s">
        <v>1854</v>
      </c>
      <c r="D143" s="257" t="str">
        <f>IF($A$2="e","Interest payment","Procentu maksājumi")</f>
        <v>Procentu maksājumi</v>
      </c>
      <c r="E143" s="258">
        <f>'[2]Izm-Atam'!E143</f>
        <v>0</v>
      </c>
      <c r="F143" s="258">
        <f>'[2]Izm-Atam'!F143</f>
        <v>0.013925244699999999</v>
      </c>
      <c r="G143" s="258">
        <f>'[2]Izm-Atam'!G143</f>
        <v>0</v>
      </c>
      <c r="H143" s="258">
        <f>'[2]Izm-Atam'!H143</f>
        <v>0.011796704600000001</v>
      </c>
      <c r="I143" s="258">
        <f>'[2]Izm-Atam'!I143</f>
        <v>0.025721949299999998</v>
      </c>
      <c r="J143" s="258">
        <f>'[2]Izm-Atam'!J143</f>
        <v>0.023822</v>
      </c>
      <c r="K143" s="258">
        <f>'[2]Izm-Atam'!K143</f>
        <v>0.0114772</v>
      </c>
      <c r="L143" s="258">
        <f>'[2]Izm-Atam'!L143</f>
        <v>0</v>
      </c>
      <c r="M143" s="258">
        <f>'[2]Izm-Atam'!M143</f>
        <v>0</v>
      </c>
      <c r="N143" s="258">
        <f>'[2]Izm-Atam'!N143</f>
        <v>0</v>
      </c>
    </row>
    <row r="144" spans="2:14" ht="12.75">
      <c r="B144" s="252"/>
      <c r="C144" s="253"/>
      <c r="D144" s="254" t="str">
        <f>IF($A$2="e","Disbursement","Kredīta izmaksa")</f>
        <v>Kredīta izmaksa</v>
      </c>
      <c r="E144" s="251">
        <f>'[2]Izm-Atam'!E144</f>
        <v>0.16487171999999997</v>
      </c>
      <c r="F144" s="251">
        <f>'[2]Izm-Atam'!F144</f>
        <v>0</v>
      </c>
      <c r="G144" s="251">
        <f>'[2]Izm-Atam'!G144</f>
        <v>0</v>
      </c>
      <c r="H144" s="251">
        <f>'[2]Izm-Atam'!H144</f>
        <v>0</v>
      </c>
      <c r="I144" s="251">
        <f>'[2]Izm-Atam'!I144</f>
        <v>0.16487171999999997</v>
      </c>
      <c r="J144" s="251">
        <f>'[2]Izm-Atam'!J144</f>
        <v>0</v>
      </c>
      <c r="K144" s="251">
        <f>'[2]Izm-Atam'!K144</f>
        <v>0</v>
      </c>
      <c r="L144" s="251">
        <f>'[2]Izm-Atam'!L144</f>
        <v>0</v>
      </c>
      <c r="M144" s="251">
        <f>'[2]Izm-Atam'!M144</f>
        <v>0</v>
      </c>
      <c r="N144" s="251">
        <f>'[2]Izm-Atam'!N144</f>
        <v>0</v>
      </c>
    </row>
    <row r="145" spans="1:22" ht="12.75">
      <c r="A145">
        <v>65</v>
      </c>
      <c r="B145" s="252" t="s">
        <v>1824</v>
      </c>
      <c r="C145" s="253" t="s">
        <v>1815</v>
      </c>
      <c r="D145" s="254" t="str">
        <f>IF($A$2="e","Repayment","Pamata maksājumi")</f>
        <v>Pamata maksājumi</v>
      </c>
      <c r="E145" s="255">
        <f>'[2]Izm-Atam'!E145</f>
        <v>0</v>
      </c>
      <c r="F145" s="255">
        <f>'[2]Izm-Atam'!F145</f>
        <v>0</v>
      </c>
      <c r="G145" s="255">
        <f>'[2]Izm-Atam'!G145</f>
        <v>0</v>
      </c>
      <c r="H145" s="255">
        <f>'[2]Izm-Atam'!H145</f>
        <v>0</v>
      </c>
      <c r="I145" s="255">
        <f>'[2]Izm-Atam'!I145</f>
        <v>0</v>
      </c>
      <c r="J145" s="255">
        <f>'[2]Izm-Atam'!J145</f>
        <v>0.835</v>
      </c>
      <c r="K145" s="255">
        <f>'[2]Izm-Atam'!K145</f>
        <v>1.67</v>
      </c>
      <c r="L145" s="255">
        <f>'[2]Izm-Atam'!L145</f>
        <v>1.67</v>
      </c>
      <c r="M145" s="255">
        <f>'[2]Izm-Atam'!M145</f>
        <v>1.67</v>
      </c>
      <c r="N145" s="255">
        <f>'[2]Izm-Atam'!N145</f>
        <v>1.67</v>
      </c>
      <c r="O145">
        <v>1.67</v>
      </c>
      <c r="P145">
        <v>1.67</v>
      </c>
      <c r="Q145">
        <v>1.67</v>
      </c>
      <c r="R145">
        <v>1.67</v>
      </c>
      <c r="S145">
        <v>1.67</v>
      </c>
      <c r="T145">
        <v>1.67</v>
      </c>
      <c r="U145">
        <v>1.67</v>
      </c>
      <c r="V145">
        <v>0.795</v>
      </c>
    </row>
    <row r="146" spans="2:22" ht="12.75">
      <c r="B146" s="252" t="s">
        <v>1765</v>
      </c>
      <c r="C146" s="253" t="s">
        <v>1855</v>
      </c>
      <c r="D146" s="254" t="str">
        <f>IF($A$2="e","Interest payment","Procentu maksājumi")</f>
        <v>Procentu maksājumi</v>
      </c>
      <c r="E146" s="258">
        <f>'[2]Izm-Atam'!E146</f>
        <v>0.67988438</v>
      </c>
      <c r="F146" s="258">
        <f>'[2]Izm-Atam'!F146</f>
        <v>0</v>
      </c>
      <c r="G146" s="258">
        <f>'[2]Izm-Atam'!G146</f>
        <v>0.1581954785</v>
      </c>
      <c r="H146" s="258">
        <f>'[2]Izm-Atam'!H146</f>
        <v>0</v>
      </c>
      <c r="I146" s="258">
        <f>'[2]Izm-Atam'!I146</f>
        <v>0.8380798585</v>
      </c>
      <c r="J146" s="258">
        <f>'[2]Izm-Atam'!J146</f>
        <v>1.132649</v>
      </c>
      <c r="K146" s="258">
        <f>'[2]Izm-Atam'!K146</f>
        <v>1.061568</v>
      </c>
      <c r="L146" s="258">
        <f>'[2]Izm-Atam'!L146</f>
        <v>0.89001606</v>
      </c>
      <c r="M146" s="258">
        <f>'[2]Izm-Atam'!M146</f>
        <v>0.80083713</v>
      </c>
      <c r="N146" s="258">
        <f>'[2]Izm-Atam'!N146</f>
        <v>0.7141496300000001</v>
      </c>
      <c r="O146">
        <v>0.62746214</v>
      </c>
      <c r="P146">
        <v>0.5471905699999999</v>
      </c>
      <c r="Q146">
        <v>0.45408713</v>
      </c>
      <c r="R146">
        <v>0.36739962000000004</v>
      </c>
      <c r="S146">
        <v>0.28071212</v>
      </c>
      <c r="T146">
        <v>0.19461607</v>
      </c>
      <c r="U146">
        <v>0.10733713</v>
      </c>
      <c r="V146">
        <v>0.02107516</v>
      </c>
    </row>
    <row r="147" spans="2:14" ht="12.75">
      <c r="B147" s="259"/>
      <c r="C147" s="249"/>
      <c r="D147" s="250" t="str">
        <f>IF($A$2="e","Disbursement","Kredīta izmaksa")</f>
        <v>Kredīta izmaksa</v>
      </c>
      <c r="E147" s="251">
        <f>'[2]Izm-Atam'!E147</f>
        <v>0</v>
      </c>
      <c r="F147" s="251">
        <f>'[2]Izm-Atam'!F147</f>
        <v>0</v>
      </c>
      <c r="G147" s="251">
        <f>'[2]Izm-Atam'!G147</f>
        <v>0</v>
      </c>
      <c r="H147" s="251">
        <f>'[2]Izm-Atam'!H147</f>
        <v>0</v>
      </c>
      <c r="I147" s="251">
        <f>'[2]Izm-Atam'!I147</f>
        <v>0</v>
      </c>
      <c r="J147" s="251">
        <f>'[2]Izm-Atam'!J147</f>
        <v>0</v>
      </c>
      <c r="K147" s="251">
        <f>'[2]Izm-Atam'!K147</f>
        <v>0</v>
      </c>
      <c r="L147" s="251">
        <f>'[2]Izm-Atam'!L147</f>
        <v>0</v>
      </c>
      <c r="M147" s="251">
        <f>'[2]Izm-Atam'!M147</f>
        <v>0</v>
      </c>
      <c r="N147" s="251">
        <f>'[2]Izm-Atam'!N147</f>
        <v>0</v>
      </c>
    </row>
    <row r="148" spans="1:14" ht="12.75">
      <c r="A148">
        <v>76</v>
      </c>
      <c r="B148" s="252" t="s">
        <v>1856</v>
      </c>
      <c r="C148" s="253" t="s">
        <v>1777</v>
      </c>
      <c r="D148" s="254" t="str">
        <f>IF($A$2="e","Repayment","Pamata maksājumi")</f>
        <v>Pamata maksājumi</v>
      </c>
      <c r="E148" s="255">
        <f>'[2]Izm-Atam'!E148</f>
        <v>0</v>
      </c>
      <c r="F148" s="255">
        <f>'[2]Izm-Atam'!F148</f>
        <v>0</v>
      </c>
      <c r="G148" s="255">
        <f>'[2]Izm-Atam'!G148</f>
        <v>0</v>
      </c>
      <c r="H148" s="255">
        <f>'[2]Izm-Atam'!H148</f>
        <v>0</v>
      </c>
      <c r="I148" s="255">
        <f>'[2]Izm-Atam'!I148</f>
        <v>0</v>
      </c>
      <c r="J148" s="255">
        <f>'[2]Izm-Atam'!J148</f>
        <v>0</v>
      </c>
      <c r="K148" s="255">
        <f>'[2]Izm-Atam'!K148</f>
        <v>0</v>
      </c>
      <c r="L148" s="255">
        <f>'[2]Izm-Atam'!L148</f>
        <v>0</v>
      </c>
      <c r="M148" s="255">
        <f>'[2]Izm-Atam'!M148</f>
        <v>0</v>
      </c>
      <c r="N148" s="255">
        <f>'[2]Izm-Atam'!N148</f>
        <v>0</v>
      </c>
    </row>
    <row r="149" spans="2:14" ht="12.75">
      <c r="B149" s="262" t="s">
        <v>1778</v>
      </c>
      <c r="C149" s="256" t="s">
        <v>1857</v>
      </c>
      <c r="D149" s="257" t="str">
        <f>IF($A$2="e","Interest payment","Procentu maksājumi")</f>
        <v>Procentu maksājumi</v>
      </c>
      <c r="E149" s="258">
        <f>'[2]Izm-Atam'!E149</f>
        <v>0.03819818</v>
      </c>
      <c r="F149" s="258">
        <f>'[2]Izm-Atam'!F149</f>
        <v>0</v>
      </c>
      <c r="G149" s="258">
        <f>'[2]Izm-Atam'!G149</f>
        <v>0.04610163</v>
      </c>
      <c r="H149" s="258">
        <f>'[2]Izm-Atam'!H149</f>
        <v>0</v>
      </c>
      <c r="I149" s="258">
        <f>'[2]Izm-Atam'!I149</f>
        <v>0.08429981</v>
      </c>
      <c r="J149" s="258">
        <f>'[2]Izm-Atam'!J149</f>
        <v>0.091439</v>
      </c>
      <c r="K149" s="258">
        <f>'[2]Izm-Atam'!K149</f>
        <v>0.09169386</v>
      </c>
      <c r="L149" s="258">
        <f>'[2]Izm-Atam'!L149</f>
        <v>0.09169386</v>
      </c>
      <c r="M149" s="258">
        <f>'[2]Izm-Atam'!M149</f>
        <v>0.09169386</v>
      </c>
      <c r="N149" s="258">
        <f>'[2]Izm-Atam'!N149</f>
        <v>0.092202</v>
      </c>
    </row>
    <row r="150" spans="2:14" ht="12.75">
      <c r="B150" s="252"/>
      <c r="C150" s="253"/>
      <c r="D150" s="254" t="str">
        <f>IF($A$2="e","Disbursement","Kredīta izmaksa")</f>
        <v>Kredīta izmaksa</v>
      </c>
      <c r="E150" s="251">
        <f>'[2]Izm-Atam'!E150</f>
        <v>0.16412337</v>
      </c>
      <c r="F150" s="251">
        <f>'[2]Izm-Atam'!F150</f>
        <v>0.49237010999999997</v>
      </c>
      <c r="G150" s="251">
        <f>'[2]Izm-Atam'!G150</f>
        <v>0.49237010999999997</v>
      </c>
      <c r="H150" s="251">
        <f>'[2]Izm-Atam'!H150</f>
        <v>0.49237010999999997</v>
      </c>
      <c r="I150" s="251">
        <f>'[2]Izm-Atam'!I150</f>
        <v>1.6412337</v>
      </c>
      <c r="J150" s="251">
        <f>'[2]Izm-Atam'!J150</f>
        <v>0</v>
      </c>
      <c r="K150" s="251">
        <f>'[2]Izm-Atam'!K150</f>
        <v>0</v>
      </c>
      <c r="L150" s="251">
        <f>'[2]Izm-Atam'!L150</f>
        <v>0</v>
      </c>
      <c r="M150" s="251">
        <f>'[2]Izm-Atam'!M150</f>
        <v>0</v>
      </c>
      <c r="N150" s="251">
        <f>'[2]Izm-Atam'!N150</f>
        <v>0</v>
      </c>
    </row>
    <row r="151" spans="1:23" ht="12.75">
      <c r="A151">
        <v>79</v>
      </c>
      <c r="B151" s="252" t="s">
        <v>1858</v>
      </c>
      <c r="C151" s="253" t="s">
        <v>1815</v>
      </c>
      <c r="D151" s="254" t="str">
        <f>IF($A$2="e","Repayment","Pamata maksājumi")</f>
        <v>Pamata maksājumi</v>
      </c>
      <c r="E151" s="255">
        <f>'[2]Izm-Atam'!E151</f>
        <v>0</v>
      </c>
      <c r="F151" s="255">
        <f>'[2]Izm-Atam'!F151</f>
        <v>0</v>
      </c>
      <c r="G151" s="255">
        <f>'[2]Izm-Atam'!G151</f>
        <v>0</v>
      </c>
      <c r="H151" s="255">
        <f>'[2]Izm-Atam'!H151</f>
        <v>0</v>
      </c>
      <c r="I151" s="255">
        <f>'[2]Izm-Atam'!I151</f>
        <v>0</v>
      </c>
      <c r="J151" s="255">
        <f>'[2]Izm-Atam'!J151</f>
        <v>0.30576923</v>
      </c>
      <c r="K151" s="255">
        <f>'[2]Izm-Atam'!K151</f>
        <v>0.61153846</v>
      </c>
      <c r="L151" s="255">
        <f>'[2]Izm-Atam'!L151</f>
        <v>0.61153846</v>
      </c>
      <c r="M151" s="255">
        <f>'[2]Izm-Atam'!M151</f>
        <v>0.61153846</v>
      </c>
      <c r="N151" s="255">
        <f>'[2]Izm-Atam'!N151</f>
        <v>0.61153846</v>
      </c>
      <c r="O151">
        <v>0.545</v>
      </c>
      <c r="P151">
        <v>0.58</v>
      </c>
      <c r="Q151">
        <v>0.615</v>
      </c>
      <c r="R151">
        <v>0.65</v>
      </c>
      <c r="S151">
        <v>0.69</v>
      </c>
      <c r="T151">
        <v>0.735</v>
      </c>
      <c r="U151">
        <v>0.78</v>
      </c>
      <c r="V151">
        <v>0.83</v>
      </c>
      <c r="W151">
        <v>0.435</v>
      </c>
    </row>
    <row r="152" spans="2:23" ht="12.75">
      <c r="B152" s="252" t="s">
        <v>1765</v>
      </c>
      <c r="C152" s="253" t="s">
        <v>1859</v>
      </c>
      <c r="D152" s="254" t="str">
        <f>IF($A$2="e","Interest payment","Procentu maksājumi")</f>
        <v>Procentu maksājumi</v>
      </c>
      <c r="E152" s="258">
        <f>'[2]Izm-Atam'!E152</f>
        <v>0</v>
      </c>
      <c r="F152" s="258">
        <f>'[2]Izm-Atam'!F152</f>
        <v>0</v>
      </c>
      <c r="G152" s="258">
        <f>'[2]Izm-Atam'!G152</f>
        <v>0</v>
      </c>
      <c r="H152" s="258">
        <f>'[2]Izm-Atam'!H152</f>
        <v>0.0727308368</v>
      </c>
      <c r="I152" s="258">
        <f>'[2]Izm-Atam'!I152</f>
        <v>0.0727308368</v>
      </c>
      <c r="J152" s="258">
        <f>'[2]Izm-Atam'!J152</f>
        <v>0.319298</v>
      </c>
      <c r="K152" s="258">
        <f>'[2]Izm-Atam'!K152</f>
        <v>0.383288</v>
      </c>
      <c r="L152" s="258">
        <f>'[2]Izm-Atam'!L152</f>
        <v>0.39099093</v>
      </c>
      <c r="M152" s="258">
        <f>'[2]Izm-Atam'!M152</f>
        <v>0.35523912</v>
      </c>
      <c r="N152" s="258">
        <f>'[2]Izm-Atam'!N152</f>
        <v>0.32057933</v>
      </c>
      <c r="O152">
        <v>0.28591953000000003</v>
      </c>
      <c r="P152">
        <v>0.28450897260273966</v>
      </c>
      <c r="Q152">
        <v>0.2520604794520548</v>
      </c>
      <c r="R152">
        <v>0.21782410958904108</v>
      </c>
      <c r="S152">
        <v>0.18152561643835619</v>
      </c>
      <c r="T152">
        <v>0.14302712328767125</v>
      </c>
      <c r="U152">
        <v>0.10260212328767124</v>
      </c>
      <c r="V152">
        <v>0.05970212328767123</v>
      </c>
      <c r="W152">
        <v>0.014052123287671232</v>
      </c>
    </row>
    <row r="153" spans="2:14" ht="12.75">
      <c r="B153" s="252" t="s">
        <v>1860</v>
      </c>
      <c r="C153" s="249"/>
      <c r="D153" s="250" t="str">
        <f>IF($A$2="e","Disbursement","Kredīta izmaksa")</f>
        <v>Kredīta izmaksa</v>
      </c>
      <c r="E153" s="251">
        <f>'[2]Izm-Atam'!E153</f>
        <v>0</v>
      </c>
      <c r="F153" s="251">
        <f>'[2]Izm-Atam'!F153</f>
        <v>0</v>
      </c>
      <c r="G153" s="251">
        <f>'[2]Izm-Atam'!G153</f>
        <v>0</v>
      </c>
      <c r="H153" s="251">
        <f>'[2]Izm-Atam'!H153</f>
        <v>40</v>
      </c>
      <c r="I153" s="251">
        <f>'[2]Izm-Atam'!I153</f>
        <v>40</v>
      </c>
      <c r="J153" s="251">
        <f>'[2]Izm-Atam'!J153</f>
        <v>0</v>
      </c>
      <c r="K153" s="251">
        <f>'[2]Izm-Atam'!K153</f>
        <v>0</v>
      </c>
      <c r="L153" s="251">
        <f>'[2]Izm-Atam'!L153</f>
        <v>0</v>
      </c>
      <c r="M153" s="251">
        <f>'[2]Izm-Atam'!M153</f>
        <v>0</v>
      </c>
      <c r="N153" s="251">
        <f>'[2]Izm-Atam'!N153</f>
        <v>0</v>
      </c>
    </row>
    <row r="154" spans="1:14" ht="12.75">
      <c r="A154">
        <v>89</v>
      </c>
      <c r="B154" s="252" t="s">
        <v>1861</v>
      </c>
      <c r="C154" s="253" t="s">
        <v>1815</v>
      </c>
      <c r="D154" s="254" t="str">
        <f>IF($A$2="e","Repayment","Pamata maksājumi")</f>
        <v>Pamata maksājumi</v>
      </c>
      <c r="E154" s="255">
        <f>'[2]Izm-Atam'!E154</f>
        <v>0</v>
      </c>
      <c r="F154" s="255">
        <f>'[2]Izm-Atam'!F154</f>
        <v>0</v>
      </c>
      <c r="G154" s="255">
        <f>'[2]Izm-Atam'!G154</f>
        <v>0</v>
      </c>
      <c r="H154" s="255">
        <f>'[2]Izm-Atam'!H154</f>
        <v>0</v>
      </c>
      <c r="I154" s="255">
        <f>'[2]Izm-Atam'!I154</f>
        <v>0</v>
      </c>
      <c r="J154" s="255">
        <f>'[2]Izm-Atam'!J154</f>
        <v>0</v>
      </c>
      <c r="K154" s="255">
        <f>'[2]Izm-Atam'!K154</f>
        <v>0</v>
      </c>
      <c r="L154" s="255">
        <f>'[2]Izm-Atam'!L154</f>
        <v>0</v>
      </c>
      <c r="M154" s="255">
        <f>'[2]Izm-Atam'!M154</f>
        <v>1.69</v>
      </c>
      <c r="N154" s="255">
        <f>'[2]Izm-Atam'!N154</f>
        <v>5.37</v>
      </c>
    </row>
    <row r="155" spans="2:14" ht="12.75">
      <c r="B155" s="262" t="s">
        <v>1765</v>
      </c>
      <c r="C155" s="256" t="s">
        <v>1862</v>
      </c>
      <c r="D155" s="257" t="str">
        <f>IF($A$2="e","Interest payment","Procentu maksājumi")</f>
        <v>Procentu maksājumi</v>
      </c>
      <c r="E155" s="258">
        <f>'[2]Izm-Atam'!E155</f>
        <v>1.489989</v>
      </c>
      <c r="F155" s="258">
        <f>'[2]Izm-Atam'!F155</f>
        <v>0</v>
      </c>
      <c r="G155" s="258">
        <f>'[2]Izm-Atam'!G155</f>
        <v>1.2929992917000002</v>
      </c>
      <c r="H155" s="258">
        <f>'[2]Izm-Atam'!H155</f>
        <v>0</v>
      </c>
      <c r="I155" s="258">
        <f>'[2]Izm-Atam'!I155</f>
        <v>2.7829882917</v>
      </c>
      <c r="J155" s="258">
        <f>'[2]Izm-Atam'!J155</f>
        <v>5.910858</v>
      </c>
      <c r="K155" s="258">
        <f>'[2]Izm-Atam'!K155</f>
        <v>5.910858</v>
      </c>
      <c r="L155" s="258">
        <f>'[2]Izm-Atam'!L155</f>
        <v>5.927052</v>
      </c>
      <c r="M155" s="258">
        <f>'[2]Izm-Atam'!M155</f>
        <v>5.910858</v>
      </c>
      <c r="N155" s="258">
        <f>'[2]Izm-Atam'!N155</f>
        <v>5.910858</v>
      </c>
    </row>
    <row r="156" spans="1:30" ht="12.75">
      <c r="A156" s="130"/>
      <c r="B156" s="265" t="s">
        <v>1863</v>
      </c>
      <c r="C156" s="249"/>
      <c r="D156" s="250" t="str">
        <f>IF($A$2="e","Disbursement","Kredīta izmaksa")</f>
        <v>Kredīta izmaksa</v>
      </c>
      <c r="E156" s="266">
        <f>'[2]Izm-Atam'!E156</f>
        <v>0</v>
      </c>
      <c r="F156" s="266">
        <f>'[2]Izm-Atam'!F156</f>
        <v>0</v>
      </c>
      <c r="G156" s="266">
        <f>'[2]Izm-Atam'!G156</f>
        <v>0</v>
      </c>
      <c r="H156" s="266">
        <f>'[2]Izm-Atam'!H156</f>
        <v>1.4</v>
      </c>
      <c r="I156" s="266">
        <f>'[2]Izm-Atam'!I156</f>
        <v>1.4</v>
      </c>
      <c r="J156" s="266">
        <f>'[2]Izm-Atam'!J156</f>
        <v>0.82</v>
      </c>
      <c r="K156" s="266">
        <f>'[2]Izm-Atam'!K156</f>
        <v>0</v>
      </c>
      <c r="L156" s="266">
        <f>'[2]Izm-Atam'!L156</f>
        <v>0</v>
      </c>
      <c r="M156" s="266">
        <f>'[2]Izm-Atam'!M156</f>
        <v>0</v>
      </c>
      <c r="N156" s="266">
        <f>'[2]Izm-Atam'!N156</f>
        <v>0</v>
      </c>
      <c r="Q156">
        <f aca="true" t="shared" si="6" ref="Q156:AD156">Q96+Q99+Q102+Q105+Q108+Q111+Q114+Q117+Q120+Q123+Q126+Q129+Q132+Q135+Q138+Q141+Q144+Q147+Q150+Q153</f>
        <v>0</v>
      </c>
      <c r="R156">
        <f t="shared" si="6"/>
        <v>0</v>
      </c>
      <c r="S156">
        <f t="shared" si="6"/>
        <v>0</v>
      </c>
      <c r="T156">
        <f t="shared" si="6"/>
        <v>0</v>
      </c>
      <c r="U156">
        <f t="shared" si="6"/>
        <v>0</v>
      </c>
      <c r="V156">
        <f t="shared" si="6"/>
        <v>0</v>
      </c>
      <c r="W156">
        <f t="shared" si="6"/>
        <v>0</v>
      </c>
      <c r="X156">
        <f t="shared" si="6"/>
        <v>0</v>
      </c>
      <c r="Y156">
        <f t="shared" si="6"/>
        <v>0</v>
      </c>
      <c r="Z156">
        <f t="shared" si="6"/>
        <v>0</v>
      </c>
      <c r="AA156">
        <f t="shared" si="6"/>
        <v>0</v>
      </c>
      <c r="AB156">
        <f t="shared" si="6"/>
        <v>0</v>
      </c>
      <c r="AC156">
        <f t="shared" si="6"/>
        <v>0</v>
      </c>
      <c r="AD156">
        <f t="shared" si="6"/>
        <v>0</v>
      </c>
    </row>
    <row r="157" spans="1:14" ht="12.75">
      <c r="A157" s="130">
        <v>97</v>
      </c>
      <c r="B157" s="252" t="s">
        <v>1864</v>
      </c>
      <c r="C157" s="253" t="s">
        <v>1815</v>
      </c>
      <c r="D157" s="254" t="str">
        <f>IF($A$2="e","Repayment","Pamata maksājumi")</f>
        <v>Pamata maksājumi</v>
      </c>
      <c r="E157" s="267">
        <f>'[2]Izm-Atam'!E157</f>
        <v>0</v>
      </c>
      <c r="F157" s="267">
        <f>'[2]Izm-Atam'!F157</f>
        <v>0</v>
      </c>
      <c r="G157" s="267">
        <f>'[2]Izm-Atam'!G157</f>
        <v>0</v>
      </c>
      <c r="H157" s="267">
        <f>'[2]Izm-Atam'!H157</f>
        <v>0</v>
      </c>
      <c r="I157" s="267">
        <f>'[2]Izm-Atam'!I157</f>
        <v>0</v>
      </c>
      <c r="J157" s="267">
        <f>'[2]Izm-Atam'!J157</f>
        <v>0</v>
      </c>
      <c r="K157" s="267">
        <f>'[2]Izm-Atam'!K157</f>
        <v>0</v>
      </c>
      <c r="L157" s="267">
        <f>'[2]Izm-Atam'!L157</f>
        <v>0</v>
      </c>
      <c r="M157" s="267">
        <f>'[2]Izm-Atam'!M157</f>
        <v>0</v>
      </c>
      <c r="N157" s="267">
        <f>'[2]Izm-Atam'!N157</f>
        <v>0</v>
      </c>
    </row>
    <row r="158" spans="1:14" ht="12.75">
      <c r="A158" s="130"/>
      <c r="B158" s="268" t="s">
        <v>1765</v>
      </c>
      <c r="C158" s="256" t="s">
        <v>1865</v>
      </c>
      <c r="D158" s="257" t="str">
        <f>IF($A$2="e","Interest payment","Procentu maksājumi")</f>
        <v>Procentu maksājumi</v>
      </c>
      <c r="E158" s="269">
        <f>'[2]Izm-Atam'!E158</f>
        <v>0</v>
      </c>
      <c r="F158" s="269">
        <f>'[2]Izm-Atam'!F158</f>
        <v>0</v>
      </c>
      <c r="G158" s="269">
        <f>'[2]Izm-Atam'!G158</f>
        <v>0.02</v>
      </c>
      <c r="H158" s="269">
        <f>'[2]Izm-Atam'!H158</f>
        <v>0</v>
      </c>
      <c r="I158" s="269">
        <f>'[2]Izm-Atam'!I158</f>
        <v>0.02</v>
      </c>
      <c r="J158" s="269">
        <f>'[2]Izm-Atam'!J158</f>
        <v>0.1</v>
      </c>
      <c r="K158" s="269">
        <f>'[2]Izm-Atam'!K158</f>
        <v>0.14</v>
      </c>
      <c r="L158" s="269">
        <f>'[2]Izm-Atam'!L158</f>
        <v>0.14</v>
      </c>
      <c r="M158" s="269">
        <f>'[2]Izm-Atam'!M158</f>
        <v>0.14</v>
      </c>
      <c r="N158" s="269">
        <f>'[2]Izm-Atam'!N158</f>
        <v>0.14</v>
      </c>
    </row>
    <row r="159" spans="1:14" ht="12.75" hidden="1" outlineLevel="1">
      <c r="A159" s="270"/>
      <c r="B159" s="268"/>
      <c r="C159" s="249"/>
      <c r="D159" s="257" t="str">
        <f>IF($A$2="e","Disbursement","Kredīta izmaksa")</f>
        <v>Kredīta izmaksa</v>
      </c>
      <c r="E159" s="266">
        <f>'[2]Izm-Atam'!E159</f>
        <v>0</v>
      </c>
      <c r="F159" s="266">
        <f>'[2]Izm-Atam'!F159</f>
        <v>0</v>
      </c>
      <c r="G159" s="266">
        <f>'[2]Izm-Atam'!G159</f>
        <v>0</v>
      </c>
      <c r="H159" s="266">
        <f>'[2]Izm-Atam'!H159</f>
        <v>0</v>
      </c>
      <c r="I159" s="266">
        <f>'[2]Izm-Atam'!I159</f>
        <v>0</v>
      </c>
      <c r="J159" s="266">
        <f>'[2]Izm-Atam'!J159</f>
        <v>0</v>
      </c>
      <c r="K159" s="266">
        <f>'[2]Izm-Atam'!K159</f>
        <v>0</v>
      </c>
      <c r="L159" s="266">
        <f>'[2]Izm-Atam'!L159</f>
        <v>0</v>
      </c>
      <c r="M159" s="266">
        <f>'[2]Izm-Atam'!M159</f>
        <v>0</v>
      </c>
      <c r="N159" s="266">
        <f>'[2]Izm-Atam'!N159</f>
        <v>0</v>
      </c>
    </row>
    <row r="160" spans="1:14" ht="12.75" hidden="1" outlineLevel="1">
      <c r="A160" s="271"/>
      <c r="B160" s="272"/>
      <c r="C160" s="253" t="s">
        <v>1790</v>
      </c>
      <c r="D160" s="257" t="str">
        <f>IF($A$2="e","Repayment","Pamata maksājumi")</f>
        <v>Pamata maksājumi</v>
      </c>
      <c r="E160" s="267">
        <f>'[2]Izm-Atam'!E160</f>
        <v>0</v>
      </c>
      <c r="F160" s="267">
        <f>'[2]Izm-Atam'!F160</f>
        <v>0</v>
      </c>
      <c r="G160" s="267">
        <f>'[2]Izm-Atam'!G160</f>
        <v>0</v>
      </c>
      <c r="H160" s="267">
        <f>'[2]Izm-Atam'!H160</f>
        <v>0</v>
      </c>
      <c r="I160" s="267">
        <f>'[2]Izm-Atam'!I160</f>
        <v>0</v>
      </c>
      <c r="J160" s="267">
        <f>'[2]Izm-Atam'!J160</f>
        <v>0</v>
      </c>
      <c r="K160" s="267">
        <f>'[2]Izm-Atam'!K160</f>
        <v>0</v>
      </c>
      <c r="L160" s="267">
        <f>'[2]Izm-Atam'!L160</f>
        <v>0</v>
      </c>
      <c r="M160" s="267">
        <f>'[2]Izm-Atam'!M160</f>
        <v>0</v>
      </c>
      <c r="N160" s="267">
        <f>'[2]Izm-Atam'!N160</f>
        <v>0</v>
      </c>
    </row>
    <row r="161" spans="1:14" ht="12.75" hidden="1" outlineLevel="1">
      <c r="A161" s="273"/>
      <c r="B161" s="274"/>
      <c r="C161" s="256" t="s">
        <v>1866</v>
      </c>
      <c r="D161" s="257" t="str">
        <f>IF($A$2="e","Interest payment","Procentu maksājumi")</f>
        <v>Procentu maksājumi</v>
      </c>
      <c r="E161" s="269">
        <f>'[2]Izm-Atam'!E161</f>
        <v>0</v>
      </c>
      <c r="F161" s="269">
        <f>'[2]Izm-Atam'!F161</f>
        <v>0</v>
      </c>
      <c r="G161" s="269">
        <f>'[2]Izm-Atam'!G161</f>
        <v>0</v>
      </c>
      <c r="H161" s="269">
        <f>'[2]Izm-Atam'!H161</f>
        <v>0</v>
      </c>
      <c r="I161" s="269">
        <f>'[2]Izm-Atam'!I161</f>
        <v>0</v>
      </c>
      <c r="J161" s="269">
        <f>'[2]Izm-Atam'!J161</f>
        <v>0</v>
      </c>
      <c r="K161" s="269">
        <f>'[2]Izm-Atam'!K161</f>
        <v>0</v>
      </c>
      <c r="L161" s="269">
        <f>'[2]Izm-Atam'!L161</f>
        <v>0</v>
      </c>
      <c r="M161" s="269">
        <f>'[2]Izm-Atam'!M161</f>
        <v>0</v>
      </c>
      <c r="N161" s="269">
        <f>'[2]Izm-Atam'!N161</f>
        <v>0</v>
      </c>
    </row>
    <row r="162" spans="2:16" ht="12.75" collapsed="1">
      <c r="B162" s="259"/>
      <c r="C162" s="253"/>
      <c r="D162" s="254" t="str">
        <f>IF($A$2="e","Disbursement","Kredīta izmaksa")</f>
        <v>Kredīta izmaksa</v>
      </c>
      <c r="E162" s="255">
        <f>'[2]Izm-Atam'!E162</f>
        <v>0.47059449999999997</v>
      </c>
      <c r="F162" s="255">
        <f>'[2]Izm-Atam'!F162</f>
        <v>0.49237010999999997</v>
      </c>
      <c r="G162" s="255">
        <f>'[2]Izm-Atam'!G162</f>
        <v>0.49237010999999997</v>
      </c>
      <c r="H162" s="255">
        <f>'[2]Izm-Atam'!H162</f>
        <v>41.89237011</v>
      </c>
      <c r="I162" s="255">
        <f>'[2]Izm-Atam'!I162</f>
        <v>43.34770483</v>
      </c>
      <c r="J162" s="255">
        <f>'[2]Izm-Atam'!J162</f>
        <v>0.82</v>
      </c>
      <c r="K162" s="255">
        <f>'[2]Izm-Atam'!K162</f>
        <v>0</v>
      </c>
      <c r="L162" s="255">
        <f>'[2]Izm-Atam'!L162</f>
        <v>0</v>
      </c>
      <c r="M162" s="255">
        <f>'[2]Izm-Atam'!M162</f>
        <v>0</v>
      </c>
      <c r="N162" s="255">
        <f>'[2]Izm-Atam'!N162</f>
        <v>0</v>
      </c>
      <c r="O162">
        <f>O96+O99+O102+O105+O108+O111+O114+O117+O120+O123+O126+O129+O132+O135+O138+O141+O144+O147+O150+O153</f>
        <v>0</v>
      </c>
      <c r="P162">
        <f>P96+P99+P102+P105+P108+P111+P114+P117+P120+P123+P126+P129+P132+P135+P138+P141+P144+P147+P150+P153</f>
        <v>0</v>
      </c>
    </row>
    <row r="163" spans="2:30" ht="12.75">
      <c r="B163" s="260" t="s">
        <v>1867</v>
      </c>
      <c r="C163" s="261" t="s">
        <v>1868</v>
      </c>
      <c r="D163" s="254" t="str">
        <f>IF($A$2="e","Repayment","Pamata maksājumi")</f>
        <v>Pamata maksājumi</v>
      </c>
      <c r="E163" s="255">
        <f>'[2]Izm-Atam'!E163</f>
        <v>3.94297922</v>
      </c>
      <c r="F163" s="255">
        <f>'[2]Izm-Atam'!F163</f>
        <v>2.8071540400000004</v>
      </c>
      <c r="G163" s="255">
        <f>'[2]Izm-Atam'!G163</f>
        <v>4.03357981</v>
      </c>
      <c r="H163" s="255">
        <f>'[2]Izm-Atam'!H163</f>
        <v>3.2204405699999996</v>
      </c>
      <c r="I163" s="255">
        <f>'[2]Izm-Atam'!I163</f>
        <v>14.00415364</v>
      </c>
      <c r="J163" s="255">
        <f>'[2]Izm-Atam'!J163</f>
        <v>14.98257325</v>
      </c>
      <c r="K163" s="255">
        <f>'[2]Izm-Atam'!K163</f>
        <v>16.25463656</v>
      </c>
      <c r="L163" s="255">
        <f>'[2]Izm-Atam'!L163</f>
        <v>16.07434747</v>
      </c>
      <c r="M163" s="255">
        <f>'[2]Izm-Atam'!M163</f>
        <v>17.4842934</v>
      </c>
      <c r="N163" s="255">
        <f>'[2]Izm-Atam'!N163</f>
        <v>21.308071430000002</v>
      </c>
      <c r="O163">
        <f aca="true" t="shared" si="7" ref="O163:AD163">O97+O100+O103+O106++O109+O112+O115+O118+O121+O124+O127+O130+O133+O136+O139+O142+O145+O148+O151+O154</f>
        <v>5.351495159999999</v>
      </c>
      <c r="P163">
        <f t="shared" si="7"/>
        <v>5.15821854</v>
      </c>
      <c r="Q163">
        <f t="shared" si="7"/>
        <v>5.05378654</v>
      </c>
      <c r="R163">
        <f t="shared" si="7"/>
        <v>4.21478654</v>
      </c>
      <c r="S163">
        <f t="shared" si="7"/>
        <v>4.25478654</v>
      </c>
      <c r="T163">
        <f t="shared" si="7"/>
        <v>3.46853654</v>
      </c>
      <c r="U163">
        <f t="shared" si="7"/>
        <v>2.8382865400000004</v>
      </c>
      <c r="V163">
        <f t="shared" si="7"/>
        <v>2.01328654</v>
      </c>
      <c r="W163">
        <f t="shared" si="7"/>
        <v>0.82328654</v>
      </c>
      <c r="X163">
        <f t="shared" si="7"/>
        <v>0.38828654</v>
      </c>
      <c r="Y163">
        <f t="shared" si="7"/>
        <v>0.38828654</v>
      </c>
      <c r="Z163">
        <f t="shared" si="7"/>
        <v>0.38828654</v>
      </c>
      <c r="AA163">
        <f t="shared" si="7"/>
        <v>0.38828654</v>
      </c>
      <c r="AB163">
        <f t="shared" si="7"/>
        <v>0.38828654</v>
      </c>
      <c r="AC163">
        <f t="shared" si="7"/>
        <v>0.38828654</v>
      </c>
      <c r="AD163">
        <f t="shared" si="7"/>
        <v>0.38828643</v>
      </c>
    </row>
    <row r="164" spans="2:30" ht="12.75">
      <c r="B164" s="262"/>
      <c r="C164" s="256"/>
      <c r="D164" s="257" t="str">
        <f>IF($A$2="e","Interest payment","Procentu maksājumi")</f>
        <v>Procentu maksājumi</v>
      </c>
      <c r="E164" s="258">
        <f>'[2]Izm-Atam'!E164</f>
        <v>3.9117559600000003</v>
      </c>
      <c r="F164" s="258">
        <f>'[2]Izm-Atam'!F164</f>
        <v>1.2022866141</v>
      </c>
      <c r="G164" s="258">
        <f>'[2]Izm-Atam'!G164</f>
        <v>3.4841468702000005</v>
      </c>
      <c r="H164" s="258">
        <f>'[2]Izm-Atam'!H164</f>
        <v>1.5742620812</v>
      </c>
      <c r="I164" s="258">
        <f>'[2]Izm-Atam'!I164</f>
        <v>10.172451525499998</v>
      </c>
      <c r="J164" s="258">
        <f>'[2]Izm-Atam'!J164</f>
        <v>14.18759431</v>
      </c>
      <c r="K164" s="258">
        <f>'[2]Izm-Atam'!K164</f>
        <v>13.569620120000003</v>
      </c>
      <c r="L164" s="258">
        <f>'[2]Izm-Atam'!L164</f>
        <v>13.082692610000002</v>
      </c>
      <c r="M164" s="258">
        <f>'[2]Izm-Atam'!M164</f>
        <v>12.311003840000001</v>
      </c>
      <c r="N164" s="258">
        <f>'[2]Izm-Atam'!N164</f>
        <v>11.451641843</v>
      </c>
      <c r="O164">
        <f aca="true" t="shared" si="8" ref="O164:AD164">O98+O101+O104+O107+O110+O113+O116+O119+O122+O125+O128+O131+O134+O137+O140+O143+O146+O149+O152+O155</f>
        <v>1.72515845</v>
      </c>
      <c r="P164">
        <f t="shared" si="8"/>
        <v>1.4904607926027396</v>
      </c>
      <c r="Q164">
        <f t="shared" si="8"/>
        <v>1.2100822594520548</v>
      </c>
      <c r="R164">
        <f t="shared" si="8"/>
        <v>0.9478213195890411</v>
      </c>
      <c r="S164">
        <f t="shared" si="8"/>
        <v>0.7216680364383562</v>
      </c>
      <c r="T164">
        <f t="shared" si="8"/>
        <v>0.49604367328767124</v>
      </c>
      <c r="U164">
        <f t="shared" si="8"/>
        <v>0.32642521328767127</v>
      </c>
      <c r="V164">
        <f t="shared" si="8"/>
        <v>0.18561464328767124</v>
      </c>
      <c r="W164">
        <f t="shared" si="8"/>
        <v>0.10724089328767124</v>
      </c>
      <c r="X164">
        <f t="shared" si="8"/>
        <v>0.08154017</v>
      </c>
      <c r="Y164">
        <f t="shared" si="8"/>
        <v>0.06989157</v>
      </c>
      <c r="Z164">
        <f t="shared" si="8"/>
        <v>0.05824298</v>
      </c>
      <c r="AA164">
        <f t="shared" si="8"/>
        <v>0.04659438</v>
      </c>
      <c r="AB164">
        <f t="shared" si="8"/>
        <v>0.03494579</v>
      </c>
      <c r="AC164">
        <f t="shared" si="8"/>
        <v>0.02329719</v>
      </c>
      <c r="AD164">
        <f t="shared" si="8"/>
        <v>0.0116486</v>
      </c>
    </row>
    <row r="165" spans="2:14" ht="12.75" hidden="1" outlineLevel="1">
      <c r="B165" s="252" t="s">
        <v>567</v>
      </c>
      <c r="C165" s="253" t="s">
        <v>1869</v>
      </c>
      <c r="D165" s="254"/>
      <c r="E165" s="255">
        <f>'[2]Izm-Atam'!E165</f>
        <v>0</v>
      </c>
      <c r="F165" s="255">
        <f>'[2]Izm-Atam'!F165</f>
        <v>0</v>
      </c>
      <c r="G165" s="255">
        <f>'[2]Izm-Atam'!G165</f>
        <v>0</v>
      </c>
      <c r="H165" s="255">
        <f>'[2]Izm-Atam'!H165</f>
        <v>0</v>
      </c>
      <c r="I165" s="255">
        <f>'[2]Izm-Atam'!I165</f>
        <v>0</v>
      </c>
      <c r="J165" s="255">
        <f>'[2]Izm-Atam'!J165</f>
        <v>0</v>
      </c>
      <c r="K165" s="255">
        <f>'[2]Izm-Atam'!K165</f>
        <v>0</v>
      </c>
      <c r="L165" s="255">
        <f>'[2]Izm-Atam'!L165</f>
        <v>0</v>
      </c>
      <c r="M165" s="255">
        <f>'[2]Izm-Atam'!M165</f>
        <v>0</v>
      </c>
      <c r="N165" s="255">
        <f>'[2]Izm-Atam'!N165</f>
        <v>0</v>
      </c>
    </row>
    <row r="166" spans="2:14" ht="12.75" collapsed="1">
      <c r="B166" s="252"/>
      <c r="C166" s="249"/>
      <c r="D166" s="250" t="str">
        <f>IF($A$2="e","Disbursement","Kredīta izmaksa")</f>
        <v>Kredīta izmaksa</v>
      </c>
      <c r="E166" s="251">
        <f>'[2]Izm-Atam'!E166</f>
        <v>0</v>
      </c>
      <c r="F166" s="251">
        <f>'[2]Izm-Atam'!F166</f>
        <v>0</v>
      </c>
      <c r="G166" s="251">
        <f>'[2]Izm-Atam'!G166</f>
        <v>0</v>
      </c>
      <c r="H166" s="251">
        <f>'[2]Izm-Atam'!H166</f>
        <v>0</v>
      </c>
      <c r="I166" s="251">
        <f>'[2]Izm-Atam'!I166</f>
        <v>0</v>
      </c>
      <c r="J166" s="251">
        <f>'[2]Izm-Atam'!J166</f>
        <v>0</v>
      </c>
      <c r="K166" s="251">
        <f>'[2]Izm-Atam'!K166</f>
        <v>0</v>
      </c>
      <c r="L166" s="251">
        <f>'[2]Izm-Atam'!L166</f>
        <v>0</v>
      </c>
      <c r="M166" s="251">
        <f>'[2]Izm-Atam'!M166</f>
        <v>0</v>
      </c>
      <c r="N166" s="251">
        <f>'[2]Izm-Atam'!N166</f>
        <v>0</v>
      </c>
    </row>
    <row r="167" spans="1:14" ht="12.75">
      <c r="A167">
        <v>59</v>
      </c>
      <c r="B167" s="252" t="s">
        <v>568</v>
      </c>
      <c r="C167" s="253" t="s">
        <v>1870</v>
      </c>
      <c r="D167" s="254" t="str">
        <f>IF($A$2="e","Repayment","Pamata maksājumi")</f>
        <v>Pamata maksājumi</v>
      </c>
      <c r="E167" s="255">
        <f>'[2]Izm-Atam'!E167</f>
        <v>0</v>
      </c>
      <c r="F167" s="255">
        <f>'[2]Izm-Atam'!F167</f>
        <v>1.90625</v>
      </c>
      <c r="G167" s="255">
        <f>'[2]Izm-Atam'!G167</f>
        <v>0</v>
      </c>
      <c r="H167" s="255">
        <f>'[2]Izm-Atam'!H167</f>
        <v>1.90625</v>
      </c>
      <c r="I167" s="255">
        <f>'[2]Izm-Atam'!I167</f>
        <v>3.8125</v>
      </c>
      <c r="J167" s="255">
        <f>'[2]Izm-Atam'!J167</f>
        <v>3.8125</v>
      </c>
      <c r="K167" s="255">
        <f>'[2]Izm-Atam'!K167</f>
        <v>3.8125</v>
      </c>
      <c r="L167" s="255">
        <f>'[2]Izm-Atam'!L167</f>
        <v>0</v>
      </c>
      <c r="M167" s="255">
        <f>'[2]Izm-Atam'!M167</f>
        <v>0</v>
      </c>
      <c r="N167" s="255">
        <f>'[2]Izm-Atam'!N167</f>
        <v>0</v>
      </c>
    </row>
    <row r="168" spans="2:14" ht="12.75">
      <c r="B168" s="252"/>
      <c r="C168" s="256" t="s">
        <v>705</v>
      </c>
      <c r="D168" s="257" t="str">
        <f>IF($A$2="e","Interest payment","Procentu maksājumi")</f>
        <v>Procentu maksājumi</v>
      </c>
      <c r="E168" s="258">
        <f>'[2]Izm-Atam'!E168</f>
        <v>0.1250291</v>
      </c>
      <c r="F168" s="258">
        <f>'[2]Izm-Atam'!F168</f>
        <v>0.11127591</v>
      </c>
      <c r="G168" s="258">
        <f>'[2]Izm-Atam'!G168</f>
        <v>0.10606636</v>
      </c>
      <c r="H168" s="258">
        <f>'[2]Izm-Atam'!H168</f>
        <v>0.09585565</v>
      </c>
      <c r="I168" s="258">
        <f>'[2]Izm-Atam'!I168</f>
        <v>0.43822702</v>
      </c>
      <c r="J168" s="258">
        <f>'[2]Izm-Atam'!J168</f>
        <v>0.286108</v>
      </c>
      <c r="K168" s="258">
        <f>'[2]Izm-Atam'!K168</f>
        <v>0.17914302999999998</v>
      </c>
      <c r="L168" s="258">
        <f>'[2]Izm-Atam'!L168</f>
        <v>0.01000233</v>
      </c>
      <c r="M168" s="258">
        <f>'[2]Izm-Atam'!M168</f>
        <v>0</v>
      </c>
      <c r="N168" s="258">
        <f>'[2]Izm-Atam'!N168</f>
        <v>0</v>
      </c>
    </row>
    <row r="169" spans="2:14" ht="12.75">
      <c r="B169" s="259"/>
      <c r="C169" s="253"/>
      <c r="D169" s="254" t="str">
        <f>IF($A$2="e","Disbursement","Kredīta izmaksa")</f>
        <v>Kredīta izmaksa</v>
      </c>
      <c r="E169" s="251">
        <f>'[2]Izm-Atam'!E169</f>
        <v>0</v>
      </c>
      <c r="F169" s="251">
        <f>'[2]Izm-Atam'!F169</f>
        <v>0</v>
      </c>
      <c r="G169" s="251">
        <f>'[2]Izm-Atam'!G169</f>
        <v>0</v>
      </c>
      <c r="H169" s="251">
        <f>'[2]Izm-Atam'!H169</f>
        <v>0</v>
      </c>
      <c r="I169" s="251">
        <f>'[2]Izm-Atam'!I169</f>
        <v>0</v>
      </c>
      <c r="J169" s="251">
        <f>'[2]Izm-Atam'!J169</f>
        <v>0</v>
      </c>
      <c r="K169" s="251">
        <f>'[2]Izm-Atam'!K169</f>
        <v>0</v>
      </c>
      <c r="L169" s="251">
        <f>'[2]Izm-Atam'!L169</f>
        <v>0</v>
      </c>
      <c r="M169" s="251">
        <f>'[2]Izm-Atam'!M169</f>
        <v>0</v>
      </c>
      <c r="N169" s="251">
        <f>'[2]Izm-Atam'!N169</f>
        <v>0</v>
      </c>
    </row>
    <row r="170" spans="1:14" ht="12.75">
      <c r="A170">
        <v>60</v>
      </c>
      <c r="B170" s="252" t="s">
        <v>569</v>
      </c>
      <c r="C170" s="253" t="s">
        <v>1870</v>
      </c>
      <c r="D170" s="254" t="str">
        <f>IF($A$2="e","Repayment","Pamata maksājumi")</f>
        <v>Pamata maksājumi</v>
      </c>
      <c r="E170" s="255">
        <f>'[2]Izm-Atam'!E170</f>
        <v>1.90625</v>
      </c>
      <c r="F170" s="255">
        <f>'[2]Izm-Atam'!F170</f>
        <v>0</v>
      </c>
      <c r="G170" s="255">
        <f>'[2]Izm-Atam'!G170</f>
        <v>1.90625</v>
      </c>
      <c r="H170" s="255">
        <f>'[2]Izm-Atam'!H170</f>
        <v>0</v>
      </c>
      <c r="I170" s="255">
        <f>'[2]Izm-Atam'!I170</f>
        <v>3.8125</v>
      </c>
      <c r="J170" s="255">
        <f>'[2]Izm-Atam'!J170</f>
        <v>3.8125</v>
      </c>
      <c r="K170" s="255">
        <f>'[2]Izm-Atam'!K170</f>
        <v>3.8125</v>
      </c>
      <c r="L170" s="255">
        <f>'[2]Izm-Atam'!L170</f>
        <v>3.425</v>
      </c>
      <c r="M170" s="255">
        <f>'[2]Izm-Atam'!M170</f>
        <v>0</v>
      </c>
      <c r="N170" s="255">
        <f>'[2]Izm-Atam'!N170</f>
        <v>0</v>
      </c>
    </row>
    <row r="171" spans="2:14" ht="12.75">
      <c r="B171" s="262"/>
      <c r="C171" s="253" t="s">
        <v>729</v>
      </c>
      <c r="D171" s="254" t="str">
        <f>IF($A$2="e","Interest payment","Procentu maksājumi")</f>
        <v>Procentu maksājumi</v>
      </c>
      <c r="E171" s="258">
        <f>'[2]Izm-Atam'!E171</f>
        <v>0.15066007999999997</v>
      </c>
      <c r="F171" s="258">
        <f>'[2]Izm-Atam'!F171</f>
        <v>0.2</v>
      </c>
      <c r="G171" s="258">
        <f>'[2]Izm-Atam'!G171</f>
        <v>0.13148894</v>
      </c>
      <c r="H171" s="258">
        <f>'[2]Izm-Atam'!H171</f>
        <v>0.11502678</v>
      </c>
      <c r="I171" s="258">
        <f>'[2]Izm-Atam'!I171</f>
        <v>0.5971758</v>
      </c>
      <c r="J171" s="258">
        <f>'[2]Izm-Atam'!J171</f>
        <v>0.374879</v>
      </c>
      <c r="K171" s="258">
        <f>'[2]Izm-Atam'!K171</f>
        <v>0.26791369000000004</v>
      </c>
      <c r="L171" s="258">
        <f>'[2]Izm-Atam'!L171</f>
        <v>0.07084984</v>
      </c>
      <c r="M171" s="258">
        <f>'[2]Izm-Atam'!M171</f>
        <v>0</v>
      </c>
      <c r="N171" s="258">
        <f>'[2]Izm-Atam'!N171</f>
        <v>0</v>
      </c>
    </row>
    <row r="172" spans="2:30" ht="12.75">
      <c r="B172" s="259"/>
      <c r="C172" s="249"/>
      <c r="D172" s="250" t="str">
        <f>IF($A$2="e","Disbursement","Kredīta izmaksa")</f>
        <v>Kredīta izmaksa</v>
      </c>
      <c r="E172" s="251">
        <f>'[2]Izm-Atam'!E172</f>
        <v>0</v>
      </c>
      <c r="F172" s="251">
        <f>'[2]Izm-Atam'!F172</f>
        <v>0</v>
      </c>
      <c r="G172" s="251">
        <f>'[2]Izm-Atam'!G172</f>
        <v>0</v>
      </c>
      <c r="H172" s="251">
        <f>'[2]Izm-Atam'!H172</f>
        <v>0</v>
      </c>
      <c r="I172" s="251">
        <f>'[2]Izm-Atam'!I172</f>
        <v>0</v>
      </c>
      <c r="J172" s="251">
        <f>'[2]Izm-Atam'!J172</f>
        <v>0</v>
      </c>
      <c r="K172" s="251">
        <f>'[2]Izm-Atam'!K172</f>
        <v>0</v>
      </c>
      <c r="L172" s="251">
        <f>'[2]Izm-Atam'!L172</f>
        <v>0</v>
      </c>
      <c r="M172" s="251">
        <f>'[2]Izm-Atam'!M172</f>
        <v>0</v>
      </c>
      <c r="N172" s="251">
        <f>'[2]Izm-Atam'!N172</f>
        <v>0</v>
      </c>
      <c r="O172">
        <f aca="true" t="shared" si="9" ref="O172:AD174">O166+O169</f>
        <v>0</v>
      </c>
      <c r="P172">
        <f t="shared" si="9"/>
        <v>0</v>
      </c>
      <c r="Q172">
        <f t="shared" si="9"/>
        <v>0</v>
      </c>
      <c r="R172">
        <f t="shared" si="9"/>
        <v>0</v>
      </c>
      <c r="S172">
        <f t="shared" si="9"/>
        <v>0</v>
      </c>
      <c r="T172">
        <f t="shared" si="9"/>
        <v>0</v>
      </c>
      <c r="U172">
        <f t="shared" si="9"/>
        <v>0</v>
      </c>
      <c r="V172">
        <f t="shared" si="9"/>
        <v>0</v>
      </c>
      <c r="W172">
        <f t="shared" si="9"/>
        <v>0</v>
      </c>
      <c r="X172">
        <f t="shared" si="9"/>
        <v>0</v>
      </c>
      <c r="Y172">
        <f t="shared" si="9"/>
        <v>0</v>
      </c>
      <c r="Z172">
        <f t="shared" si="9"/>
        <v>0</v>
      </c>
      <c r="AA172">
        <f t="shared" si="9"/>
        <v>0</v>
      </c>
      <c r="AB172">
        <f t="shared" si="9"/>
        <v>0</v>
      </c>
      <c r="AC172">
        <f t="shared" si="9"/>
        <v>0</v>
      </c>
      <c r="AD172">
        <f t="shared" si="9"/>
        <v>0</v>
      </c>
    </row>
    <row r="173" spans="2:30" ht="12.75">
      <c r="B173" s="260" t="s">
        <v>1871</v>
      </c>
      <c r="C173" s="261" t="s">
        <v>1872</v>
      </c>
      <c r="D173" s="254" t="str">
        <f>IF($A$2="e","Repayment","Pamata maksājumi")</f>
        <v>Pamata maksājumi</v>
      </c>
      <c r="E173" s="255">
        <f>'[2]Izm-Atam'!E173</f>
        <v>1.90625</v>
      </c>
      <c r="F173" s="255">
        <f>'[2]Izm-Atam'!F173</f>
        <v>1.90625</v>
      </c>
      <c r="G173" s="255">
        <f>'[2]Izm-Atam'!G173</f>
        <v>1.90625</v>
      </c>
      <c r="H173" s="255">
        <f>'[2]Izm-Atam'!H173</f>
        <v>1.90625</v>
      </c>
      <c r="I173" s="255">
        <f>'[2]Izm-Atam'!I173</f>
        <v>7.625</v>
      </c>
      <c r="J173" s="255">
        <f>'[2]Izm-Atam'!J173</f>
        <v>7.625</v>
      </c>
      <c r="K173" s="255">
        <f>'[2]Izm-Atam'!K173</f>
        <v>7.625</v>
      </c>
      <c r="L173" s="255">
        <f>'[2]Izm-Atam'!L173</f>
        <v>3.425</v>
      </c>
      <c r="M173" s="255">
        <f>'[2]Izm-Atam'!M173</f>
        <v>0</v>
      </c>
      <c r="N173" s="255">
        <f>'[2]Izm-Atam'!N173</f>
        <v>0</v>
      </c>
      <c r="O173">
        <f t="shared" si="9"/>
        <v>0</v>
      </c>
      <c r="P173">
        <f t="shared" si="9"/>
        <v>0</v>
      </c>
      <c r="Q173">
        <f t="shared" si="9"/>
        <v>0</v>
      </c>
      <c r="R173">
        <f t="shared" si="9"/>
        <v>0</v>
      </c>
      <c r="S173">
        <f t="shared" si="9"/>
        <v>0</v>
      </c>
      <c r="T173">
        <f t="shared" si="9"/>
        <v>0</v>
      </c>
      <c r="U173">
        <f t="shared" si="9"/>
        <v>0</v>
      </c>
      <c r="V173">
        <f t="shared" si="9"/>
        <v>0</v>
      </c>
      <c r="W173">
        <f t="shared" si="9"/>
        <v>0</v>
      </c>
      <c r="X173">
        <f t="shared" si="9"/>
        <v>0</v>
      </c>
      <c r="Y173">
        <f t="shared" si="9"/>
        <v>0</v>
      </c>
      <c r="Z173">
        <f t="shared" si="9"/>
        <v>0</v>
      </c>
      <c r="AA173">
        <f t="shared" si="9"/>
        <v>0</v>
      </c>
      <c r="AB173">
        <f t="shared" si="9"/>
        <v>0</v>
      </c>
      <c r="AC173">
        <f t="shared" si="9"/>
        <v>0</v>
      </c>
      <c r="AD173">
        <f t="shared" si="9"/>
        <v>0</v>
      </c>
    </row>
    <row r="174" spans="2:30" ht="12.75">
      <c r="B174" s="262"/>
      <c r="C174" s="256"/>
      <c r="D174" s="257" t="str">
        <f>IF($A$2="e","Interest payment","Procentu maksājumi")</f>
        <v>Procentu maksājumi</v>
      </c>
      <c r="E174" s="258">
        <f>'[2]Izm-Atam'!E174</f>
        <v>0.27568918</v>
      </c>
      <c r="F174" s="258">
        <f>'[2]Izm-Atam'!F174</f>
        <v>0.31127591</v>
      </c>
      <c r="G174" s="258">
        <f>'[2]Izm-Atam'!G174</f>
        <v>0.2375553</v>
      </c>
      <c r="H174" s="258">
        <f>'[2]Izm-Atam'!H174</f>
        <v>0.21088243</v>
      </c>
      <c r="I174" s="258">
        <f>'[2]Izm-Atam'!I174</f>
        <v>1.03540282</v>
      </c>
      <c r="J174" s="258">
        <f>'[2]Izm-Atam'!J174</f>
        <v>0.660987</v>
      </c>
      <c r="K174" s="258">
        <f>'[2]Izm-Atam'!K174</f>
        <v>0.44705672</v>
      </c>
      <c r="L174" s="258">
        <f>'[2]Izm-Atam'!L174</f>
        <v>0.08085217</v>
      </c>
      <c r="M174" s="258">
        <f>'[2]Izm-Atam'!M174</f>
        <v>0</v>
      </c>
      <c r="N174" s="258">
        <f>'[2]Izm-Atam'!N174</f>
        <v>0</v>
      </c>
      <c r="O174">
        <f t="shared" si="9"/>
        <v>0</v>
      </c>
      <c r="P174">
        <f t="shared" si="9"/>
        <v>0</v>
      </c>
      <c r="Q174">
        <f t="shared" si="9"/>
        <v>0</v>
      </c>
      <c r="R174">
        <f t="shared" si="9"/>
        <v>0</v>
      </c>
      <c r="S174">
        <f t="shared" si="9"/>
        <v>0</v>
      </c>
      <c r="T174">
        <f t="shared" si="9"/>
        <v>0</v>
      </c>
      <c r="U174">
        <f t="shared" si="9"/>
        <v>0</v>
      </c>
      <c r="V174">
        <f t="shared" si="9"/>
        <v>0</v>
      </c>
      <c r="W174">
        <f t="shared" si="9"/>
        <v>0</v>
      </c>
      <c r="X174">
        <f t="shared" si="9"/>
        <v>0</v>
      </c>
      <c r="Y174">
        <f t="shared" si="9"/>
        <v>0</v>
      </c>
      <c r="Z174">
        <f t="shared" si="9"/>
        <v>0</v>
      </c>
      <c r="AA174">
        <f t="shared" si="9"/>
        <v>0</v>
      </c>
      <c r="AB174">
        <f t="shared" si="9"/>
        <v>0</v>
      </c>
      <c r="AC174">
        <f t="shared" si="9"/>
        <v>0</v>
      </c>
      <c r="AD174">
        <f t="shared" si="9"/>
        <v>0</v>
      </c>
    </row>
    <row r="175" spans="2:14" ht="3" customHeight="1">
      <c r="B175" s="275"/>
      <c r="C175" s="253"/>
      <c r="D175" s="254"/>
      <c r="E175" s="258"/>
      <c r="F175" s="258"/>
      <c r="G175" s="258"/>
      <c r="H175" s="258"/>
      <c r="I175" s="258">
        <f>SUM(E175:H175)</f>
        <v>0</v>
      </c>
      <c r="J175" s="258"/>
      <c r="K175" s="258"/>
      <c r="L175" s="258"/>
      <c r="M175" s="258"/>
      <c r="N175" s="258"/>
    </row>
    <row r="176" spans="2:14" ht="12.75">
      <c r="B176" s="276"/>
      <c r="C176" s="277"/>
      <c r="D176" s="278" t="str">
        <f>IF($A$2="e","Disbursement","Kredīta izmaksa")</f>
        <v>Kredīta izmaksa</v>
      </c>
      <c r="E176" s="279">
        <v>3.39</v>
      </c>
      <c r="F176" s="279">
        <v>5.72</v>
      </c>
      <c r="G176" s="279">
        <v>4.63</v>
      </c>
      <c r="H176" s="279">
        <v>29.95</v>
      </c>
      <c r="I176" s="279">
        <v>43.69</v>
      </c>
      <c r="J176" s="279">
        <f>J10*'[3]1pusg'!$C$8+J23*'[3]1pusg'!$C$10+J66*'[3]1pusg'!$C$6+J76*'[3]1pusg'!$C$12+J86*'[3]1pusg'!$C$9+J162*'[3]1pusg'!$C$5+J172*'[3]1pusg'!$CE$18+J60*'[3]1pusg'!$C$6</f>
        <v>3.877928136754064</v>
      </c>
      <c r="K176" s="279">
        <f>K10*'[3]1pusg'!$C$8+K23*'[3]1pusg'!$C$10+K66*'[3]1pusg'!$C$6+K76*'[3]1pusg'!$C$12+K86*'[3]1pusg'!$C$9+K162*'[3]1pusg'!$C$5+K172*'[3]1pusg'!$CE$18+K60*'[3]1pusg'!$C$6</f>
        <v>4.055445454545454</v>
      </c>
      <c r="L176" s="279">
        <f>L10*'[3]1pusg'!$C$8+L23*'[3]1pusg'!$C$10+L66*'[3]1pusg'!$C$6+L76*'[3]1pusg'!$C$12+L86*'[3]1pusg'!$C$9+L162*'[3]1pusg'!$C$5+L172*'[3]1pusg'!$CE$18+L60*'[3]1pusg'!$C$6</f>
        <v>0</v>
      </c>
      <c r="M176" s="279">
        <f>M10*'[3]1pusg'!$C$8+M23*'[3]1pusg'!$C$10+M66*'[3]1pusg'!$C$6+M76*'[3]1pusg'!$C$12+M86*'[3]1pusg'!$C$9+M162*'[3]1pusg'!$C$5+M172*'[3]1pusg'!$CE$18+M60*'[3]1pusg'!$C$6</f>
        <v>0.42479999999999996</v>
      </c>
      <c r="N176" s="279">
        <f>N10*'[3]1pusg'!$C$8+N23*'[3]1pusg'!$C$10+N66*'[3]1pusg'!$C$6+N76*'[3]1pusg'!$C$12+N86*'[3]1pusg'!$C$9+N162*'[3]1pusg'!$C$5+N172*'[3]1pusg'!$CE$18+N60*'[3]1pusg'!$C$6</f>
        <v>0.1652</v>
      </c>
    </row>
    <row r="177" spans="2:14" ht="12.75">
      <c r="B177" s="280" t="s">
        <v>1873</v>
      </c>
      <c r="C177" s="281" t="s">
        <v>1874</v>
      </c>
      <c r="D177" s="282" t="str">
        <f>IF($A$2="e","Repayment","Pamata maksājumi")</f>
        <v>Pamata maksājumi</v>
      </c>
      <c r="E177" s="283">
        <v>5.1</v>
      </c>
      <c r="F177" s="283">
        <v>4.61</v>
      </c>
      <c r="G177" s="283">
        <f>G11*'[3]1pusg'!$C$8+G24*'[3]1pusg'!$C$10+G67*'[3]1pusg'!$C$6+G77*'[3]1pusg'!$C$12+G87*'[3]1pusg'!$C$9+G163*'[3]1pusg'!$C$5+G173*'[3]1pusg'!$CE$18+G61*'[3]1pusg'!$C$6</f>
        <v>5.15872392801</v>
      </c>
      <c r="H177" s="283">
        <f>H11*'[3]1pusg'!$C$8+H24*'[3]1pusg'!$C$10+H67*'[3]1pusg'!$C$6+H77*'[3]1pusg'!$C$12+H87*'[3]1pusg'!$C$9+H163*'[3]1pusg'!$C$5+H173*'[3]1pusg'!$CE$18+H61*'[3]1pusg'!$C$6</f>
        <v>4.827980997366</v>
      </c>
      <c r="I177" s="283">
        <v>19.69</v>
      </c>
      <c r="J177" s="283">
        <f>J11*'[3]1pusg'!$C$8+J24*'[3]1pusg'!$C$10+J67*'[3]1pusg'!$C$6+J77*'[3]1pusg'!$C$12+J87*'[3]1pusg'!$C$9+J163*'[3]1pusg'!$C$5+J173*'[3]1pusg'!$CE$18+J61*'[3]1pusg'!$C$6</f>
        <v>24.969099872520292</v>
      </c>
      <c r="K177" s="283">
        <f>K11*'[3]1pusg'!$C$8+K24*'[3]1pusg'!$C$10+K67*'[3]1pusg'!$C$6+K77*'[3]1pusg'!$C$12+K87*'[3]1pusg'!$C$9+K163*'[3]1pusg'!$C$5+K173*'[3]1pusg'!$CE$18+K61*'[3]1pusg'!$C$6</f>
        <v>26.053242438248127</v>
      </c>
      <c r="L177" s="283">
        <f>L11*'[3]1pusg'!$C$8+L24*'[3]1pusg'!$C$10+L67*'[3]1pusg'!$C$6+L77*'[3]1pusg'!$C$12+L87*'[3]1pusg'!$C$9+L163*'[3]1pusg'!$C$5+L173*'[3]1pusg'!$CE$18+L61*'[3]1pusg'!$C$6</f>
        <v>155.31821430099433</v>
      </c>
      <c r="M177" s="283">
        <f>M11*'[3]1pusg'!$C$8+M24*'[3]1pusg'!$C$10+M67*'[3]1pusg'!$C$6+M77*'[3]1pusg'!$C$12+M87*'[3]1pusg'!$C$9+M163*'[3]1pusg'!$C$5+M173*'[3]1pusg'!$CE$18+M61*'[3]1pusg'!$C$6</f>
        <v>23.28397680486667</v>
      </c>
      <c r="N177" s="283">
        <f>N11*'[3]1pusg'!$C$8+N24*'[3]1pusg'!$C$10+N67*'[3]1pusg'!$C$6+N77*'[3]1pusg'!$C$12+N87*'[3]1pusg'!$C$9+N163*'[3]1pusg'!$C$5+N173*'[3]1pusg'!$CE$18+N61*'[3]1pusg'!$C$6</f>
        <v>26.030926459563407</v>
      </c>
    </row>
    <row r="178" spans="2:20" ht="12.75">
      <c r="B178" s="284"/>
      <c r="C178" s="285"/>
      <c r="D178" s="286" t="str">
        <f>IF($A$2="e","Interest payment","Procentu maksājumi")</f>
        <v>Procentu maksājumi</v>
      </c>
      <c r="E178" s="287">
        <v>3.26</v>
      </c>
      <c r="F178" s="287">
        <v>10.47</v>
      </c>
      <c r="G178" s="287">
        <f>G12*'[3]1pusg'!$C$8+G25*'[3]1pusg'!$C$10+G68*'[3]1pusg'!$C$6+G78*'[3]1pusg'!$C$12+G88*'[3]1pusg'!$C$9+G164*'[3]1pusg'!$C$5+G174*'[3]1pusg'!$CE$18+G62*'[3]1pusg'!$C$6</f>
        <v>2.991347055169401</v>
      </c>
      <c r="H178" s="287">
        <f>H12*'[3]1pusg'!$C$8+H25*'[3]1pusg'!$C$10+H68*'[3]1pusg'!$C$6+H78*'[3]1pusg'!$C$12+H88*'[3]1pusg'!$C$9+H164*'[3]1pusg'!$C$5+H174*'[3]1pusg'!$CE$18+H62*'[3]1pusg'!$C$6</f>
        <v>2.3410261896710005</v>
      </c>
      <c r="I178" s="287">
        <v>19.05</v>
      </c>
      <c r="J178" s="287">
        <f>J12*'[3]1pusg'!$C$8+J25*'[3]1pusg'!$C$10+J68*'[3]1pusg'!$C$6+J78*'[3]1pusg'!$C$12+J88*'[3]1pusg'!$C$9+J164*'[3]1pusg'!$C$5+J174*'[3]1pusg'!$CE$18+J62*'[3]1pusg'!$C$6</f>
        <v>21.276681658770002</v>
      </c>
      <c r="K178" s="287">
        <f>K12*'[3]1pusg'!$C$8+K25*'[3]1pusg'!$C$10+K68*'[3]1pusg'!$C$6+K78*'[3]1pusg'!$C$12+K88*'[3]1pusg'!$C$9+K164*'[3]1pusg'!$C$5+K174*'[3]1pusg'!$CE$18+K62*'[3]1pusg'!$C$6</f>
        <v>20.7050873969142</v>
      </c>
      <c r="L178" s="287">
        <f>L12*'[3]1pusg'!$C$8+L25*'[3]1pusg'!$C$10+L68*'[3]1pusg'!$C$6+L78*'[3]1pusg'!$C$12+L88*'[3]1pusg'!$C$9+L164*'[3]1pusg'!$C$5+L174*'[3]1pusg'!$CE$18+L62*'[3]1pusg'!$C$6</f>
        <v>22.24136467747889</v>
      </c>
      <c r="M178" s="287">
        <f>M12*'[3]1pusg'!$C$8+M25*'[3]1pusg'!$C$10+M68*'[3]1pusg'!$C$6+M78*'[3]1pusg'!$C$12+M88*'[3]1pusg'!$C$9+M164*'[3]1pusg'!$C$5+M174*'[3]1pusg'!$CE$18+M62*'[3]1pusg'!$C$6</f>
        <v>10.93347239893289</v>
      </c>
      <c r="N178" s="287">
        <f>N12*'[3]1pusg'!$C$8+N25*'[3]1pusg'!$C$10+N68*'[3]1pusg'!$C$6+N78*'[3]1pusg'!$C$12+N88*'[3]1pusg'!$C$9+N164*'[3]1pusg'!$C$5+N174*'[3]1pusg'!$CE$18+N62*'[3]1pusg'!$C$6</f>
        <v>9.39706451310865</v>
      </c>
      <c r="O178">
        <f>O15*'[3]1pusg'!$C$8+125*'[3]1pusg'!$C$10+O68*'[3]1pusg'!$C$6+O78*'[3]1pusg'!$C$12+O88*'[3]1pusg'!$C$9+O164*'[3]1pusg'!$C$5+O174*'[3]1pusg'!$C$18</f>
        <v>11.794268366857372</v>
      </c>
      <c r="P178">
        <f>P15*'[3]1pusg'!$C$8+125*'[3]1pusg'!$C$10+P68*'[3]1pusg'!$C$6+P78*'[3]1pusg'!$C$12+P88*'[3]1pusg'!$C$9+P164*'[3]1pusg'!$C$5+P174*'[3]1pusg'!$C$18</f>
        <v>11.246147521162445</v>
      </c>
      <c r="Q178">
        <f>Q15*'[3]1pusg'!$C$8+125*'[3]1pusg'!$C$10+Q68*'[3]1pusg'!$C$6+Q78*'[3]1pusg'!$C$12+Q88*'[3]1pusg'!$C$9+Q164*'[3]1pusg'!$C$5+Q174*'[3]1pusg'!$C$18</f>
        <v>10.67574627152523</v>
      </c>
      <c r="R178">
        <f>R15*'[3]1pusg'!$C$8+125*'[3]1pusg'!$C$10+R68*'[3]1pusg'!$C$6+R78*'[3]1pusg'!$C$12+R88*'[3]1pusg'!$C$9+R164*'[3]1pusg'!$C$5+R174*'[3]1pusg'!$C$18</f>
        <v>10.203886073576218</v>
      </c>
      <c r="S178">
        <f>S15*'[3]1pusg'!$C$8+125*'[3]1pusg'!$C$10+S68*'[3]1pusg'!$C$6+S78*'[3]1pusg'!$C$12+S88*'[3]1pusg'!$C$9+S164*'[3]1pusg'!$C$5+S174*'[3]1pusg'!$C$18</f>
        <v>9.90485192150704</v>
      </c>
      <c r="T178">
        <f>T15*'[3]1pusg'!$C$8+125*'[3]1pusg'!$C$10+T68*'[3]1pusg'!$C$6+T78*'[3]1pusg'!$C$12+T88*'[3]1pusg'!$C$9+T164*'[3]1pusg'!$C$5+T174*'[3]1pusg'!$C$18</f>
        <v>9.679944824637861</v>
      </c>
    </row>
    <row r="180" ht="12.75">
      <c r="H180" t="s">
        <v>1875</v>
      </c>
    </row>
    <row r="181" ht="12.75" hidden="1" outlineLevel="1">
      <c r="E181" t="s">
        <v>1876</v>
      </c>
    </row>
    <row r="182" spans="8:9" ht="12.75" collapsed="1">
      <c r="H182" s="288" t="s">
        <v>657</v>
      </c>
      <c r="I182" s="288">
        <v>0.625</v>
      </c>
    </row>
    <row r="183" spans="8:9" ht="12.75">
      <c r="H183" s="288" t="s">
        <v>647</v>
      </c>
      <c r="I183" s="288">
        <v>0.59</v>
      </c>
    </row>
    <row r="184" spans="8:9" ht="12.75" hidden="1" outlineLevel="1">
      <c r="H184" s="288"/>
      <c r="I184" s="288"/>
    </row>
    <row r="185" spans="8:9" ht="12.75" collapsed="1">
      <c r="H185" s="288" t="s">
        <v>669</v>
      </c>
      <c r="I185" s="288">
        <v>0.363</v>
      </c>
    </row>
    <row r="186" spans="8:9" ht="12.75">
      <c r="H186" s="288" t="s">
        <v>684</v>
      </c>
      <c r="I186" s="288">
        <v>0.064</v>
      </c>
    </row>
    <row r="187" spans="8:9" ht="12.75">
      <c r="H187" s="288" t="s">
        <v>751</v>
      </c>
      <c r="I187" s="288">
        <v>0.0732</v>
      </c>
    </row>
    <row r="188" spans="8:9" ht="12.75" hidden="1" outlineLevel="1">
      <c r="H188" s="288" t="s">
        <v>1877</v>
      </c>
      <c r="I188" s="288">
        <v>0.0349</v>
      </c>
    </row>
    <row r="189" spans="8:9" ht="12.75" collapsed="1">
      <c r="H189" s="288" t="s">
        <v>825</v>
      </c>
      <c r="I189" s="288">
        <v>0.00554</v>
      </c>
    </row>
    <row r="190" spans="8:9" ht="12.75" hidden="1" outlineLevel="1">
      <c r="H190" s="288" t="s">
        <v>1878</v>
      </c>
      <c r="I190" s="288">
        <v>0.0675</v>
      </c>
    </row>
    <row r="191" spans="8:9" ht="12.75" hidden="1" outlineLevel="1">
      <c r="H191" s="288" t="s">
        <v>1879</v>
      </c>
      <c r="I191" s="288">
        <v>0.407</v>
      </c>
    </row>
    <row r="192" spans="8:9" ht="12.75" hidden="1" outlineLevel="1">
      <c r="H192" s="288" t="s">
        <v>1880</v>
      </c>
      <c r="I192" s="288">
        <v>0.0222</v>
      </c>
    </row>
    <row r="193" spans="8:9" ht="12.75" hidden="1" outlineLevel="1">
      <c r="H193" s="288" t="s">
        <v>1881</v>
      </c>
      <c r="I193" s="288">
        <v>0.155</v>
      </c>
    </row>
    <row r="194" spans="8:9" ht="12.75" hidden="1" outlineLevel="1">
      <c r="H194" s="288" t="s">
        <v>1882</v>
      </c>
      <c r="I194" s="288">
        <v>0.142</v>
      </c>
    </row>
    <row r="195" spans="8:9" ht="12.75" collapsed="1">
      <c r="H195" s="288" t="s">
        <v>1883</v>
      </c>
      <c r="I195" s="288">
        <v>0.7997</v>
      </c>
    </row>
    <row r="198" s="289" customFormat="1" ht="15.75"/>
    <row r="199" s="289" customFormat="1" ht="15.75"/>
    <row r="200" s="289" customFormat="1" ht="15.75"/>
    <row r="201" s="289" customFormat="1" ht="15.75"/>
    <row r="202" spans="2:8" s="289" customFormat="1" ht="15.75">
      <c r="B202" s="289" t="s">
        <v>264</v>
      </c>
      <c r="H202" s="289" t="s">
        <v>473</v>
      </c>
    </row>
  </sheetData>
  <mergeCells count="3">
    <mergeCell ref="B3:M3"/>
    <mergeCell ref="B4:M4"/>
    <mergeCell ref="E5:H5"/>
  </mergeCells>
  <printOptions/>
  <pageMargins left="0.75" right="0.45" top="1" bottom="1" header="0.5" footer="0.5"/>
  <pageSetup horizontalDpi="600" verticalDpi="600" orientation="portrait" paperSize="9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4" sqref="A14"/>
    </sheetView>
  </sheetViews>
  <sheetFormatPr defaultColWidth="9.140625" defaultRowHeight="12.75"/>
  <cols>
    <col min="1" max="1" width="42.28125" style="71" customWidth="1"/>
    <col min="2" max="2" width="9.57421875" style="71" customWidth="1"/>
    <col min="3" max="4" width="10.140625" style="71" customWidth="1"/>
    <col min="5" max="5" width="9.28125" style="71" customWidth="1"/>
    <col min="6" max="6" width="8.7109375" style="71" customWidth="1"/>
    <col min="7" max="7" width="10.28125" style="71" customWidth="1"/>
    <col min="8" max="8" width="9.421875" style="71" customWidth="1"/>
    <col min="9" max="9" width="9.00390625" style="71" customWidth="1"/>
    <col min="10" max="10" width="10.57421875" style="71" customWidth="1"/>
    <col min="11" max="11" width="10.28125" style="71" customWidth="1"/>
    <col min="12" max="16384" width="6.7109375" style="71" customWidth="1"/>
  </cols>
  <sheetData>
    <row r="1" ht="15">
      <c r="K1" s="111" t="s">
        <v>575</v>
      </c>
    </row>
    <row r="2" spans="1:11" s="153" customFormat="1" ht="18">
      <c r="A2" s="152" t="s">
        <v>576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 s="7" customFormat="1" ht="11.25">
      <c r="A4" s="156"/>
      <c r="B4" s="118" t="s">
        <v>577</v>
      </c>
      <c r="C4" s="118"/>
      <c r="D4" s="120" t="s">
        <v>477</v>
      </c>
      <c r="E4" s="157"/>
      <c r="F4" s="158" t="s">
        <v>477</v>
      </c>
      <c r="G4" s="123" t="s">
        <v>478</v>
      </c>
      <c r="H4" s="124"/>
      <c r="I4" s="124"/>
      <c r="J4" s="125"/>
      <c r="K4" s="126" t="s">
        <v>577</v>
      </c>
    </row>
    <row r="5" spans="1:11" s="7" customFormat="1" ht="11.25">
      <c r="A5" s="127" t="s">
        <v>578</v>
      </c>
      <c r="B5" s="128" t="s">
        <v>480</v>
      </c>
      <c r="C5" s="159"/>
      <c r="D5" s="128" t="s">
        <v>481</v>
      </c>
      <c r="E5" s="159"/>
      <c r="F5" s="59" t="s">
        <v>482</v>
      </c>
      <c r="G5" s="126" t="s">
        <v>577</v>
      </c>
      <c r="H5" s="126" t="s">
        <v>577</v>
      </c>
      <c r="I5" s="126" t="s">
        <v>483</v>
      </c>
      <c r="J5" s="126" t="s">
        <v>577</v>
      </c>
      <c r="K5" s="127" t="s">
        <v>484</v>
      </c>
    </row>
    <row r="6" spans="1:11" s="7" customFormat="1" ht="11.25">
      <c r="A6" s="127" t="s">
        <v>485</v>
      </c>
      <c r="B6" s="160"/>
      <c r="C6" s="160"/>
      <c r="D6" s="133" t="s">
        <v>486</v>
      </c>
      <c r="E6" s="159"/>
      <c r="F6" s="59" t="s">
        <v>487</v>
      </c>
      <c r="G6" s="127" t="s">
        <v>488</v>
      </c>
      <c r="H6" s="127" t="s">
        <v>489</v>
      </c>
      <c r="I6" s="127" t="s">
        <v>490</v>
      </c>
      <c r="J6" s="127" t="s">
        <v>491</v>
      </c>
      <c r="K6" s="127" t="s">
        <v>492</v>
      </c>
    </row>
    <row r="7" spans="1:11" s="7" customFormat="1" ht="11.25">
      <c r="A7" s="127"/>
      <c r="B7" s="127" t="s">
        <v>493</v>
      </c>
      <c r="C7" s="161"/>
      <c r="D7" s="127" t="s">
        <v>493</v>
      </c>
      <c r="E7" s="162" t="s">
        <v>494</v>
      </c>
      <c r="F7" s="59" t="s">
        <v>579</v>
      </c>
      <c r="G7" s="127" t="s">
        <v>496</v>
      </c>
      <c r="H7" s="127" t="s">
        <v>496</v>
      </c>
      <c r="I7" s="127" t="s">
        <v>497</v>
      </c>
      <c r="J7" s="127" t="s">
        <v>498</v>
      </c>
      <c r="K7" s="127" t="s">
        <v>499</v>
      </c>
    </row>
    <row r="8" spans="1:11" s="7" customFormat="1" ht="11.25">
      <c r="A8" s="127"/>
      <c r="B8" s="137" t="s">
        <v>500</v>
      </c>
      <c r="C8" s="137" t="s">
        <v>501</v>
      </c>
      <c r="D8" s="137" t="s">
        <v>500</v>
      </c>
      <c r="E8" s="139" t="s">
        <v>501</v>
      </c>
      <c r="F8" s="163" t="s">
        <v>501</v>
      </c>
      <c r="G8" s="127" t="s">
        <v>501</v>
      </c>
      <c r="H8" s="127" t="s">
        <v>501</v>
      </c>
      <c r="I8" s="127" t="s">
        <v>501</v>
      </c>
      <c r="J8" s="127" t="s">
        <v>501</v>
      </c>
      <c r="K8" s="137" t="s">
        <v>501</v>
      </c>
    </row>
    <row r="9" spans="1:11" s="3" customFormat="1" ht="12.75">
      <c r="A9" s="139">
        <v>1</v>
      </c>
      <c r="B9" s="139">
        <v>2</v>
      </c>
      <c r="C9" s="139">
        <v>3</v>
      </c>
      <c r="D9" s="139">
        <v>4</v>
      </c>
      <c r="E9" s="139">
        <v>5</v>
      </c>
      <c r="F9" s="164">
        <v>6</v>
      </c>
      <c r="G9" s="139">
        <v>7</v>
      </c>
      <c r="H9" s="139">
        <v>8</v>
      </c>
      <c r="I9" s="139">
        <v>9</v>
      </c>
      <c r="J9" s="139">
        <v>10</v>
      </c>
      <c r="K9" s="139">
        <v>11</v>
      </c>
    </row>
    <row r="10" spans="1:11" s="57" customFormat="1" ht="11.25">
      <c r="A10" s="140" t="s">
        <v>580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57" customFormat="1" ht="11.25">
      <c r="A11" s="146" t="s">
        <v>581</v>
      </c>
      <c r="B11" s="142">
        <v>4000000</v>
      </c>
      <c r="C11" s="142">
        <v>1496000</v>
      </c>
      <c r="D11" s="142">
        <v>4000000</v>
      </c>
      <c r="E11" s="142">
        <f>F11+G11-H11+I11</f>
        <v>1496000</v>
      </c>
      <c r="F11" s="142">
        <v>1464000</v>
      </c>
      <c r="G11" s="49"/>
      <c r="H11" s="49"/>
      <c r="I11" s="142">
        <v>32000</v>
      </c>
      <c r="J11" s="142">
        <v>53719</v>
      </c>
      <c r="K11" s="49"/>
    </row>
    <row r="12" spans="1:11" s="57" customFormat="1" ht="11.25">
      <c r="A12" s="146" t="s">
        <v>503</v>
      </c>
      <c r="B12" s="142">
        <v>6137441</v>
      </c>
      <c r="C12" s="142">
        <v>2295403</v>
      </c>
      <c r="D12" s="142">
        <v>3897895</v>
      </c>
      <c r="E12" s="142">
        <f>F12+G12-H12+I12</f>
        <v>1457813</v>
      </c>
      <c r="F12" s="142">
        <v>1871550</v>
      </c>
      <c r="G12" s="142"/>
      <c r="H12" s="142">
        <v>435175</v>
      </c>
      <c r="I12" s="142">
        <v>21438</v>
      </c>
      <c r="J12" s="142">
        <v>50288</v>
      </c>
      <c r="K12" s="142">
        <v>4677</v>
      </c>
    </row>
    <row r="13" spans="1:11" s="57" customFormat="1" ht="11.25">
      <c r="A13" s="143" t="s">
        <v>504</v>
      </c>
      <c r="B13" s="144">
        <f>SUM(B11:B12)</f>
        <v>10137441</v>
      </c>
      <c r="C13" s="144">
        <f aca="true" t="shared" si="0" ref="C13:K13">SUM(C11:C12)</f>
        <v>3791403</v>
      </c>
      <c r="D13" s="144">
        <f t="shared" si="0"/>
        <v>7897895</v>
      </c>
      <c r="E13" s="144">
        <f t="shared" si="0"/>
        <v>2953813</v>
      </c>
      <c r="F13" s="144">
        <f t="shared" si="0"/>
        <v>3335550</v>
      </c>
      <c r="G13" s="144"/>
      <c r="H13" s="144">
        <f t="shared" si="0"/>
        <v>435175</v>
      </c>
      <c r="I13" s="144">
        <f t="shared" si="0"/>
        <v>53438</v>
      </c>
      <c r="J13" s="144">
        <f t="shared" si="0"/>
        <v>104007</v>
      </c>
      <c r="K13" s="144">
        <f t="shared" si="0"/>
        <v>4677</v>
      </c>
    </row>
    <row r="14" spans="1:11" s="57" customFormat="1" ht="11.25">
      <c r="A14" s="140" t="s">
        <v>582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57" customFormat="1" ht="11.25">
      <c r="A15" s="146" t="s">
        <v>583</v>
      </c>
      <c r="B15" s="142">
        <v>2236253</v>
      </c>
      <c r="C15" s="142">
        <v>1274758</v>
      </c>
      <c r="D15" s="142"/>
      <c r="E15" s="142"/>
      <c r="F15" s="142">
        <v>262767</v>
      </c>
      <c r="G15" s="142"/>
      <c r="H15" s="142">
        <v>241979</v>
      </c>
      <c r="I15" s="142">
        <v>-20788</v>
      </c>
      <c r="J15" s="142">
        <v>10994</v>
      </c>
      <c r="K15" s="142"/>
    </row>
    <row r="16" spans="1:11" s="57" customFormat="1" ht="11.25">
      <c r="A16" s="146" t="s">
        <v>584</v>
      </c>
      <c r="B16" s="142">
        <v>1738392</v>
      </c>
      <c r="C16" s="142">
        <v>990956</v>
      </c>
      <c r="D16" s="142"/>
      <c r="E16" s="142"/>
      <c r="F16" s="142">
        <v>204267</v>
      </c>
      <c r="G16" s="142"/>
      <c r="H16" s="142">
        <v>190774</v>
      </c>
      <c r="I16" s="142">
        <v>-13493</v>
      </c>
      <c r="J16" s="142">
        <v>9206</v>
      </c>
      <c r="K16" s="142"/>
    </row>
    <row r="17" spans="1:11" s="57" customFormat="1" ht="11.25">
      <c r="A17" s="146" t="s">
        <v>585</v>
      </c>
      <c r="B17" s="142">
        <v>1791276</v>
      </c>
      <c r="C17" s="142">
        <v>1021102</v>
      </c>
      <c r="D17" s="142">
        <v>1455412</v>
      </c>
      <c r="E17" s="142">
        <f aca="true" t="shared" si="1" ref="E17:E22">F17+G17-H17+I17</f>
        <v>829646</v>
      </c>
      <c r="F17" s="142">
        <v>986628</v>
      </c>
      <c r="G17" s="142"/>
      <c r="H17" s="142">
        <v>121923</v>
      </c>
      <c r="I17" s="142">
        <v>-35059</v>
      </c>
      <c r="J17" s="142">
        <v>51767</v>
      </c>
      <c r="K17" s="142"/>
    </row>
    <row r="18" spans="1:11" s="57" customFormat="1" ht="11.25">
      <c r="A18" s="146" t="s">
        <v>581</v>
      </c>
      <c r="B18" s="142">
        <v>12547066</v>
      </c>
      <c r="C18" s="142">
        <v>7152354</v>
      </c>
      <c r="D18" s="142">
        <v>10222866</v>
      </c>
      <c r="E18" s="142">
        <f t="shared" si="1"/>
        <v>5827463</v>
      </c>
      <c r="F18" s="142">
        <v>3635610</v>
      </c>
      <c r="G18" s="142">
        <v>2286672</v>
      </c>
      <c r="H18" s="142"/>
      <c r="I18" s="142">
        <v>-94819</v>
      </c>
      <c r="J18" s="142">
        <v>194066</v>
      </c>
      <c r="K18" s="142">
        <v>1324891</v>
      </c>
    </row>
    <row r="19" spans="1:11" s="57" customFormat="1" ht="11.25">
      <c r="A19" s="57" t="s">
        <v>586</v>
      </c>
      <c r="B19" s="142">
        <v>6000000</v>
      </c>
      <c r="C19" s="142">
        <v>3420252</v>
      </c>
      <c r="D19" s="142">
        <v>5132325</v>
      </c>
      <c r="E19" s="142">
        <f t="shared" si="1"/>
        <v>2925641</v>
      </c>
      <c r="F19" s="142">
        <v>870890</v>
      </c>
      <c r="G19" s="142">
        <v>2018999</v>
      </c>
      <c r="H19" s="142"/>
      <c r="I19" s="142">
        <v>35752</v>
      </c>
      <c r="J19" s="142">
        <v>87423</v>
      </c>
      <c r="K19" s="142">
        <v>494611</v>
      </c>
    </row>
    <row r="20" spans="1:11" s="57" customFormat="1" ht="11.25">
      <c r="A20" s="146" t="s">
        <v>587</v>
      </c>
      <c r="B20" s="142">
        <f>4047950+3792074</f>
        <v>7840024</v>
      </c>
      <c r="C20" s="142">
        <v>4469143</v>
      </c>
      <c r="D20" s="142">
        <v>5728142</v>
      </c>
      <c r="E20" s="142">
        <f t="shared" si="1"/>
        <v>3265281</v>
      </c>
      <c r="F20" s="142">
        <v>1389328</v>
      </c>
      <c r="G20" s="142">
        <v>1960170</v>
      </c>
      <c r="H20" s="142">
        <v>98437</v>
      </c>
      <c r="I20" s="142">
        <v>14220</v>
      </c>
      <c r="J20" s="142">
        <v>172296</v>
      </c>
      <c r="K20" s="142">
        <v>1099625</v>
      </c>
    </row>
    <row r="21" spans="1:11" s="57" customFormat="1" ht="11.25">
      <c r="A21" s="57" t="s">
        <v>588</v>
      </c>
      <c r="B21" s="142">
        <v>34000000</v>
      </c>
      <c r="C21" s="142">
        <v>19381428</v>
      </c>
      <c r="D21" s="142">
        <v>329417</v>
      </c>
      <c r="E21" s="142">
        <f t="shared" si="1"/>
        <v>187781</v>
      </c>
      <c r="F21" s="142"/>
      <c r="G21" s="142">
        <v>180725</v>
      </c>
      <c r="H21" s="142"/>
      <c r="I21" s="142">
        <v>7056</v>
      </c>
      <c r="J21" s="142">
        <v>6553</v>
      </c>
      <c r="K21" s="142">
        <v>19193647</v>
      </c>
    </row>
    <row r="22" spans="1:11" s="57" customFormat="1" ht="11.25">
      <c r="A22" s="146" t="s">
        <v>589</v>
      </c>
      <c r="B22" s="142">
        <v>4595447</v>
      </c>
      <c r="C22" s="142">
        <v>2619598</v>
      </c>
      <c r="D22" s="142">
        <v>4595447</v>
      </c>
      <c r="E22" s="142">
        <f t="shared" si="1"/>
        <v>2619598</v>
      </c>
      <c r="F22" s="142"/>
      <c r="G22" s="142">
        <v>2525600</v>
      </c>
      <c r="H22" s="142"/>
      <c r="I22" s="142">
        <v>93998</v>
      </c>
      <c r="J22" s="142">
        <v>40385</v>
      </c>
      <c r="K22" s="142"/>
    </row>
    <row r="23" spans="1:11" s="57" customFormat="1" ht="11.25">
      <c r="A23" s="146" t="s">
        <v>590</v>
      </c>
      <c r="B23" s="142">
        <v>5750000</v>
      </c>
      <c r="C23" s="142">
        <v>3277742</v>
      </c>
      <c r="D23" s="142"/>
      <c r="E23" s="142"/>
      <c r="F23" s="142"/>
      <c r="G23" s="142"/>
      <c r="H23" s="142"/>
      <c r="I23" s="142"/>
      <c r="J23" s="142"/>
      <c r="K23" s="142">
        <v>3277742</v>
      </c>
    </row>
    <row r="24" spans="1:11" s="57" customFormat="1" ht="11.25">
      <c r="A24" s="146" t="s">
        <v>591</v>
      </c>
      <c r="B24" s="142">
        <v>8000000</v>
      </c>
      <c r="C24" s="142">
        <v>4560336</v>
      </c>
      <c r="D24" s="142"/>
      <c r="E24" s="142"/>
      <c r="F24" s="142"/>
      <c r="G24" s="142"/>
      <c r="H24" s="142"/>
      <c r="I24" s="142"/>
      <c r="J24" s="142"/>
      <c r="K24" s="142">
        <v>4560336</v>
      </c>
    </row>
    <row r="25" spans="1:11" s="57" customFormat="1" ht="11.25">
      <c r="A25" s="143" t="s">
        <v>524</v>
      </c>
      <c r="B25" s="144">
        <f>SUM(B15:B24)</f>
        <v>84498458</v>
      </c>
      <c r="C25" s="144">
        <f aca="true" t="shared" si="2" ref="C25:K25">SUM(C15:C24)</f>
        <v>48167669</v>
      </c>
      <c r="D25" s="144">
        <f t="shared" si="2"/>
        <v>27463609</v>
      </c>
      <c r="E25" s="144">
        <f t="shared" si="2"/>
        <v>15655410</v>
      </c>
      <c r="F25" s="144">
        <f t="shared" si="2"/>
        <v>7349490</v>
      </c>
      <c r="G25" s="144">
        <f t="shared" si="2"/>
        <v>8972166</v>
      </c>
      <c r="H25" s="144">
        <f t="shared" si="2"/>
        <v>653113</v>
      </c>
      <c r="I25" s="144">
        <f t="shared" si="2"/>
        <v>-13133</v>
      </c>
      <c r="J25" s="144">
        <f t="shared" si="2"/>
        <v>572690</v>
      </c>
      <c r="K25" s="144">
        <f t="shared" si="2"/>
        <v>29950852</v>
      </c>
    </row>
    <row r="26" spans="1:11" s="57" customFormat="1" ht="11.25">
      <c r="A26" s="140" t="s">
        <v>592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s="57" customFormat="1" ht="11.25">
      <c r="A27" s="165" t="s">
        <v>593</v>
      </c>
      <c r="B27" s="166">
        <v>800643251</v>
      </c>
      <c r="C27" s="166">
        <v>4291448</v>
      </c>
      <c r="D27" s="166"/>
      <c r="E27" s="166"/>
      <c r="F27" s="166">
        <v>911132</v>
      </c>
      <c r="G27" s="166"/>
      <c r="H27" s="166">
        <v>888714</v>
      </c>
      <c r="I27" s="166">
        <v>-22418</v>
      </c>
      <c r="J27" s="166">
        <v>31983</v>
      </c>
      <c r="K27" s="166"/>
    </row>
    <row r="28" spans="1:11" s="57" customFormat="1" ht="11.25">
      <c r="A28" s="143" t="s">
        <v>529</v>
      </c>
      <c r="B28" s="144">
        <f>SUM(B27)</f>
        <v>800643251</v>
      </c>
      <c r="C28" s="144">
        <f aca="true" t="shared" si="3" ref="C28:J28">SUM(C27)</f>
        <v>4291448</v>
      </c>
      <c r="D28" s="144"/>
      <c r="E28" s="144"/>
      <c r="F28" s="144">
        <f>SUM(F27)</f>
        <v>911132</v>
      </c>
      <c r="G28" s="144"/>
      <c r="H28" s="144">
        <f t="shared" si="3"/>
        <v>888714</v>
      </c>
      <c r="I28" s="144">
        <f t="shared" si="3"/>
        <v>-22418</v>
      </c>
      <c r="J28" s="144">
        <f t="shared" si="3"/>
        <v>31983</v>
      </c>
      <c r="K28" s="144"/>
    </row>
    <row r="29" spans="1:11" s="57" customFormat="1" ht="11.25">
      <c r="A29" s="140" t="s">
        <v>594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s="57" customFormat="1" ht="11.25">
      <c r="A30" s="146" t="s">
        <v>595</v>
      </c>
      <c r="B30" s="142">
        <v>400000</v>
      </c>
      <c r="C30" s="142">
        <v>400000</v>
      </c>
      <c r="D30" s="142">
        <v>147558</v>
      </c>
      <c r="E30" s="142">
        <f>F30+G30-H30+I30</f>
        <v>147558</v>
      </c>
      <c r="F30" s="142">
        <v>231584</v>
      </c>
      <c r="G30" s="142"/>
      <c r="H30" s="142">
        <v>84026</v>
      </c>
      <c r="I30" s="142"/>
      <c r="J30" s="142">
        <v>13315</v>
      </c>
      <c r="K30" s="142"/>
    </row>
    <row r="31" spans="1:11" s="57" customFormat="1" ht="11.25">
      <c r="A31" s="57" t="s">
        <v>596</v>
      </c>
      <c r="B31" s="142">
        <v>1680000</v>
      </c>
      <c r="C31" s="142">
        <v>1680000</v>
      </c>
      <c r="D31" s="142">
        <v>594720</v>
      </c>
      <c r="E31" s="142">
        <f>F31+G31-H31+I31</f>
        <v>594720</v>
      </c>
      <c r="F31" s="142"/>
      <c r="G31" s="142">
        <v>594720</v>
      </c>
      <c r="H31" s="142"/>
      <c r="I31" s="142"/>
      <c r="J31" s="142"/>
      <c r="K31" s="142">
        <v>1085280</v>
      </c>
    </row>
    <row r="32" spans="1:11" s="57" customFormat="1" ht="11.25">
      <c r="A32" s="143" t="s">
        <v>597</v>
      </c>
      <c r="B32" s="144">
        <f>SUM(B30:B31)</f>
        <v>2080000</v>
      </c>
      <c r="C32" s="144">
        <f aca="true" t="shared" si="4" ref="C32:K32">SUM(C30:C31)</f>
        <v>2080000</v>
      </c>
      <c r="D32" s="144">
        <f t="shared" si="4"/>
        <v>742278</v>
      </c>
      <c r="E32" s="144">
        <f t="shared" si="4"/>
        <v>742278</v>
      </c>
      <c r="F32" s="144">
        <f t="shared" si="4"/>
        <v>231584</v>
      </c>
      <c r="G32" s="144">
        <f t="shared" si="4"/>
        <v>594720</v>
      </c>
      <c r="H32" s="144">
        <f t="shared" si="4"/>
        <v>84026</v>
      </c>
      <c r="I32" s="144"/>
      <c r="J32" s="144">
        <f t="shared" si="4"/>
        <v>13315</v>
      </c>
      <c r="K32" s="144">
        <f t="shared" si="4"/>
        <v>1085280</v>
      </c>
    </row>
    <row r="33" spans="1:11" s="57" customFormat="1" ht="11.25">
      <c r="A33" s="140" t="s">
        <v>598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s="57" customFormat="1" ht="11.25">
      <c r="A34" s="146" t="s">
        <v>599</v>
      </c>
      <c r="B34" s="142">
        <v>1269035</v>
      </c>
      <c r="C34" s="142">
        <v>777918</v>
      </c>
      <c r="D34" s="142">
        <v>1269035</v>
      </c>
      <c r="E34" s="142">
        <f>F34+G34-H34+I34</f>
        <v>777918</v>
      </c>
      <c r="F34" s="142">
        <v>739847</v>
      </c>
      <c r="G34" s="142"/>
      <c r="H34" s="142"/>
      <c r="I34" s="142">
        <v>38071</v>
      </c>
      <c r="J34" s="142">
        <v>65933</v>
      </c>
      <c r="K34" s="142"/>
    </row>
    <row r="35" spans="1:11" s="57" customFormat="1" ht="11.25">
      <c r="A35" s="146" t="s">
        <v>600</v>
      </c>
      <c r="B35" s="142">
        <v>10445962</v>
      </c>
      <c r="C35" s="142">
        <v>6403375</v>
      </c>
      <c r="D35" s="142">
        <v>5437760</v>
      </c>
      <c r="E35" s="142">
        <f aca="true" t="shared" si="5" ref="E35:E51">F35+G35-H35+I35</f>
        <v>3333347</v>
      </c>
      <c r="F35" s="142">
        <v>3638288</v>
      </c>
      <c r="G35" s="142"/>
      <c r="H35" s="142">
        <v>492160</v>
      </c>
      <c r="I35" s="142">
        <v>187219</v>
      </c>
      <c r="J35" s="142">
        <v>283883</v>
      </c>
      <c r="K35" s="142"/>
    </row>
    <row r="36" spans="1:11" s="57" customFormat="1" ht="11.25">
      <c r="A36" s="146" t="s">
        <v>585</v>
      </c>
      <c r="B36" s="142">
        <v>3624709</v>
      </c>
      <c r="C36" s="142">
        <v>2221947</v>
      </c>
      <c r="D36" s="142">
        <v>2945076</v>
      </c>
      <c r="E36" s="142">
        <f t="shared" si="5"/>
        <v>1805332</v>
      </c>
      <c r="F36" s="142">
        <v>1767674</v>
      </c>
      <c r="G36" s="142"/>
      <c r="H36" s="142">
        <v>273439</v>
      </c>
      <c r="I36" s="142">
        <v>311097</v>
      </c>
      <c r="J36" s="142">
        <v>141018</v>
      </c>
      <c r="K36" s="142"/>
    </row>
    <row r="37" spans="1:11" s="57" customFormat="1" ht="11.25">
      <c r="A37" s="57" t="s">
        <v>601</v>
      </c>
      <c r="B37" s="142">
        <v>5518960</v>
      </c>
      <c r="C37" s="142">
        <v>3383122</v>
      </c>
      <c r="D37" s="142">
        <v>2759455</v>
      </c>
      <c r="E37" s="142">
        <f t="shared" si="5"/>
        <v>1691546</v>
      </c>
      <c r="F37" s="142">
        <v>2252279</v>
      </c>
      <c r="G37" s="142"/>
      <c r="H37" s="142">
        <v>657866</v>
      </c>
      <c r="I37" s="142">
        <v>97133</v>
      </c>
      <c r="J37" s="142">
        <v>171507</v>
      </c>
      <c r="K37" s="142"/>
    </row>
    <row r="38" spans="1:11" s="57" customFormat="1" ht="11.25">
      <c r="A38" s="146" t="s">
        <v>602</v>
      </c>
      <c r="B38" s="142">
        <v>34100000</v>
      </c>
      <c r="C38" s="142">
        <v>18451300</v>
      </c>
      <c r="D38" s="142">
        <v>16573384</v>
      </c>
      <c r="E38" s="142">
        <f t="shared" si="5"/>
        <v>10159484</v>
      </c>
      <c r="F38" s="142">
        <v>7661899</v>
      </c>
      <c r="G38" s="142">
        <v>3921332</v>
      </c>
      <c r="H38" s="142">
        <v>1839110</v>
      </c>
      <c r="I38" s="142">
        <v>415363</v>
      </c>
      <c r="J38" s="142">
        <v>787453</v>
      </c>
      <c r="K38" s="142">
        <v>6446686</v>
      </c>
    </row>
    <row r="39" spans="1:11" s="57" customFormat="1" ht="11.25">
      <c r="A39" s="146" t="s">
        <v>603</v>
      </c>
      <c r="B39" s="142">
        <v>22500000</v>
      </c>
      <c r="C39" s="142">
        <v>13792500</v>
      </c>
      <c r="D39" s="142">
        <v>15136422</v>
      </c>
      <c r="E39" s="142">
        <f t="shared" si="5"/>
        <v>9278627</v>
      </c>
      <c r="F39" s="142">
        <v>3442356</v>
      </c>
      <c r="G39" s="142">
        <v>5644776</v>
      </c>
      <c r="H39" s="142"/>
      <c r="I39" s="142">
        <v>191495</v>
      </c>
      <c r="J39" s="142">
        <v>355307</v>
      </c>
      <c r="K39" s="142">
        <v>4513873</v>
      </c>
    </row>
    <row r="40" spans="1:11" s="57" customFormat="1" ht="11.25">
      <c r="A40" s="57" t="s">
        <v>604</v>
      </c>
      <c r="B40" s="142">
        <v>3473200</v>
      </c>
      <c r="C40" s="142">
        <v>2129072</v>
      </c>
      <c r="D40" s="142">
        <v>1973200</v>
      </c>
      <c r="E40" s="142">
        <f t="shared" si="5"/>
        <v>1209572</v>
      </c>
      <c r="F40" s="142">
        <v>1441876</v>
      </c>
      <c r="G40" s="142"/>
      <c r="H40" s="142">
        <v>297373</v>
      </c>
      <c r="I40" s="142">
        <v>65069</v>
      </c>
      <c r="J40" s="142">
        <v>108975</v>
      </c>
      <c r="K40" s="142"/>
    </row>
    <row r="41" spans="1:11" s="57" customFormat="1" ht="11.25">
      <c r="A41" s="146" t="s">
        <v>591</v>
      </c>
      <c r="B41" s="142">
        <v>23500000</v>
      </c>
      <c r="C41" s="142">
        <v>14405500</v>
      </c>
      <c r="D41" s="142">
        <v>20338345</v>
      </c>
      <c r="E41" s="142">
        <f t="shared" si="5"/>
        <v>12467406</v>
      </c>
      <c r="F41" s="142">
        <v>12935188</v>
      </c>
      <c r="G41" s="142"/>
      <c r="H41" s="142">
        <v>1142219</v>
      </c>
      <c r="I41" s="142">
        <v>674437</v>
      </c>
      <c r="J41" s="142">
        <v>834146</v>
      </c>
      <c r="K41" s="142">
        <v>804694</v>
      </c>
    </row>
    <row r="42" spans="1:11" s="57" customFormat="1" ht="11.25">
      <c r="A42" s="57" t="s">
        <v>605</v>
      </c>
      <c r="B42" s="142">
        <v>14233962</v>
      </c>
      <c r="C42" s="142">
        <v>8725419</v>
      </c>
      <c r="D42" s="142">
        <v>8233962</v>
      </c>
      <c r="E42" s="142">
        <f t="shared" si="5"/>
        <v>5047419</v>
      </c>
      <c r="F42" s="142">
        <v>5596800</v>
      </c>
      <c r="G42" s="142">
        <v>1097777</v>
      </c>
      <c r="H42" s="142">
        <v>2186300</v>
      </c>
      <c r="I42" s="142">
        <v>539142</v>
      </c>
      <c r="J42" s="142">
        <v>535904</v>
      </c>
      <c r="K42" s="142"/>
    </row>
    <row r="43" spans="1:11" s="57" customFormat="1" ht="11.25">
      <c r="A43" s="146" t="s">
        <v>606</v>
      </c>
      <c r="B43" s="142">
        <v>2450000</v>
      </c>
      <c r="C43" s="142">
        <v>1501850</v>
      </c>
      <c r="D43" s="142">
        <v>1776250</v>
      </c>
      <c r="E43" s="142">
        <f t="shared" si="5"/>
        <v>1088841</v>
      </c>
      <c r="F43" s="142">
        <v>1178389</v>
      </c>
      <c r="G43" s="142"/>
      <c r="H43" s="142">
        <v>146449</v>
      </c>
      <c r="I43" s="142">
        <v>56901</v>
      </c>
      <c r="J43" s="142">
        <v>92078</v>
      </c>
      <c r="K43" s="142"/>
    </row>
    <row r="44" spans="1:11" s="57" customFormat="1" ht="11.25">
      <c r="A44" s="57" t="s">
        <v>607</v>
      </c>
      <c r="B44" s="142">
        <v>6700000</v>
      </c>
      <c r="C44" s="142">
        <v>4107100</v>
      </c>
      <c r="D44" s="142">
        <v>6421000</v>
      </c>
      <c r="E44" s="142">
        <f t="shared" si="5"/>
        <v>3936073</v>
      </c>
      <c r="F44" s="142">
        <v>3906100</v>
      </c>
      <c r="G44" s="142"/>
      <c r="H44" s="142">
        <v>170190</v>
      </c>
      <c r="I44" s="142">
        <v>200163</v>
      </c>
      <c r="J44" s="142">
        <v>258426</v>
      </c>
      <c r="K44" s="142"/>
    </row>
    <row r="45" spans="1:11" s="57" customFormat="1" ht="11.25">
      <c r="A45" s="146" t="s">
        <v>608</v>
      </c>
      <c r="B45" s="142">
        <v>20500000</v>
      </c>
      <c r="C45" s="142">
        <v>12566500</v>
      </c>
      <c r="D45" s="142">
        <v>2968342</v>
      </c>
      <c r="E45" s="142">
        <f t="shared" si="5"/>
        <v>1819594</v>
      </c>
      <c r="F45" s="142"/>
      <c r="G45" s="142">
        <v>1807905</v>
      </c>
      <c r="H45" s="142"/>
      <c r="I45" s="142">
        <v>11689</v>
      </c>
      <c r="J45" s="142">
        <v>132065</v>
      </c>
      <c r="K45" s="142">
        <v>10746906</v>
      </c>
    </row>
    <row r="46" spans="1:11" s="57" customFormat="1" ht="11.25">
      <c r="A46" s="146" t="s">
        <v>609</v>
      </c>
      <c r="B46" s="142">
        <v>9700000</v>
      </c>
      <c r="C46" s="142">
        <v>5946100</v>
      </c>
      <c r="D46" s="142">
        <v>9700000</v>
      </c>
      <c r="E46" s="142">
        <f t="shared" si="5"/>
        <v>5946100</v>
      </c>
      <c r="F46" s="142">
        <v>5655100</v>
      </c>
      <c r="G46" s="142"/>
      <c r="H46" s="142"/>
      <c r="I46" s="142">
        <v>291000</v>
      </c>
      <c r="J46" s="142"/>
      <c r="K46" s="142"/>
    </row>
    <row r="47" spans="1:11" s="57" customFormat="1" ht="11.25">
      <c r="A47" s="57" t="s">
        <v>610</v>
      </c>
      <c r="B47" s="142">
        <v>1285956</v>
      </c>
      <c r="C47" s="142">
        <v>788291</v>
      </c>
      <c r="D47" s="142">
        <v>1285956</v>
      </c>
      <c r="E47" s="142">
        <f t="shared" si="5"/>
        <v>788291</v>
      </c>
      <c r="F47" s="142">
        <v>313681</v>
      </c>
      <c r="G47" s="142">
        <v>448654</v>
      </c>
      <c r="H47" s="142"/>
      <c r="I47" s="142">
        <v>25956</v>
      </c>
      <c r="J47" s="142">
        <v>54371</v>
      </c>
      <c r="K47" s="142"/>
    </row>
    <row r="48" spans="1:11" s="57" customFormat="1" ht="11.25">
      <c r="A48" s="57" t="s">
        <v>611</v>
      </c>
      <c r="B48" s="142">
        <v>8694000</v>
      </c>
      <c r="C48" s="142">
        <v>5329422</v>
      </c>
      <c r="D48" s="142">
        <v>8694000</v>
      </c>
      <c r="E48" s="142">
        <f t="shared" si="5"/>
        <v>5329422</v>
      </c>
      <c r="F48" s="142"/>
      <c r="G48" s="142">
        <v>4662020</v>
      </c>
      <c r="H48" s="142"/>
      <c r="I48" s="142">
        <v>667402</v>
      </c>
      <c r="J48" s="142">
        <v>66400</v>
      </c>
      <c r="K48" s="142"/>
    </row>
    <row r="49" spans="1:11" s="57" customFormat="1" ht="11.25">
      <c r="A49" s="57" t="s">
        <v>612</v>
      </c>
      <c r="B49" s="142">
        <v>1748790</v>
      </c>
      <c r="C49" s="142">
        <v>1072008</v>
      </c>
      <c r="D49" s="142"/>
      <c r="E49" s="142"/>
      <c r="F49" s="142"/>
      <c r="G49" s="142"/>
      <c r="H49" s="142"/>
      <c r="I49" s="142"/>
      <c r="J49" s="142"/>
      <c r="K49" s="142">
        <v>1072008</v>
      </c>
    </row>
    <row r="50" spans="1:11" s="57" customFormat="1" ht="11.25">
      <c r="A50" s="146" t="s">
        <v>613</v>
      </c>
      <c r="B50" s="142">
        <v>5000000</v>
      </c>
      <c r="C50" s="142">
        <v>3065000</v>
      </c>
      <c r="D50" s="142"/>
      <c r="E50" s="142"/>
      <c r="F50" s="142"/>
      <c r="G50" s="142"/>
      <c r="H50" s="142"/>
      <c r="I50" s="142"/>
      <c r="J50" s="142"/>
      <c r="K50" s="142">
        <v>3065000</v>
      </c>
    </row>
    <row r="51" spans="1:11" s="57" customFormat="1" ht="11.25">
      <c r="A51" s="146" t="s">
        <v>605</v>
      </c>
      <c r="B51" s="142">
        <v>6000000</v>
      </c>
      <c r="C51" s="142">
        <v>3678000</v>
      </c>
      <c r="D51" s="142">
        <v>6000000</v>
      </c>
      <c r="E51" s="142">
        <f t="shared" si="5"/>
        <v>3678000</v>
      </c>
      <c r="F51" s="142">
        <v>3498000</v>
      </c>
      <c r="G51" s="142"/>
      <c r="H51" s="142"/>
      <c r="I51" s="142">
        <v>180000</v>
      </c>
      <c r="J51" s="142">
        <v>191256</v>
      </c>
      <c r="K51" s="142"/>
    </row>
    <row r="52" spans="1:11" s="57" customFormat="1" ht="11.25">
      <c r="A52" s="143" t="s">
        <v>566</v>
      </c>
      <c r="B52" s="144">
        <f>SUM(B34:B51)</f>
        <v>180744574</v>
      </c>
      <c r="C52" s="144">
        <f aca="true" t="shared" si="6" ref="C52:K52">SUM(C34:C51)</f>
        <v>108344424</v>
      </c>
      <c r="D52" s="144">
        <f t="shared" si="6"/>
        <v>111512187</v>
      </c>
      <c r="E52" s="144">
        <f t="shared" si="6"/>
        <v>68356972</v>
      </c>
      <c r="F52" s="144">
        <f>SUM(F34:F51)</f>
        <v>54027477</v>
      </c>
      <c r="G52" s="144">
        <f t="shared" si="6"/>
        <v>17582464</v>
      </c>
      <c r="H52" s="144">
        <f t="shared" si="6"/>
        <v>7205106</v>
      </c>
      <c r="I52" s="144">
        <f t="shared" si="6"/>
        <v>3952137</v>
      </c>
      <c r="J52" s="144">
        <f t="shared" si="6"/>
        <v>4078722</v>
      </c>
      <c r="K52" s="144">
        <f t="shared" si="6"/>
        <v>26649167</v>
      </c>
    </row>
    <row r="53" spans="1:11" s="57" customFormat="1" ht="15.75" customHeight="1">
      <c r="A53" s="143" t="s">
        <v>571</v>
      </c>
      <c r="B53" s="149" t="s">
        <v>572</v>
      </c>
      <c r="C53" s="144">
        <f>SUM(C52+C32+C28+C25+C13)</f>
        <v>166674944</v>
      </c>
      <c r="D53" s="149" t="s">
        <v>572</v>
      </c>
      <c r="E53" s="144">
        <f aca="true" t="shared" si="7" ref="E53:K53">SUM(E52+E32+E28+E25+E13)</f>
        <v>87708473</v>
      </c>
      <c r="F53" s="144">
        <f t="shared" si="7"/>
        <v>65855233</v>
      </c>
      <c r="G53" s="144">
        <f t="shared" si="7"/>
        <v>27149350</v>
      </c>
      <c r="H53" s="144">
        <f t="shared" si="7"/>
        <v>9266134</v>
      </c>
      <c r="I53" s="144">
        <f t="shared" si="7"/>
        <v>3970024</v>
      </c>
      <c r="J53" s="144">
        <f t="shared" si="7"/>
        <v>4800717</v>
      </c>
      <c r="K53" s="144">
        <f t="shared" si="7"/>
        <v>57689976</v>
      </c>
    </row>
    <row r="55" spans="1:7" s="168" customFormat="1" ht="12" customHeight="1">
      <c r="A55" s="167" t="s">
        <v>614</v>
      </c>
      <c r="B55" s="57"/>
      <c r="G55" s="150"/>
    </row>
    <row r="56" spans="1:7" s="105" customFormat="1" ht="12" customHeight="1">
      <c r="A56" s="57" t="s">
        <v>615</v>
      </c>
      <c r="G56" s="150"/>
    </row>
    <row r="57" spans="1:7" s="168" customFormat="1" ht="13.5" customHeight="1">
      <c r="A57" s="150"/>
      <c r="G57" s="150"/>
    </row>
    <row r="58" s="3" customFormat="1" ht="13.5" customHeight="1"/>
    <row r="60" s="3" customFormat="1" ht="12.75"/>
    <row r="62" s="3" customFormat="1" ht="12.75"/>
    <row r="63" s="3" customFormat="1" ht="12.75"/>
    <row r="64" spans="1:10" s="3" customFormat="1" ht="12.75">
      <c r="A64" s="85"/>
      <c r="J64" s="169"/>
    </row>
    <row r="65" spans="3:10" ht="15">
      <c r="C65" s="3" t="s">
        <v>264</v>
      </c>
      <c r="J65" s="3" t="s">
        <v>473</v>
      </c>
    </row>
  </sheetData>
  <printOptions/>
  <pageMargins left="0.47" right="0.2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77"/>
  <sheetViews>
    <sheetView workbookViewId="0" topLeftCell="A191">
      <selection activeCell="C212" sqref="C212"/>
    </sheetView>
  </sheetViews>
  <sheetFormatPr defaultColWidth="9.140625" defaultRowHeight="12.75"/>
  <cols>
    <col min="1" max="1" width="23.28125" style="170" customWidth="1"/>
    <col min="2" max="2" width="11.00390625" style="171" customWidth="1"/>
    <col min="3" max="3" width="18.7109375" style="170" customWidth="1"/>
    <col min="4" max="4" width="17.7109375" style="170" customWidth="1"/>
    <col min="5" max="5" width="9.57421875" style="172" customWidth="1"/>
    <col min="6" max="6" width="16.8515625" style="170" customWidth="1"/>
    <col min="7" max="7" width="11.00390625" style="171" customWidth="1"/>
    <col min="8" max="8" width="7.28125" style="170" customWidth="1"/>
    <col min="9" max="9" width="10.7109375" style="170" customWidth="1"/>
    <col min="10" max="22" width="6.7109375" style="174" customWidth="1"/>
    <col min="23" max="16384" width="6.7109375" style="171" customWidth="1"/>
  </cols>
  <sheetData>
    <row r="1" ht="12.75">
      <c r="I1" s="173" t="s">
        <v>616</v>
      </c>
    </row>
    <row r="2" spans="1:9" ht="19.5" customHeight="1">
      <c r="A2" s="175" t="s">
        <v>617</v>
      </c>
      <c r="B2" s="175"/>
      <c r="C2" s="175"/>
      <c r="D2" s="175"/>
      <c r="E2" s="176"/>
      <c r="F2" s="175"/>
      <c r="G2" s="175"/>
      <c r="H2" s="175"/>
      <c r="I2" s="175"/>
    </row>
    <row r="3" spans="1:9" ht="13.5" customHeight="1">
      <c r="A3" s="175"/>
      <c r="B3" s="175"/>
      <c r="C3" s="175"/>
      <c r="D3" s="175"/>
      <c r="E3" s="176"/>
      <c r="F3" s="175"/>
      <c r="G3" s="175"/>
      <c r="H3" s="175"/>
      <c r="I3" s="175"/>
    </row>
    <row r="4" spans="2:9" ht="11.25">
      <c r="B4" s="177"/>
      <c r="C4" s="178"/>
      <c r="D4" s="179"/>
      <c r="E4" s="178"/>
      <c r="G4" s="180"/>
      <c r="I4" s="181" t="s">
        <v>618</v>
      </c>
    </row>
    <row r="5" spans="1:9" ht="11.25">
      <c r="A5" s="182"/>
      <c r="B5" s="182" t="s">
        <v>619</v>
      </c>
      <c r="C5" s="182" t="s">
        <v>620</v>
      </c>
      <c r="D5" s="182" t="s">
        <v>620</v>
      </c>
      <c r="E5" s="182" t="s">
        <v>620</v>
      </c>
      <c r="F5" s="182" t="s">
        <v>621</v>
      </c>
      <c r="G5" s="182" t="s">
        <v>621</v>
      </c>
      <c r="H5" s="182"/>
      <c r="I5" s="182" t="s">
        <v>622</v>
      </c>
    </row>
    <row r="6" spans="1:9" ht="11.25">
      <c r="A6" s="183" t="s">
        <v>623</v>
      </c>
      <c r="B6" s="183" t="s">
        <v>624</v>
      </c>
      <c r="C6" s="183" t="s">
        <v>625</v>
      </c>
      <c r="D6" s="183" t="s">
        <v>626</v>
      </c>
      <c r="E6" s="183" t="s">
        <v>627</v>
      </c>
      <c r="F6" s="183" t="s">
        <v>628</v>
      </c>
      <c r="G6" s="183" t="s">
        <v>629</v>
      </c>
      <c r="H6" s="183" t="s">
        <v>630</v>
      </c>
      <c r="I6" s="183" t="s">
        <v>631</v>
      </c>
    </row>
    <row r="7" spans="1:9" ht="11.25">
      <c r="A7" s="184"/>
      <c r="B7" s="184"/>
      <c r="C7" s="184"/>
      <c r="D7" s="184" t="s">
        <v>632</v>
      </c>
      <c r="E7" s="184" t="s">
        <v>633</v>
      </c>
      <c r="F7" s="184"/>
      <c r="G7" s="184" t="s">
        <v>634</v>
      </c>
      <c r="H7" s="184"/>
      <c r="I7" s="184" t="s">
        <v>624</v>
      </c>
    </row>
    <row r="8" spans="1:9" ht="11.25">
      <c r="A8" s="185"/>
      <c r="B8" s="185"/>
      <c r="C8" s="185"/>
      <c r="D8" s="185"/>
      <c r="E8" s="185"/>
      <c r="F8" s="185"/>
      <c r="G8" s="185"/>
      <c r="H8" s="185"/>
      <c r="I8" s="185"/>
    </row>
    <row r="9" spans="1:9" ht="11.25">
      <c r="A9" s="186" t="s">
        <v>635</v>
      </c>
      <c r="B9" s="186" t="s">
        <v>636</v>
      </c>
      <c r="C9" s="186" t="s">
        <v>637</v>
      </c>
      <c r="D9" s="186" t="s">
        <v>638</v>
      </c>
      <c r="E9" s="186">
        <v>0.37</v>
      </c>
      <c r="F9" s="186" t="s">
        <v>639</v>
      </c>
      <c r="G9" s="187" t="s">
        <v>640</v>
      </c>
      <c r="H9" s="186" t="s">
        <v>641</v>
      </c>
      <c r="I9" s="186" t="s">
        <v>642</v>
      </c>
    </row>
    <row r="10" spans="1:9" ht="11.25">
      <c r="A10" s="186" t="s">
        <v>643</v>
      </c>
      <c r="B10" s="186" t="s">
        <v>644</v>
      </c>
      <c r="C10" s="186" t="s">
        <v>645</v>
      </c>
      <c r="D10" s="186" t="s">
        <v>646</v>
      </c>
      <c r="E10" s="186" t="s">
        <v>647</v>
      </c>
      <c r="F10" s="186"/>
      <c r="G10" s="187" t="s">
        <v>648</v>
      </c>
      <c r="H10" s="186"/>
      <c r="I10" s="186" t="s">
        <v>640</v>
      </c>
    </row>
    <row r="11" spans="1:9" ht="11.25">
      <c r="A11" s="188"/>
      <c r="B11" s="188"/>
      <c r="C11" s="188"/>
      <c r="D11" s="188"/>
      <c r="E11" s="188"/>
      <c r="F11" s="188"/>
      <c r="G11" s="188"/>
      <c r="H11" s="188"/>
      <c r="I11" s="188"/>
    </row>
    <row r="12" spans="1:9" ht="11.25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 ht="11.25">
      <c r="A13" s="186" t="s">
        <v>649</v>
      </c>
      <c r="B13" s="186" t="s">
        <v>650</v>
      </c>
      <c r="C13" s="186" t="s">
        <v>651</v>
      </c>
      <c r="D13" s="186" t="s">
        <v>652</v>
      </c>
      <c r="E13" s="186">
        <v>3.48</v>
      </c>
      <c r="F13" s="186" t="s">
        <v>653</v>
      </c>
      <c r="G13" s="186" t="s">
        <v>654</v>
      </c>
      <c r="H13" s="186" t="s">
        <v>641</v>
      </c>
      <c r="I13" s="186" t="s">
        <v>642</v>
      </c>
    </row>
    <row r="14" spans="1:9" ht="11.25">
      <c r="A14" s="186" t="s">
        <v>655</v>
      </c>
      <c r="B14" s="186" t="s">
        <v>644</v>
      </c>
      <c r="C14" s="186" t="s">
        <v>656</v>
      </c>
      <c r="D14" s="186" t="s">
        <v>646</v>
      </c>
      <c r="E14" s="186" t="s">
        <v>657</v>
      </c>
      <c r="F14" s="186"/>
      <c r="G14" s="186" t="s">
        <v>658</v>
      </c>
      <c r="H14" s="186"/>
      <c r="I14" s="186" t="s">
        <v>658</v>
      </c>
    </row>
    <row r="15" spans="1:9" ht="11.25">
      <c r="A15" s="188"/>
      <c r="B15" s="188"/>
      <c r="C15" s="188"/>
      <c r="D15" s="188"/>
      <c r="E15" s="188"/>
      <c r="F15" s="188"/>
      <c r="G15" s="188"/>
      <c r="H15" s="188"/>
      <c r="I15" s="188"/>
    </row>
    <row r="16" spans="1:9" ht="11.25">
      <c r="A16" s="185"/>
      <c r="B16" s="185"/>
      <c r="C16" s="185"/>
      <c r="D16" s="185"/>
      <c r="E16" s="185"/>
      <c r="F16" s="185"/>
      <c r="G16" s="185" t="s">
        <v>659</v>
      </c>
      <c r="H16" s="185"/>
      <c r="I16" s="185"/>
    </row>
    <row r="17" spans="1:9" ht="11.25">
      <c r="A17" s="186" t="s">
        <v>660</v>
      </c>
      <c r="B17" s="186" t="s">
        <v>661</v>
      </c>
      <c r="C17" s="186" t="s">
        <v>662</v>
      </c>
      <c r="D17" s="186" t="s">
        <v>663</v>
      </c>
      <c r="E17" s="186">
        <v>5.96</v>
      </c>
      <c r="F17" s="186" t="s">
        <v>664</v>
      </c>
      <c r="G17" s="186" t="s">
        <v>665</v>
      </c>
      <c r="H17" s="186" t="s">
        <v>641</v>
      </c>
      <c r="I17" s="186" t="s">
        <v>666</v>
      </c>
    </row>
    <row r="18" spans="1:9" ht="11.25">
      <c r="A18" s="186"/>
      <c r="B18" s="186" t="s">
        <v>667</v>
      </c>
      <c r="C18" s="186" t="s">
        <v>668</v>
      </c>
      <c r="D18" s="186"/>
      <c r="E18" s="186" t="s">
        <v>669</v>
      </c>
      <c r="F18" s="186" t="s">
        <v>670</v>
      </c>
      <c r="G18" s="186" t="s">
        <v>671</v>
      </c>
      <c r="H18" s="186"/>
      <c r="I18" s="187" t="s">
        <v>672</v>
      </c>
    </row>
    <row r="19" spans="1:9" ht="11.25">
      <c r="A19" s="188"/>
      <c r="B19" s="188"/>
      <c r="C19" s="188"/>
      <c r="D19" s="188"/>
      <c r="E19" s="188"/>
      <c r="F19" s="188"/>
      <c r="G19" s="188"/>
      <c r="H19" s="188"/>
      <c r="I19" s="188"/>
    </row>
    <row r="20" spans="1:9" ht="11.25">
      <c r="A20" s="185"/>
      <c r="B20" s="185"/>
      <c r="C20" s="186"/>
      <c r="D20" s="185"/>
      <c r="E20" s="185"/>
      <c r="F20" s="187"/>
      <c r="G20" s="185"/>
      <c r="H20" s="185"/>
      <c r="I20" s="185"/>
    </row>
    <row r="21" spans="1:9" ht="11.25">
      <c r="A21" s="186" t="s">
        <v>673</v>
      </c>
      <c r="B21" s="186" t="s">
        <v>674</v>
      </c>
      <c r="C21" s="186" t="s">
        <v>675</v>
      </c>
      <c r="D21" s="186" t="s">
        <v>676</v>
      </c>
      <c r="E21" s="186">
        <v>2.37</v>
      </c>
      <c r="F21" s="186" t="s">
        <v>677</v>
      </c>
      <c r="G21" s="187" t="s">
        <v>678</v>
      </c>
      <c r="H21" s="186" t="s">
        <v>641</v>
      </c>
      <c r="I21" s="187" t="s">
        <v>679</v>
      </c>
    </row>
    <row r="22" spans="1:9" ht="11.25">
      <c r="A22" s="186" t="s">
        <v>680</v>
      </c>
      <c r="B22" s="186" t="s">
        <v>681</v>
      </c>
      <c r="C22" s="186" t="s">
        <v>682</v>
      </c>
      <c r="D22" s="186" t="s">
        <v>683</v>
      </c>
      <c r="E22" s="186" t="s">
        <v>684</v>
      </c>
      <c r="F22" s="186"/>
      <c r="G22" s="187" t="s">
        <v>685</v>
      </c>
      <c r="H22" s="186"/>
      <c r="I22" s="187" t="s">
        <v>686</v>
      </c>
    </row>
    <row r="23" spans="1:9" ht="11.25">
      <c r="A23" s="188"/>
      <c r="B23" s="188"/>
      <c r="C23" s="188"/>
      <c r="D23" s="188"/>
      <c r="E23" s="188"/>
      <c r="F23" s="188"/>
      <c r="G23" s="188"/>
      <c r="H23" s="188"/>
      <c r="I23" s="188"/>
    </row>
    <row r="24" spans="1:9" ht="11.2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1.25">
      <c r="A25" s="186" t="s">
        <v>687</v>
      </c>
      <c r="B25" s="186" t="s">
        <v>688</v>
      </c>
      <c r="C25" s="186" t="s">
        <v>689</v>
      </c>
      <c r="D25" s="186" t="s">
        <v>690</v>
      </c>
      <c r="E25" s="186">
        <v>1.16</v>
      </c>
      <c r="F25" s="189">
        <v>0.078</v>
      </c>
      <c r="G25" s="187" t="s">
        <v>691</v>
      </c>
      <c r="H25" s="186" t="s">
        <v>692</v>
      </c>
      <c r="I25" s="186" t="s">
        <v>693</v>
      </c>
    </row>
    <row r="26" spans="1:9" ht="11.25">
      <c r="A26" s="186"/>
      <c r="B26" s="186" t="s">
        <v>694</v>
      </c>
      <c r="C26" s="186" t="s">
        <v>695</v>
      </c>
      <c r="D26" s="186"/>
      <c r="E26" s="186" t="s">
        <v>657</v>
      </c>
      <c r="F26" s="186"/>
      <c r="G26" s="187" t="s">
        <v>696</v>
      </c>
      <c r="H26" s="186" t="s">
        <v>268</v>
      </c>
      <c r="I26" s="187" t="s">
        <v>696</v>
      </c>
    </row>
    <row r="27" spans="1:9" ht="11.25">
      <c r="A27" s="188"/>
      <c r="B27" s="188"/>
      <c r="C27" s="188"/>
      <c r="D27" s="188"/>
      <c r="E27" s="188"/>
      <c r="F27" s="188"/>
      <c r="G27" s="188"/>
      <c r="H27" s="188"/>
      <c r="I27" s="188"/>
    </row>
    <row r="28" spans="1:9" ht="11.25">
      <c r="A28" s="185"/>
      <c r="B28" s="185"/>
      <c r="C28" s="185"/>
      <c r="D28" s="185"/>
      <c r="E28" s="185" t="s">
        <v>268</v>
      </c>
      <c r="F28" s="185"/>
      <c r="G28" s="185" t="s">
        <v>697</v>
      </c>
      <c r="H28" s="185"/>
      <c r="I28" s="185"/>
    </row>
    <row r="29" spans="1:9" ht="11.25">
      <c r="A29" s="186" t="s">
        <v>698</v>
      </c>
      <c r="B29" s="186" t="s">
        <v>699</v>
      </c>
      <c r="C29" s="186" t="s">
        <v>700</v>
      </c>
      <c r="D29" s="186" t="s">
        <v>701</v>
      </c>
      <c r="E29" s="186">
        <v>22.875</v>
      </c>
      <c r="F29" s="186" t="s">
        <v>702</v>
      </c>
      <c r="G29" s="186" t="s">
        <v>703</v>
      </c>
      <c r="H29" s="186" t="s">
        <v>704</v>
      </c>
      <c r="I29" s="186" t="s">
        <v>666</v>
      </c>
    </row>
    <row r="30" spans="1:9" ht="11.25">
      <c r="A30" s="186" t="s">
        <v>705</v>
      </c>
      <c r="B30" s="186" t="s">
        <v>706</v>
      </c>
      <c r="C30" s="186" t="s">
        <v>707</v>
      </c>
      <c r="D30" s="186"/>
      <c r="E30" s="186" t="s">
        <v>708</v>
      </c>
      <c r="F30" s="186"/>
      <c r="G30" s="186" t="s">
        <v>709</v>
      </c>
      <c r="H30" s="186"/>
      <c r="I30" s="187" t="s">
        <v>710</v>
      </c>
    </row>
    <row r="31" spans="1:9" ht="11.25">
      <c r="A31" s="188" t="s">
        <v>268</v>
      </c>
      <c r="B31" s="188"/>
      <c r="C31" s="188" t="s">
        <v>711</v>
      </c>
      <c r="D31" s="188"/>
      <c r="E31" s="188"/>
      <c r="F31" s="188"/>
      <c r="G31" s="188" t="s">
        <v>712</v>
      </c>
      <c r="H31" s="188"/>
      <c r="I31" s="188"/>
    </row>
    <row r="32" spans="1:22" s="191" customFormat="1" ht="12">
      <c r="A32" s="185"/>
      <c r="B32" s="185"/>
      <c r="C32" s="186"/>
      <c r="D32" s="186" t="s">
        <v>713</v>
      </c>
      <c r="E32" s="185"/>
      <c r="F32" s="187"/>
      <c r="G32" s="185"/>
      <c r="H32" s="185"/>
      <c r="I32" s="185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</row>
    <row r="33" spans="1:9" ht="11.25">
      <c r="A33" s="186" t="s">
        <v>714</v>
      </c>
      <c r="B33" s="187" t="s">
        <v>715</v>
      </c>
      <c r="C33" s="186" t="s">
        <v>716</v>
      </c>
      <c r="D33" s="186" t="s">
        <v>717</v>
      </c>
      <c r="E33" s="186">
        <v>148.13</v>
      </c>
      <c r="F33" s="187" t="s">
        <v>718</v>
      </c>
      <c r="G33" s="187" t="s">
        <v>719</v>
      </c>
      <c r="H33" s="186" t="s">
        <v>720</v>
      </c>
      <c r="I33" s="187" t="s">
        <v>721</v>
      </c>
    </row>
    <row r="34" spans="1:9" ht="11.25">
      <c r="A34" s="186"/>
      <c r="B34" s="186" t="s">
        <v>722</v>
      </c>
      <c r="C34" s="186"/>
      <c r="D34" s="186" t="s">
        <v>723</v>
      </c>
      <c r="E34" s="186" t="s">
        <v>647</v>
      </c>
      <c r="F34" s="186"/>
      <c r="G34" s="187"/>
      <c r="H34" s="186"/>
      <c r="I34" s="187" t="s">
        <v>719</v>
      </c>
    </row>
    <row r="35" spans="1:9" ht="11.25">
      <c r="A35" s="188"/>
      <c r="B35" s="188"/>
      <c r="C35" s="188"/>
      <c r="D35" s="188" t="s">
        <v>724</v>
      </c>
      <c r="E35" s="188"/>
      <c r="F35" s="188"/>
      <c r="G35" s="188"/>
      <c r="H35" s="188"/>
      <c r="I35" s="188"/>
    </row>
    <row r="36" spans="1:9" ht="11.25">
      <c r="A36" s="185"/>
      <c r="B36" s="185"/>
      <c r="C36" s="186"/>
      <c r="D36" s="186" t="s">
        <v>713</v>
      </c>
      <c r="E36" s="185"/>
      <c r="F36" s="187"/>
      <c r="G36" s="185"/>
      <c r="H36" s="185"/>
      <c r="I36" s="185"/>
    </row>
    <row r="37" spans="1:9" ht="11.25">
      <c r="A37" s="186" t="s">
        <v>714</v>
      </c>
      <c r="B37" s="187" t="s">
        <v>725</v>
      </c>
      <c r="C37" s="186" t="s">
        <v>716</v>
      </c>
      <c r="D37" s="186" t="s">
        <v>717</v>
      </c>
      <c r="E37" s="186">
        <v>73.37</v>
      </c>
      <c r="F37" s="187" t="s">
        <v>718</v>
      </c>
      <c r="G37" s="187" t="s">
        <v>719</v>
      </c>
      <c r="H37" s="186" t="s">
        <v>720</v>
      </c>
      <c r="I37" s="187" t="s">
        <v>721</v>
      </c>
    </row>
    <row r="38" spans="1:9" ht="11.25">
      <c r="A38" s="186"/>
      <c r="B38" s="186" t="s">
        <v>722</v>
      </c>
      <c r="C38" s="186"/>
      <c r="D38" s="186" t="s">
        <v>723</v>
      </c>
      <c r="E38" s="186" t="s">
        <v>647</v>
      </c>
      <c r="F38" s="186"/>
      <c r="G38" s="187"/>
      <c r="H38" s="186"/>
      <c r="I38" s="187" t="s">
        <v>719</v>
      </c>
    </row>
    <row r="39" spans="1:9" ht="11.25">
      <c r="A39" s="188"/>
      <c r="B39" s="188"/>
      <c r="C39" s="188"/>
      <c r="D39" s="188" t="s">
        <v>724</v>
      </c>
      <c r="E39" s="188"/>
      <c r="F39" s="188"/>
      <c r="G39" s="188"/>
      <c r="H39" s="188"/>
      <c r="I39" s="188"/>
    </row>
    <row r="40" spans="1:9" ht="11.25">
      <c r="A40" s="185"/>
      <c r="B40" s="185"/>
      <c r="C40" s="185"/>
      <c r="D40" s="185"/>
      <c r="E40" s="185" t="s">
        <v>268</v>
      </c>
      <c r="F40" s="185"/>
      <c r="G40" s="185" t="s">
        <v>697</v>
      </c>
      <c r="H40" s="185"/>
      <c r="I40" s="185"/>
    </row>
    <row r="41" spans="1:9" ht="11.25">
      <c r="A41" s="186" t="s">
        <v>698</v>
      </c>
      <c r="B41" s="186" t="s">
        <v>726</v>
      </c>
      <c r="C41" s="186" t="s">
        <v>700</v>
      </c>
      <c r="D41" s="186" t="s">
        <v>727</v>
      </c>
      <c r="E41" s="186">
        <v>22.875</v>
      </c>
      <c r="F41" s="186" t="s">
        <v>702</v>
      </c>
      <c r="G41" s="186" t="s">
        <v>703</v>
      </c>
      <c r="H41" s="186" t="s">
        <v>704</v>
      </c>
      <c r="I41" s="186" t="s">
        <v>728</v>
      </c>
    </row>
    <row r="42" spans="1:9" ht="11.25">
      <c r="A42" s="186" t="s">
        <v>729</v>
      </c>
      <c r="B42" s="186" t="s">
        <v>706</v>
      </c>
      <c r="C42" s="186" t="s">
        <v>707</v>
      </c>
      <c r="D42" s="186"/>
      <c r="E42" s="186" t="s">
        <v>708</v>
      </c>
      <c r="F42" s="186"/>
      <c r="G42" s="186" t="s">
        <v>709</v>
      </c>
      <c r="H42" s="186"/>
      <c r="I42" s="187" t="s">
        <v>730</v>
      </c>
    </row>
    <row r="43" spans="1:9" ht="11.25">
      <c r="A43" s="188" t="s">
        <v>268</v>
      </c>
      <c r="B43" s="188"/>
      <c r="C43" s="188" t="s">
        <v>711</v>
      </c>
      <c r="D43" s="188"/>
      <c r="E43" s="188"/>
      <c r="F43" s="188"/>
      <c r="G43" s="188" t="s">
        <v>712</v>
      </c>
      <c r="H43" s="188"/>
      <c r="I43" s="188"/>
    </row>
    <row r="44" spans="1:9" ht="11.25">
      <c r="A44" s="185"/>
      <c r="B44" s="185"/>
      <c r="C44" s="185"/>
      <c r="D44" s="185"/>
      <c r="E44" s="185">
        <v>2.62</v>
      </c>
      <c r="F44" s="185"/>
      <c r="G44" s="185"/>
      <c r="H44" s="185"/>
      <c r="I44" s="185"/>
    </row>
    <row r="45" spans="1:9" ht="11.25">
      <c r="A45" s="186" t="s">
        <v>731</v>
      </c>
      <c r="B45" s="186" t="s">
        <v>732</v>
      </c>
      <c r="C45" s="186" t="s">
        <v>733</v>
      </c>
      <c r="D45" s="186" t="s">
        <v>734</v>
      </c>
      <c r="E45" s="186" t="s">
        <v>647</v>
      </c>
      <c r="F45" s="186" t="s">
        <v>735</v>
      </c>
      <c r="G45" s="186" t="s">
        <v>736</v>
      </c>
      <c r="H45" s="186" t="s">
        <v>641</v>
      </c>
      <c r="I45" s="186" t="s">
        <v>728</v>
      </c>
    </row>
    <row r="46" spans="1:9" ht="11.25">
      <c r="A46" s="186" t="s">
        <v>268</v>
      </c>
      <c r="B46" s="186" t="s">
        <v>737</v>
      </c>
      <c r="C46" s="186" t="s">
        <v>738</v>
      </c>
      <c r="D46" s="186" t="s">
        <v>739</v>
      </c>
      <c r="E46" s="186">
        <v>4.71</v>
      </c>
      <c r="F46" s="186"/>
      <c r="G46" s="186" t="s">
        <v>740</v>
      </c>
      <c r="H46" s="186"/>
      <c r="I46" s="186" t="s">
        <v>740</v>
      </c>
    </row>
    <row r="47" spans="1:9" ht="11.25">
      <c r="A47" s="188" t="s">
        <v>268</v>
      </c>
      <c r="B47" s="188"/>
      <c r="C47" s="188"/>
      <c r="D47" s="188"/>
      <c r="E47" s="188" t="s">
        <v>657</v>
      </c>
      <c r="F47" s="188"/>
      <c r="G47" s="188"/>
      <c r="H47" s="188"/>
      <c r="I47" s="188"/>
    </row>
    <row r="48" spans="1:9" ht="11.25">
      <c r="A48" s="185"/>
      <c r="B48" s="185"/>
      <c r="C48" s="185"/>
      <c r="D48" s="185"/>
      <c r="E48" s="185"/>
      <c r="F48" s="185"/>
      <c r="G48" s="185"/>
      <c r="H48" s="185"/>
      <c r="I48" s="185"/>
    </row>
    <row r="49" spans="1:9" ht="11.25">
      <c r="A49" s="186" t="s">
        <v>741</v>
      </c>
      <c r="B49" s="186" t="s">
        <v>742</v>
      </c>
      <c r="C49" s="186" t="s">
        <v>743</v>
      </c>
      <c r="D49" s="186" t="s">
        <v>744</v>
      </c>
      <c r="E49" s="186" t="s">
        <v>745</v>
      </c>
      <c r="F49" s="186" t="s">
        <v>746</v>
      </c>
      <c r="G49" s="186" t="s">
        <v>747</v>
      </c>
      <c r="H49" s="186" t="s">
        <v>641</v>
      </c>
      <c r="I49" s="186" t="s">
        <v>748</v>
      </c>
    </row>
    <row r="50" spans="1:9" ht="11.25">
      <c r="A50" s="186"/>
      <c r="B50" s="186" t="s">
        <v>644</v>
      </c>
      <c r="C50" s="186" t="s">
        <v>749</v>
      </c>
      <c r="D50" s="186" t="s">
        <v>750</v>
      </c>
      <c r="E50" s="186" t="s">
        <v>751</v>
      </c>
      <c r="F50" s="186" t="s">
        <v>752</v>
      </c>
      <c r="G50" s="186" t="s">
        <v>753</v>
      </c>
      <c r="H50" s="186"/>
      <c r="I50" s="187" t="s">
        <v>658</v>
      </c>
    </row>
    <row r="51" spans="1:9" ht="11.25">
      <c r="A51" s="188"/>
      <c r="B51" s="188"/>
      <c r="C51" s="188"/>
      <c r="D51" s="188"/>
      <c r="E51" s="188"/>
      <c r="F51" s="188"/>
      <c r="G51" s="188"/>
      <c r="H51" s="188"/>
      <c r="I51" s="188"/>
    </row>
    <row r="52" spans="1:9" ht="11.25">
      <c r="A52" s="185"/>
      <c r="B52" s="185"/>
      <c r="C52" s="185"/>
      <c r="D52" s="185"/>
      <c r="E52" s="185"/>
      <c r="F52" s="185"/>
      <c r="G52" s="185"/>
      <c r="H52" s="185"/>
      <c r="I52" s="185"/>
    </row>
    <row r="53" spans="1:9" ht="11.25">
      <c r="A53" s="186" t="s">
        <v>754</v>
      </c>
      <c r="B53" s="186" t="s">
        <v>755</v>
      </c>
      <c r="C53" s="186" t="s">
        <v>756</v>
      </c>
      <c r="D53" s="186" t="s">
        <v>757</v>
      </c>
      <c r="E53" s="186">
        <v>2.43</v>
      </c>
      <c r="F53" s="186" t="s">
        <v>746</v>
      </c>
      <c r="G53" s="186" t="s">
        <v>678</v>
      </c>
      <c r="H53" s="186" t="s">
        <v>758</v>
      </c>
      <c r="I53" s="186" t="s">
        <v>759</v>
      </c>
    </row>
    <row r="54" spans="1:9" ht="11.25">
      <c r="A54" s="186"/>
      <c r="B54" s="186" t="s">
        <v>760</v>
      </c>
      <c r="C54" s="186" t="s">
        <v>761</v>
      </c>
      <c r="D54" s="186" t="s">
        <v>762</v>
      </c>
      <c r="E54" s="186" t="s">
        <v>657</v>
      </c>
      <c r="F54" s="186" t="s">
        <v>752</v>
      </c>
      <c r="G54" s="186" t="s">
        <v>763</v>
      </c>
      <c r="H54" s="186"/>
      <c r="I54" s="186" t="s">
        <v>685</v>
      </c>
    </row>
    <row r="55" spans="1:9" ht="11.25">
      <c r="A55" s="188"/>
      <c r="B55" s="188"/>
      <c r="C55" s="188"/>
      <c r="D55" s="188"/>
      <c r="E55" s="188"/>
      <c r="F55" s="188"/>
      <c r="G55" s="188"/>
      <c r="H55" s="188"/>
      <c r="I55" s="188"/>
    </row>
    <row r="56" spans="1:9" ht="11.25">
      <c r="A56" s="185"/>
      <c r="B56" s="185"/>
      <c r="C56" s="185"/>
      <c r="D56" s="185"/>
      <c r="E56" s="185"/>
      <c r="F56" s="185"/>
      <c r="G56" s="185"/>
      <c r="H56" s="185"/>
      <c r="I56" s="185"/>
    </row>
    <row r="57" spans="1:9" ht="11.25">
      <c r="A57" s="186" t="s">
        <v>754</v>
      </c>
      <c r="B57" s="186" t="s">
        <v>764</v>
      </c>
      <c r="C57" s="186" t="s">
        <v>765</v>
      </c>
      <c r="D57" s="186" t="s">
        <v>766</v>
      </c>
      <c r="E57" s="186">
        <v>0.43</v>
      </c>
      <c r="F57" s="186" t="s">
        <v>746</v>
      </c>
      <c r="G57" s="186" t="s">
        <v>678</v>
      </c>
      <c r="H57" s="186" t="s">
        <v>720</v>
      </c>
      <c r="I57" s="186" t="s">
        <v>759</v>
      </c>
    </row>
    <row r="58" spans="1:9" ht="11.25">
      <c r="A58" s="186"/>
      <c r="B58" s="186" t="s">
        <v>760</v>
      </c>
      <c r="C58" s="186" t="s">
        <v>767</v>
      </c>
      <c r="D58" s="186"/>
      <c r="E58" s="186" t="s">
        <v>657</v>
      </c>
      <c r="F58" s="186" t="s">
        <v>752</v>
      </c>
      <c r="G58" s="186" t="s">
        <v>763</v>
      </c>
      <c r="H58" s="186"/>
      <c r="I58" s="186" t="s">
        <v>763</v>
      </c>
    </row>
    <row r="59" spans="1:9" ht="11.25">
      <c r="A59" s="188"/>
      <c r="B59" s="188"/>
      <c r="C59" s="188"/>
      <c r="D59" s="188"/>
      <c r="E59" s="188"/>
      <c r="F59" s="188"/>
      <c r="G59" s="188"/>
      <c r="H59" s="188"/>
      <c r="I59" s="188"/>
    </row>
    <row r="60" spans="1:9" ht="11.25">
      <c r="A60" s="185"/>
      <c r="B60" s="185"/>
      <c r="C60" s="185"/>
      <c r="D60" s="185"/>
      <c r="E60" s="185"/>
      <c r="F60" s="185"/>
      <c r="G60" s="185"/>
      <c r="H60" s="185"/>
      <c r="I60" s="185"/>
    </row>
    <row r="61" spans="1:9" ht="11.25">
      <c r="A61" s="186" t="s">
        <v>754</v>
      </c>
      <c r="B61" s="186" t="s">
        <v>764</v>
      </c>
      <c r="C61" s="186" t="s">
        <v>768</v>
      </c>
      <c r="D61" s="186" t="s">
        <v>766</v>
      </c>
      <c r="E61" s="186">
        <v>2.44</v>
      </c>
      <c r="F61" s="186" t="s">
        <v>746</v>
      </c>
      <c r="G61" s="186" t="s">
        <v>678</v>
      </c>
      <c r="H61" s="186" t="s">
        <v>720</v>
      </c>
      <c r="I61" s="186" t="s">
        <v>759</v>
      </c>
    </row>
    <row r="62" spans="1:9" ht="11.25">
      <c r="A62" s="186"/>
      <c r="B62" s="186" t="s">
        <v>760</v>
      </c>
      <c r="C62" s="186" t="s">
        <v>749</v>
      </c>
      <c r="D62" s="186"/>
      <c r="E62" s="186" t="s">
        <v>657</v>
      </c>
      <c r="F62" s="186" t="s">
        <v>752</v>
      </c>
      <c r="G62" s="186" t="s">
        <v>763</v>
      </c>
      <c r="H62" s="186"/>
      <c r="I62" s="186" t="s">
        <v>685</v>
      </c>
    </row>
    <row r="63" spans="1:9" ht="11.25">
      <c r="A63" s="188"/>
      <c r="B63" s="188"/>
      <c r="C63" s="188"/>
      <c r="D63" s="188"/>
      <c r="E63" s="188"/>
      <c r="F63" s="188"/>
      <c r="G63" s="188"/>
      <c r="H63" s="188"/>
      <c r="I63" s="188"/>
    </row>
    <row r="64" spans="1:9" ht="11.25">
      <c r="A64" s="185"/>
      <c r="B64" s="185"/>
      <c r="C64" s="185"/>
      <c r="D64" s="185"/>
      <c r="E64" s="185"/>
      <c r="F64" s="185"/>
      <c r="G64" s="185"/>
      <c r="H64" s="185"/>
      <c r="I64" s="185"/>
    </row>
    <row r="65" spans="1:9" ht="11.25">
      <c r="A65" s="186" t="s">
        <v>754</v>
      </c>
      <c r="B65" s="186" t="s">
        <v>764</v>
      </c>
      <c r="C65" s="186" t="s">
        <v>765</v>
      </c>
      <c r="D65" s="186" t="s">
        <v>769</v>
      </c>
      <c r="E65" s="186">
        <v>0.07</v>
      </c>
      <c r="F65" s="186" t="s">
        <v>746</v>
      </c>
      <c r="G65" s="186" t="s">
        <v>678</v>
      </c>
      <c r="H65" s="186" t="s">
        <v>720</v>
      </c>
      <c r="I65" s="186" t="s">
        <v>759</v>
      </c>
    </row>
    <row r="66" spans="1:9" ht="11.25">
      <c r="A66" s="186"/>
      <c r="B66" s="186" t="s">
        <v>760</v>
      </c>
      <c r="C66" s="186" t="s">
        <v>767</v>
      </c>
      <c r="D66" s="186"/>
      <c r="E66" s="186" t="s">
        <v>657</v>
      </c>
      <c r="F66" s="186" t="s">
        <v>752</v>
      </c>
      <c r="G66" s="186" t="s">
        <v>763</v>
      </c>
      <c r="H66" s="186"/>
      <c r="I66" s="186" t="s">
        <v>685</v>
      </c>
    </row>
    <row r="67" spans="1:9" ht="11.25">
      <c r="A67" s="188"/>
      <c r="B67" s="188"/>
      <c r="C67" s="188"/>
      <c r="D67" s="188"/>
      <c r="E67" s="188"/>
      <c r="F67" s="188"/>
      <c r="G67" s="188"/>
      <c r="H67" s="188"/>
      <c r="I67" s="188"/>
    </row>
    <row r="68" spans="1:9" ht="11.25">
      <c r="A68" s="185"/>
      <c r="B68" s="185"/>
      <c r="C68" s="185"/>
      <c r="D68" s="185"/>
      <c r="E68" s="185"/>
      <c r="F68" s="185"/>
      <c r="G68" s="185"/>
      <c r="H68" s="185"/>
      <c r="I68" s="185"/>
    </row>
    <row r="69" spans="1:9" ht="11.25">
      <c r="A69" s="186" t="s">
        <v>754</v>
      </c>
      <c r="B69" s="186" t="s">
        <v>736</v>
      </c>
      <c r="C69" s="186" t="s">
        <v>743</v>
      </c>
      <c r="D69" s="186" t="s">
        <v>770</v>
      </c>
      <c r="E69" s="186">
        <v>0.22</v>
      </c>
      <c r="F69" s="186" t="s">
        <v>746</v>
      </c>
      <c r="G69" s="186" t="s">
        <v>678</v>
      </c>
      <c r="H69" s="186" t="s">
        <v>771</v>
      </c>
      <c r="I69" s="186" t="s">
        <v>759</v>
      </c>
    </row>
    <row r="70" spans="1:9" ht="11.25">
      <c r="A70" s="186"/>
      <c r="B70" s="186" t="s">
        <v>644</v>
      </c>
      <c r="C70" s="186" t="s">
        <v>749</v>
      </c>
      <c r="D70" s="186" t="s">
        <v>772</v>
      </c>
      <c r="E70" s="186" t="s">
        <v>657</v>
      </c>
      <c r="F70" s="186" t="s">
        <v>752</v>
      </c>
      <c r="G70" s="186" t="s">
        <v>685</v>
      </c>
      <c r="H70" s="186"/>
      <c r="I70" s="186" t="s">
        <v>685</v>
      </c>
    </row>
    <row r="71" spans="1:9" ht="11.25">
      <c r="A71" s="188"/>
      <c r="B71" s="188"/>
      <c r="C71" s="188"/>
      <c r="D71" s="188"/>
      <c r="E71" s="188"/>
      <c r="F71" s="188"/>
      <c r="G71" s="188"/>
      <c r="H71" s="188"/>
      <c r="I71" s="188"/>
    </row>
    <row r="72" spans="1:9" ht="11.25">
      <c r="A72" s="185"/>
      <c r="B72" s="185"/>
      <c r="C72" s="185"/>
      <c r="D72" s="185"/>
      <c r="E72" s="185"/>
      <c r="F72" s="185"/>
      <c r="G72" s="185"/>
      <c r="H72" s="185"/>
      <c r="I72" s="185"/>
    </row>
    <row r="73" spans="1:9" ht="11.25">
      <c r="A73" s="186" t="s">
        <v>754</v>
      </c>
      <c r="B73" s="186" t="s">
        <v>736</v>
      </c>
      <c r="C73" s="186" t="s">
        <v>743</v>
      </c>
      <c r="D73" s="186" t="s">
        <v>773</v>
      </c>
      <c r="E73" s="186">
        <v>0.52</v>
      </c>
      <c r="F73" s="186" t="s">
        <v>746</v>
      </c>
      <c r="G73" s="186" t="s">
        <v>678</v>
      </c>
      <c r="H73" s="186" t="s">
        <v>771</v>
      </c>
      <c r="I73" s="186" t="s">
        <v>759</v>
      </c>
    </row>
    <row r="74" spans="1:9" ht="11.25">
      <c r="A74" s="186"/>
      <c r="B74" s="186" t="s">
        <v>644</v>
      </c>
      <c r="C74" s="186" t="s">
        <v>749</v>
      </c>
      <c r="D74" s="186" t="s">
        <v>772</v>
      </c>
      <c r="E74" s="186" t="s">
        <v>657</v>
      </c>
      <c r="F74" s="186" t="s">
        <v>752</v>
      </c>
      <c r="G74" s="186" t="s">
        <v>685</v>
      </c>
      <c r="H74" s="186"/>
      <c r="I74" s="186" t="s">
        <v>685</v>
      </c>
    </row>
    <row r="75" spans="1:9" ht="11.25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 ht="11.25">
      <c r="A76" s="185"/>
      <c r="B76" s="185"/>
      <c r="C76" s="185"/>
      <c r="D76" s="185"/>
      <c r="E76" s="185"/>
      <c r="F76" s="185"/>
      <c r="G76" s="185"/>
      <c r="H76" s="185"/>
      <c r="I76" s="185"/>
    </row>
    <row r="77" spans="1:9" ht="11.25">
      <c r="A77" s="186" t="s">
        <v>754</v>
      </c>
      <c r="B77" s="186" t="s">
        <v>736</v>
      </c>
      <c r="C77" s="186" t="s">
        <v>743</v>
      </c>
      <c r="D77" s="186" t="s">
        <v>774</v>
      </c>
      <c r="E77" s="186">
        <v>0.64</v>
      </c>
      <c r="F77" s="186" t="s">
        <v>746</v>
      </c>
      <c r="G77" s="186" t="s">
        <v>678</v>
      </c>
      <c r="H77" s="186" t="s">
        <v>771</v>
      </c>
      <c r="I77" s="186" t="s">
        <v>759</v>
      </c>
    </row>
    <row r="78" spans="1:9" ht="11.25">
      <c r="A78" s="186"/>
      <c r="B78" s="186" t="s">
        <v>644</v>
      </c>
      <c r="C78" s="186" t="s">
        <v>749</v>
      </c>
      <c r="D78" s="186" t="s">
        <v>772</v>
      </c>
      <c r="E78" s="186" t="s">
        <v>657</v>
      </c>
      <c r="F78" s="186" t="s">
        <v>752</v>
      </c>
      <c r="G78" s="186" t="s">
        <v>685</v>
      </c>
      <c r="H78" s="186"/>
      <c r="I78" s="186" t="s">
        <v>685</v>
      </c>
    </row>
    <row r="79" spans="1:9" ht="11.25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 ht="11.25">
      <c r="A80" s="185"/>
      <c r="B80" s="185"/>
      <c r="C80" s="185"/>
      <c r="D80" s="185"/>
      <c r="E80" s="185"/>
      <c r="F80" s="185"/>
      <c r="G80" s="185"/>
      <c r="H80" s="185"/>
      <c r="I80" s="185"/>
    </row>
    <row r="81" spans="1:9" ht="11.25">
      <c r="A81" s="186" t="s">
        <v>754</v>
      </c>
      <c r="B81" s="186" t="s">
        <v>736</v>
      </c>
      <c r="C81" s="186" t="s">
        <v>743</v>
      </c>
      <c r="D81" s="186" t="s">
        <v>775</v>
      </c>
      <c r="E81" s="186">
        <v>0.32</v>
      </c>
      <c r="F81" s="186" t="s">
        <v>746</v>
      </c>
      <c r="G81" s="186" t="s">
        <v>678</v>
      </c>
      <c r="H81" s="186" t="s">
        <v>771</v>
      </c>
      <c r="I81" s="186" t="s">
        <v>759</v>
      </c>
    </row>
    <row r="82" spans="1:9" ht="11.25">
      <c r="A82" s="186"/>
      <c r="B82" s="186" t="s">
        <v>644</v>
      </c>
      <c r="C82" s="186" t="s">
        <v>749</v>
      </c>
      <c r="D82" s="186" t="s">
        <v>772</v>
      </c>
      <c r="E82" s="186" t="s">
        <v>657</v>
      </c>
      <c r="F82" s="186" t="s">
        <v>752</v>
      </c>
      <c r="G82" s="186" t="s">
        <v>685</v>
      </c>
      <c r="H82" s="186"/>
      <c r="I82" s="186" t="s">
        <v>685</v>
      </c>
    </row>
    <row r="83" spans="1:9" ht="11.25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 ht="11.25">
      <c r="A84" s="185"/>
      <c r="B84" s="185"/>
      <c r="C84" s="185"/>
      <c r="D84" s="185"/>
      <c r="E84" s="185"/>
      <c r="F84" s="185"/>
      <c r="G84" s="185"/>
      <c r="H84" s="185"/>
      <c r="I84" s="185"/>
    </row>
    <row r="85" spans="1:9" ht="11.25">
      <c r="A85" s="186" t="s">
        <v>754</v>
      </c>
      <c r="B85" s="186" t="s">
        <v>736</v>
      </c>
      <c r="C85" s="186" t="s">
        <v>743</v>
      </c>
      <c r="D85" s="186" t="s">
        <v>776</v>
      </c>
      <c r="E85" s="186">
        <v>0.26</v>
      </c>
      <c r="F85" s="186" t="s">
        <v>746</v>
      </c>
      <c r="G85" s="186" t="s">
        <v>678</v>
      </c>
      <c r="H85" s="186" t="s">
        <v>771</v>
      </c>
      <c r="I85" s="186" t="s">
        <v>759</v>
      </c>
    </row>
    <row r="86" spans="1:9" ht="11.25">
      <c r="A86" s="186"/>
      <c r="B86" s="186" t="s">
        <v>644</v>
      </c>
      <c r="C86" s="186" t="s">
        <v>749</v>
      </c>
      <c r="D86" s="186" t="s">
        <v>772</v>
      </c>
      <c r="E86" s="186" t="s">
        <v>657</v>
      </c>
      <c r="F86" s="186" t="s">
        <v>752</v>
      </c>
      <c r="G86" s="186" t="s">
        <v>685</v>
      </c>
      <c r="H86" s="186"/>
      <c r="I86" s="186" t="s">
        <v>685</v>
      </c>
    </row>
    <row r="87" spans="1:9" ht="11.25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 ht="11.25">
      <c r="A88" s="185"/>
      <c r="B88" s="185"/>
      <c r="C88" s="185"/>
      <c r="D88" s="185"/>
      <c r="E88" s="185"/>
      <c r="F88" s="185"/>
      <c r="G88" s="185"/>
      <c r="H88" s="185"/>
      <c r="I88" s="185"/>
    </row>
    <row r="89" spans="1:9" ht="11.25">
      <c r="A89" s="186" t="s">
        <v>754</v>
      </c>
      <c r="B89" s="186" t="s">
        <v>736</v>
      </c>
      <c r="C89" s="186" t="s">
        <v>743</v>
      </c>
      <c r="D89" s="186" t="s">
        <v>777</v>
      </c>
      <c r="E89" s="186">
        <v>0.48</v>
      </c>
      <c r="F89" s="186" t="s">
        <v>746</v>
      </c>
      <c r="G89" s="186" t="s">
        <v>678</v>
      </c>
      <c r="H89" s="186" t="s">
        <v>771</v>
      </c>
      <c r="I89" s="186" t="s">
        <v>759</v>
      </c>
    </row>
    <row r="90" spans="1:9" ht="11.25">
      <c r="A90" s="186"/>
      <c r="B90" s="186" t="s">
        <v>644</v>
      </c>
      <c r="C90" s="186" t="s">
        <v>749</v>
      </c>
      <c r="D90" s="186" t="s">
        <v>772</v>
      </c>
      <c r="E90" s="186" t="s">
        <v>657</v>
      </c>
      <c r="F90" s="186" t="s">
        <v>752</v>
      </c>
      <c r="G90" s="186" t="s">
        <v>685</v>
      </c>
      <c r="H90" s="186"/>
      <c r="I90" s="186" t="s">
        <v>685</v>
      </c>
    </row>
    <row r="91" spans="1:9" ht="11.25">
      <c r="A91" s="188"/>
      <c r="B91" s="188"/>
      <c r="C91" s="188"/>
      <c r="D91" s="188"/>
      <c r="E91" s="188"/>
      <c r="F91" s="188"/>
      <c r="G91" s="188"/>
      <c r="H91" s="188"/>
      <c r="I91" s="188"/>
    </row>
    <row r="92" spans="1:9" ht="11.25">
      <c r="A92" s="185"/>
      <c r="B92" s="185"/>
      <c r="C92" s="185"/>
      <c r="D92" s="185"/>
      <c r="E92" s="185"/>
      <c r="F92" s="185"/>
      <c r="G92" s="185"/>
      <c r="H92" s="185"/>
      <c r="I92" s="185"/>
    </row>
    <row r="93" spans="1:9" ht="11.25">
      <c r="A93" s="186" t="s">
        <v>754</v>
      </c>
      <c r="B93" s="186" t="s">
        <v>736</v>
      </c>
      <c r="C93" s="186" t="s">
        <v>743</v>
      </c>
      <c r="D93" s="186" t="s">
        <v>778</v>
      </c>
      <c r="E93" s="186">
        <v>0.62</v>
      </c>
      <c r="F93" s="186" t="s">
        <v>746</v>
      </c>
      <c r="G93" s="186" t="s">
        <v>678</v>
      </c>
      <c r="H93" s="186" t="s">
        <v>771</v>
      </c>
      <c r="I93" s="186" t="s">
        <v>759</v>
      </c>
    </row>
    <row r="94" spans="1:9" ht="11.25">
      <c r="A94" s="186"/>
      <c r="B94" s="186" t="s">
        <v>644</v>
      </c>
      <c r="C94" s="186" t="s">
        <v>749</v>
      </c>
      <c r="D94" s="186" t="s">
        <v>772</v>
      </c>
      <c r="E94" s="186" t="s">
        <v>657</v>
      </c>
      <c r="F94" s="186" t="s">
        <v>752</v>
      </c>
      <c r="G94" s="186" t="s">
        <v>685</v>
      </c>
      <c r="H94" s="186"/>
      <c r="I94" s="186" t="s">
        <v>685</v>
      </c>
    </row>
    <row r="95" spans="1:9" ht="11.25">
      <c r="A95" s="188"/>
      <c r="B95" s="188"/>
      <c r="C95" s="188"/>
      <c r="D95" s="188"/>
      <c r="E95" s="188"/>
      <c r="F95" s="188"/>
      <c r="G95" s="188"/>
      <c r="H95" s="188"/>
      <c r="I95" s="188"/>
    </row>
    <row r="96" spans="1:9" ht="11.25">
      <c r="A96" s="185"/>
      <c r="B96" s="185"/>
      <c r="C96" s="185"/>
      <c r="D96" s="185"/>
      <c r="E96" s="185"/>
      <c r="F96" s="185"/>
      <c r="G96" s="185"/>
      <c r="H96" s="185"/>
      <c r="I96" s="185"/>
    </row>
    <row r="97" spans="1:9" ht="11.25">
      <c r="A97" s="186" t="s">
        <v>754</v>
      </c>
      <c r="B97" s="186" t="s">
        <v>736</v>
      </c>
      <c r="C97" s="186" t="s">
        <v>743</v>
      </c>
      <c r="D97" s="186" t="s">
        <v>779</v>
      </c>
      <c r="E97" s="186">
        <v>1.24</v>
      </c>
      <c r="F97" s="186" t="s">
        <v>746</v>
      </c>
      <c r="G97" s="186" t="s">
        <v>678</v>
      </c>
      <c r="H97" s="186" t="s">
        <v>771</v>
      </c>
      <c r="I97" s="186" t="s">
        <v>759</v>
      </c>
    </row>
    <row r="98" spans="1:9" ht="11.25">
      <c r="A98" s="186"/>
      <c r="B98" s="186" t="s">
        <v>644</v>
      </c>
      <c r="C98" s="186" t="s">
        <v>749</v>
      </c>
      <c r="D98" s="186" t="s">
        <v>772</v>
      </c>
      <c r="E98" s="186" t="s">
        <v>657</v>
      </c>
      <c r="F98" s="186" t="s">
        <v>752</v>
      </c>
      <c r="G98" s="186" t="s">
        <v>685</v>
      </c>
      <c r="H98" s="186"/>
      <c r="I98" s="186" t="s">
        <v>685</v>
      </c>
    </row>
    <row r="99" spans="1:9" ht="11.25">
      <c r="A99" s="188"/>
      <c r="B99" s="188"/>
      <c r="C99" s="188"/>
      <c r="D99" s="188"/>
      <c r="E99" s="188"/>
      <c r="F99" s="188"/>
      <c r="G99" s="188"/>
      <c r="H99" s="188"/>
      <c r="I99" s="188"/>
    </row>
    <row r="100" spans="1:9" ht="11.25">
      <c r="A100" s="185"/>
      <c r="B100" s="185"/>
      <c r="C100" s="185"/>
      <c r="D100" s="185"/>
      <c r="E100" s="185"/>
      <c r="F100" s="185"/>
      <c r="G100" s="185"/>
      <c r="H100" s="185"/>
      <c r="I100" s="185"/>
    </row>
    <row r="101" spans="1:9" ht="11.25">
      <c r="A101" s="186" t="s">
        <v>741</v>
      </c>
      <c r="B101" s="186" t="s">
        <v>780</v>
      </c>
      <c r="C101" s="186" t="s">
        <v>781</v>
      </c>
      <c r="D101" s="186" t="s">
        <v>782</v>
      </c>
      <c r="E101" s="186">
        <v>17.35</v>
      </c>
      <c r="F101" s="186" t="s">
        <v>746</v>
      </c>
      <c r="G101" s="186" t="s">
        <v>678</v>
      </c>
      <c r="H101" s="186" t="s">
        <v>641</v>
      </c>
      <c r="I101" s="186" t="s">
        <v>759</v>
      </c>
    </row>
    <row r="102" spans="1:9" ht="11.25">
      <c r="A102" s="186"/>
      <c r="B102" s="186" t="s">
        <v>644</v>
      </c>
      <c r="C102" s="186" t="s">
        <v>749</v>
      </c>
      <c r="D102" s="186" t="s">
        <v>783</v>
      </c>
      <c r="E102" s="186" t="s">
        <v>751</v>
      </c>
      <c r="F102" s="186" t="s">
        <v>752</v>
      </c>
      <c r="G102" s="186" t="s">
        <v>685</v>
      </c>
      <c r="H102" s="186"/>
      <c r="I102" s="186" t="s">
        <v>685</v>
      </c>
    </row>
    <row r="103" spans="1:9" ht="11.25">
      <c r="A103" s="188"/>
      <c r="B103" s="188"/>
      <c r="C103" s="188"/>
      <c r="D103" s="188"/>
      <c r="E103" s="188"/>
      <c r="F103" s="188"/>
      <c r="G103" s="188"/>
      <c r="H103" s="188"/>
      <c r="I103" s="188"/>
    </row>
    <row r="104" spans="1:9" ht="11.25">
      <c r="A104" s="185"/>
      <c r="B104" s="185"/>
      <c r="C104" s="185"/>
      <c r="D104" s="185"/>
      <c r="E104" s="185"/>
      <c r="F104" s="185"/>
      <c r="G104" s="185"/>
      <c r="H104" s="185"/>
      <c r="I104" s="185"/>
    </row>
    <row r="105" spans="1:9" ht="11.25">
      <c r="A105" s="186" t="s">
        <v>784</v>
      </c>
      <c r="B105" s="186" t="s">
        <v>785</v>
      </c>
      <c r="C105" s="186" t="s">
        <v>786</v>
      </c>
      <c r="D105" s="186" t="s">
        <v>787</v>
      </c>
      <c r="E105" s="186">
        <v>1.88</v>
      </c>
      <c r="F105" s="187" t="s">
        <v>788</v>
      </c>
      <c r="G105" s="186" t="s">
        <v>678</v>
      </c>
      <c r="H105" s="186" t="s">
        <v>771</v>
      </c>
      <c r="I105" s="187" t="s">
        <v>789</v>
      </c>
    </row>
    <row r="106" spans="1:9" ht="11.25">
      <c r="A106" s="186" t="s">
        <v>790</v>
      </c>
      <c r="B106" s="186" t="s">
        <v>694</v>
      </c>
      <c r="C106" s="186" t="s">
        <v>749</v>
      </c>
      <c r="D106" s="186" t="s">
        <v>791</v>
      </c>
      <c r="E106" s="186" t="s">
        <v>684</v>
      </c>
      <c r="F106" s="186"/>
      <c r="G106" s="186" t="s">
        <v>685</v>
      </c>
      <c r="H106" s="186"/>
      <c r="I106" s="187" t="s">
        <v>678</v>
      </c>
    </row>
    <row r="107" spans="1:9" ht="11.25">
      <c r="A107" s="188"/>
      <c r="B107" s="188"/>
      <c r="C107" s="188"/>
      <c r="D107" s="188"/>
      <c r="E107" s="188"/>
      <c r="F107" s="188"/>
      <c r="G107" s="188"/>
      <c r="H107" s="188"/>
      <c r="I107" s="188"/>
    </row>
    <row r="108" spans="1:9" ht="11.25">
      <c r="A108" s="185"/>
      <c r="B108" s="185"/>
      <c r="C108" s="185"/>
      <c r="D108" s="185"/>
      <c r="E108" s="185"/>
      <c r="F108" s="185"/>
      <c r="G108" s="185"/>
      <c r="H108" s="185"/>
      <c r="I108" s="185"/>
    </row>
    <row r="109" spans="1:9" ht="11.25">
      <c r="A109" s="186" t="s">
        <v>754</v>
      </c>
      <c r="B109" s="186" t="s">
        <v>736</v>
      </c>
      <c r="C109" s="186" t="s">
        <v>743</v>
      </c>
      <c r="D109" s="186" t="s">
        <v>792</v>
      </c>
      <c r="E109" s="186">
        <v>0.87</v>
      </c>
      <c r="F109" s="186" t="s">
        <v>746</v>
      </c>
      <c r="G109" s="186" t="s">
        <v>678</v>
      </c>
      <c r="H109" s="186" t="s">
        <v>771</v>
      </c>
      <c r="I109" s="186" t="s">
        <v>789</v>
      </c>
    </row>
    <row r="110" spans="1:9" ht="11.25">
      <c r="A110" s="186"/>
      <c r="B110" s="186" t="s">
        <v>644</v>
      </c>
      <c r="C110" s="186" t="s">
        <v>749</v>
      </c>
      <c r="D110" s="186" t="s">
        <v>772</v>
      </c>
      <c r="E110" s="186" t="s">
        <v>657</v>
      </c>
      <c r="F110" s="186" t="s">
        <v>752</v>
      </c>
      <c r="G110" s="186" t="s">
        <v>685</v>
      </c>
      <c r="H110" s="186"/>
      <c r="I110" s="187" t="s">
        <v>678</v>
      </c>
    </row>
    <row r="111" spans="1:9" ht="11.25">
      <c r="A111" s="188"/>
      <c r="B111" s="188"/>
      <c r="C111" s="188"/>
      <c r="D111" s="188"/>
      <c r="E111" s="188"/>
      <c r="F111" s="188"/>
      <c r="G111" s="188"/>
      <c r="H111" s="188"/>
      <c r="I111" s="188"/>
    </row>
    <row r="112" spans="1:9" ht="11.25">
      <c r="A112" s="185"/>
      <c r="B112" s="185"/>
      <c r="C112" s="185"/>
      <c r="D112" s="185"/>
      <c r="E112" s="185"/>
      <c r="F112" s="185"/>
      <c r="G112" s="185"/>
      <c r="H112" s="185"/>
      <c r="I112" s="185"/>
    </row>
    <row r="113" spans="1:9" ht="11.25">
      <c r="A113" s="186" t="s">
        <v>754</v>
      </c>
      <c r="B113" s="186" t="s">
        <v>793</v>
      </c>
      <c r="C113" s="186" t="s">
        <v>794</v>
      </c>
      <c r="D113" s="186" t="s">
        <v>795</v>
      </c>
      <c r="E113" s="186">
        <v>0.51</v>
      </c>
      <c r="F113" s="186" t="s">
        <v>746</v>
      </c>
      <c r="G113" s="187" t="s">
        <v>796</v>
      </c>
      <c r="H113" s="187" t="s">
        <v>758</v>
      </c>
      <c r="I113" s="187" t="s">
        <v>789</v>
      </c>
    </row>
    <row r="114" spans="1:9" ht="11.25">
      <c r="A114" s="186"/>
      <c r="B114" s="186" t="s">
        <v>760</v>
      </c>
      <c r="C114" s="186"/>
      <c r="D114" s="186"/>
      <c r="E114" s="186" t="s">
        <v>657</v>
      </c>
      <c r="F114" s="186" t="s">
        <v>752</v>
      </c>
      <c r="G114" s="187" t="s">
        <v>753</v>
      </c>
      <c r="H114" s="187"/>
      <c r="I114" s="187" t="s">
        <v>796</v>
      </c>
    </row>
    <row r="115" spans="1:9" ht="11.25">
      <c r="A115" s="188"/>
      <c r="B115" s="188"/>
      <c r="C115" s="188"/>
      <c r="D115" s="188"/>
      <c r="E115" s="188"/>
      <c r="F115" s="188"/>
      <c r="G115" s="188"/>
      <c r="H115" s="188"/>
      <c r="I115" s="188"/>
    </row>
    <row r="116" spans="1:9" ht="11.25">
      <c r="A116" s="185"/>
      <c r="B116" s="185"/>
      <c r="C116" s="185"/>
      <c r="D116" s="185"/>
      <c r="E116" s="185"/>
      <c r="F116" s="185"/>
      <c r="G116" s="185"/>
      <c r="H116" s="185"/>
      <c r="I116" s="185"/>
    </row>
    <row r="117" spans="1:9" ht="11.25">
      <c r="A117" s="186" t="s">
        <v>754</v>
      </c>
      <c r="B117" s="186" t="s">
        <v>797</v>
      </c>
      <c r="C117" s="186" t="s">
        <v>798</v>
      </c>
      <c r="D117" s="186" t="s">
        <v>638</v>
      </c>
      <c r="E117" s="186">
        <v>2.51</v>
      </c>
      <c r="F117" s="186" t="s">
        <v>746</v>
      </c>
      <c r="G117" s="186" t="s">
        <v>678</v>
      </c>
      <c r="H117" s="186" t="s">
        <v>758</v>
      </c>
      <c r="I117" s="186" t="s">
        <v>799</v>
      </c>
    </row>
    <row r="118" spans="1:9" ht="11.25">
      <c r="A118" s="186"/>
      <c r="B118" s="186" t="s">
        <v>694</v>
      </c>
      <c r="C118" s="186"/>
      <c r="D118" s="186" t="s">
        <v>646</v>
      </c>
      <c r="E118" s="186" t="s">
        <v>657</v>
      </c>
      <c r="F118" s="186" t="s">
        <v>752</v>
      </c>
      <c r="G118" s="186" t="s">
        <v>685</v>
      </c>
      <c r="H118" s="186"/>
      <c r="I118" s="186" t="s">
        <v>678</v>
      </c>
    </row>
    <row r="119" spans="1:9" ht="11.25">
      <c r="A119" s="188"/>
      <c r="B119" s="188"/>
      <c r="C119" s="188"/>
      <c r="D119" s="188"/>
      <c r="E119" s="188"/>
      <c r="F119" s="188"/>
      <c r="G119" s="188"/>
      <c r="H119" s="188"/>
      <c r="I119" s="188"/>
    </row>
    <row r="120" spans="1:9" ht="11.25">
      <c r="A120" s="185"/>
      <c r="B120" s="185"/>
      <c r="C120" s="185"/>
      <c r="D120" s="185"/>
      <c r="E120" s="185"/>
      <c r="F120" s="185"/>
      <c r="G120" s="185"/>
      <c r="H120" s="185"/>
      <c r="I120" s="185"/>
    </row>
    <row r="121" spans="1:9" ht="11.25">
      <c r="A121" s="186" t="s">
        <v>800</v>
      </c>
      <c r="B121" s="186" t="s">
        <v>801</v>
      </c>
      <c r="C121" s="186" t="s">
        <v>802</v>
      </c>
      <c r="D121" s="186" t="s">
        <v>803</v>
      </c>
      <c r="E121" s="186">
        <v>9.96</v>
      </c>
      <c r="F121" s="186" t="s">
        <v>804</v>
      </c>
      <c r="G121" s="186" t="s">
        <v>805</v>
      </c>
      <c r="H121" s="186" t="s">
        <v>758</v>
      </c>
      <c r="I121" s="186" t="s">
        <v>806</v>
      </c>
    </row>
    <row r="122" spans="1:9" ht="11.25">
      <c r="A122" s="186" t="s">
        <v>807</v>
      </c>
      <c r="B122" s="186" t="s">
        <v>667</v>
      </c>
      <c r="C122" s="186" t="s">
        <v>808</v>
      </c>
      <c r="D122" s="186" t="s">
        <v>762</v>
      </c>
      <c r="E122" s="186" t="s">
        <v>657</v>
      </c>
      <c r="F122" s="186"/>
      <c r="G122" s="186" t="s">
        <v>809</v>
      </c>
      <c r="H122" s="186"/>
      <c r="I122" s="186" t="s">
        <v>809</v>
      </c>
    </row>
    <row r="123" spans="1:9" ht="11.25">
      <c r="A123" s="188"/>
      <c r="B123" s="188"/>
      <c r="C123" s="188"/>
      <c r="D123" s="188"/>
      <c r="E123" s="188"/>
      <c r="F123" s="188"/>
      <c r="G123" s="188"/>
      <c r="H123" s="188"/>
      <c r="I123" s="188"/>
    </row>
    <row r="124" spans="1:9" ht="11.25">
      <c r="A124" s="185"/>
      <c r="B124" s="185"/>
      <c r="C124" s="185"/>
      <c r="D124" s="185"/>
      <c r="E124" s="185"/>
      <c r="F124" s="185"/>
      <c r="G124" s="185"/>
      <c r="H124" s="185"/>
      <c r="I124" s="185"/>
    </row>
    <row r="125" spans="1:9" ht="11.25">
      <c r="A125" s="186" t="s">
        <v>810</v>
      </c>
      <c r="B125" s="186" t="s">
        <v>811</v>
      </c>
      <c r="C125" s="186" t="s">
        <v>812</v>
      </c>
      <c r="D125" s="186" t="s">
        <v>813</v>
      </c>
      <c r="E125" s="186">
        <v>41.86</v>
      </c>
      <c r="F125" s="186" t="s">
        <v>814</v>
      </c>
      <c r="G125" s="186" t="s">
        <v>815</v>
      </c>
      <c r="H125" s="186" t="s">
        <v>816</v>
      </c>
      <c r="I125" s="186" t="s">
        <v>806</v>
      </c>
    </row>
    <row r="126" spans="1:9" ht="11.25">
      <c r="A126" s="186" t="s">
        <v>268</v>
      </c>
      <c r="B126" s="186" t="s">
        <v>737</v>
      </c>
      <c r="C126" s="186" t="s">
        <v>817</v>
      </c>
      <c r="D126" s="186"/>
      <c r="E126" s="186" t="s">
        <v>657</v>
      </c>
      <c r="F126" s="187" t="s">
        <v>818</v>
      </c>
      <c r="G126" s="186" t="s">
        <v>819</v>
      </c>
      <c r="H126" s="186"/>
      <c r="I126" s="186" t="s">
        <v>819</v>
      </c>
    </row>
    <row r="127" spans="1:9" ht="11.25">
      <c r="A127" s="188" t="s">
        <v>268</v>
      </c>
      <c r="B127" s="188"/>
      <c r="C127" s="188"/>
      <c r="D127" s="188"/>
      <c r="E127" s="188"/>
      <c r="F127" s="188"/>
      <c r="G127" s="188"/>
      <c r="H127" s="188"/>
      <c r="I127" s="188"/>
    </row>
    <row r="128" spans="1:9" ht="11.25">
      <c r="A128" s="185"/>
      <c r="B128" s="185"/>
      <c r="C128" s="185"/>
      <c r="D128" s="185"/>
      <c r="E128" s="185" t="s">
        <v>268</v>
      </c>
      <c r="F128" s="185"/>
      <c r="G128" s="185"/>
      <c r="H128" s="185"/>
      <c r="I128" s="185"/>
    </row>
    <row r="129" spans="1:9" ht="11.25">
      <c r="A129" s="186" t="s">
        <v>820</v>
      </c>
      <c r="B129" s="186" t="s">
        <v>821</v>
      </c>
      <c r="C129" s="186" t="s">
        <v>812</v>
      </c>
      <c r="D129" s="186" t="s">
        <v>822</v>
      </c>
      <c r="E129" s="186">
        <v>2624.06</v>
      </c>
      <c r="F129" s="186" t="s">
        <v>823</v>
      </c>
      <c r="G129" s="187" t="s">
        <v>815</v>
      </c>
      <c r="H129" s="186" t="s">
        <v>704</v>
      </c>
      <c r="I129" s="186" t="s">
        <v>806</v>
      </c>
    </row>
    <row r="130" spans="1:9" ht="11.25">
      <c r="A130" s="186" t="s">
        <v>824</v>
      </c>
      <c r="B130" s="186" t="s">
        <v>706</v>
      </c>
      <c r="C130" s="186" t="s">
        <v>817</v>
      </c>
      <c r="D130" s="186"/>
      <c r="E130" s="186" t="s">
        <v>825</v>
      </c>
      <c r="F130" s="186" t="s">
        <v>826</v>
      </c>
      <c r="G130" s="186" t="s">
        <v>819</v>
      </c>
      <c r="H130" s="186"/>
      <c r="I130" s="186" t="s">
        <v>819</v>
      </c>
    </row>
    <row r="131" spans="1:9" ht="11.25">
      <c r="A131" s="188" t="s">
        <v>268</v>
      </c>
      <c r="B131" s="188"/>
      <c r="C131" s="188"/>
      <c r="D131" s="188"/>
      <c r="E131" s="188"/>
      <c r="F131" s="188"/>
      <c r="G131" s="188" t="s">
        <v>268</v>
      </c>
      <c r="H131" s="188"/>
      <c r="I131" s="188"/>
    </row>
    <row r="132" spans="1:9" ht="11.25">
      <c r="A132" s="185"/>
      <c r="B132" s="185"/>
      <c r="C132" s="185" t="s">
        <v>802</v>
      </c>
      <c r="D132" s="185" t="s">
        <v>757</v>
      </c>
      <c r="E132" s="185"/>
      <c r="F132" s="185"/>
      <c r="G132" s="185" t="s">
        <v>805</v>
      </c>
      <c r="H132" s="185"/>
      <c r="I132" s="185"/>
    </row>
    <row r="133" spans="1:9" ht="11.25">
      <c r="A133" s="186" t="s">
        <v>820</v>
      </c>
      <c r="B133" s="186" t="s">
        <v>827</v>
      </c>
      <c r="C133" s="186" t="s">
        <v>828</v>
      </c>
      <c r="D133" s="186" t="s">
        <v>829</v>
      </c>
      <c r="E133" s="186">
        <v>3183.75</v>
      </c>
      <c r="F133" s="186" t="s">
        <v>823</v>
      </c>
      <c r="G133" s="186" t="s">
        <v>830</v>
      </c>
      <c r="H133" s="186" t="s">
        <v>758</v>
      </c>
      <c r="I133" s="186" t="s">
        <v>806</v>
      </c>
    </row>
    <row r="134" spans="1:9" ht="11.25">
      <c r="A134" s="186" t="s">
        <v>824</v>
      </c>
      <c r="B134" s="186" t="s">
        <v>760</v>
      </c>
      <c r="C134" s="186" t="s">
        <v>831</v>
      </c>
      <c r="D134" s="186" t="s">
        <v>663</v>
      </c>
      <c r="E134" s="186" t="s">
        <v>825</v>
      </c>
      <c r="F134" s="186" t="s">
        <v>826</v>
      </c>
      <c r="G134" s="186" t="s">
        <v>809</v>
      </c>
      <c r="H134" s="186"/>
      <c r="I134" s="187" t="s">
        <v>832</v>
      </c>
    </row>
    <row r="135" spans="1:9" ht="11.25">
      <c r="A135" s="188"/>
      <c r="B135" s="188"/>
      <c r="C135" s="188" t="s">
        <v>749</v>
      </c>
      <c r="D135" s="188"/>
      <c r="E135" s="188"/>
      <c r="F135" s="188"/>
      <c r="G135" s="188" t="s">
        <v>832</v>
      </c>
      <c r="H135" s="188"/>
      <c r="I135" s="188"/>
    </row>
    <row r="136" spans="1:9" ht="11.25">
      <c r="A136" s="185"/>
      <c r="B136" s="185"/>
      <c r="C136" s="185" t="s">
        <v>833</v>
      </c>
      <c r="D136" s="185"/>
      <c r="E136" s="185">
        <v>10</v>
      </c>
      <c r="F136" s="185"/>
      <c r="G136" s="185"/>
      <c r="H136" s="185"/>
      <c r="I136" s="185"/>
    </row>
    <row r="137" spans="1:9" ht="11.25">
      <c r="A137" s="186" t="s">
        <v>810</v>
      </c>
      <c r="B137" s="186" t="s">
        <v>834</v>
      </c>
      <c r="C137" s="186" t="s">
        <v>835</v>
      </c>
      <c r="D137" s="186" t="s">
        <v>836</v>
      </c>
      <c r="E137" s="186" t="s">
        <v>657</v>
      </c>
      <c r="F137" s="186" t="s">
        <v>837</v>
      </c>
      <c r="G137" s="186" t="s">
        <v>838</v>
      </c>
      <c r="H137" s="186" t="s">
        <v>704</v>
      </c>
      <c r="I137" s="186" t="s">
        <v>839</v>
      </c>
    </row>
    <row r="138" spans="1:9" ht="11.25">
      <c r="A138" s="186" t="s">
        <v>268</v>
      </c>
      <c r="B138" s="186" t="s">
        <v>667</v>
      </c>
      <c r="C138" s="186" t="s">
        <v>840</v>
      </c>
      <c r="D138" s="186"/>
      <c r="E138" s="186">
        <v>4.35</v>
      </c>
      <c r="F138" s="186"/>
      <c r="G138" s="186" t="s">
        <v>841</v>
      </c>
      <c r="H138" s="186"/>
      <c r="I138" s="186" t="s">
        <v>842</v>
      </c>
    </row>
    <row r="139" spans="1:9" ht="11.25">
      <c r="A139" s="188" t="s">
        <v>268</v>
      </c>
      <c r="B139" s="188"/>
      <c r="C139" s="188"/>
      <c r="D139" s="188"/>
      <c r="E139" s="188" t="s">
        <v>647</v>
      </c>
      <c r="F139" s="188"/>
      <c r="G139" s="188"/>
      <c r="H139" s="188"/>
      <c r="I139" s="188"/>
    </row>
    <row r="140" spans="1:9" ht="11.25">
      <c r="A140" s="185"/>
      <c r="B140" s="185"/>
      <c r="C140" s="185"/>
      <c r="D140" s="185"/>
      <c r="E140" s="185" t="s">
        <v>268</v>
      </c>
      <c r="F140" s="185"/>
      <c r="G140" s="185"/>
      <c r="H140" s="185"/>
      <c r="I140" s="185"/>
    </row>
    <row r="141" spans="1:9" ht="11.25">
      <c r="A141" s="186" t="s">
        <v>810</v>
      </c>
      <c r="B141" s="186" t="s">
        <v>843</v>
      </c>
      <c r="C141" s="186" t="s">
        <v>844</v>
      </c>
      <c r="D141" s="186" t="s">
        <v>845</v>
      </c>
      <c r="E141" s="186">
        <v>25</v>
      </c>
      <c r="F141" s="186" t="s">
        <v>846</v>
      </c>
      <c r="G141" s="186" t="s">
        <v>847</v>
      </c>
      <c r="H141" s="186" t="s">
        <v>704</v>
      </c>
      <c r="I141" s="186" t="s">
        <v>839</v>
      </c>
    </row>
    <row r="142" spans="1:9" ht="11.25">
      <c r="A142" s="186" t="s">
        <v>268</v>
      </c>
      <c r="B142" s="186" t="s">
        <v>667</v>
      </c>
      <c r="C142" s="186"/>
      <c r="D142" s="186"/>
      <c r="E142" s="186" t="s">
        <v>657</v>
      </c>
      <c r="F142" s="186"/>
      <c r="G142" s="186" t="s">
        <v>848</v>
      </c>
      <c r="H142" s="186"/>
      <c r="I142" s="186" t="s">
        <v>848</v>
      </c>
    </row>
    <row r="143" spans="1:9" ht="11.25">
      <c r="A143" s="188" t="s">
        <v>268</v>
      </c>
      <c r="B143" s="188"/>
      <c r="C143" s="188"/>
      <c r="D143" s="188"/>
      <c r="E143" s="188"/>
      <c r="F143" s="188"/>
      <c r="G143" s="188"/>
      <c r="H143" s="188"/>
      <c r="I143" s="188"/>
    </row>
    <row r="144" spans="1:9" ht="11.25">
      <c r="A144" s="185"/>
      <c r="B144" s="185"/>
      <c r="C144" s="185" t="s">
        <v>833</v>
      </c>
      <c r="D144" s="185"/>
      <c r="E144" s="185"/>
      <c r="F144" s="185"/>
      <c r="G144" s="185"/>
      <c r="H144" s="185"/>
      <c r="I144" s="185"/>
    </row>
    <row r="145" spans="1:9" ht="11.25">
      <c r="A145" s="186" t="s">
        <v>810</v>
      </c>
      <c r="B145" s="186" t="s">
        <v>834</v>
      </c>
      <c r="C145" s="186" t="s">
        <v>835</v>
      </c>
      <c r="D145" s="186" t="s">
        <v>849</v>
      </c>
      <c r="E145" s="186">
        <v>20</v>
      </c>
      <c r="F145" s="186" t="s">
        <v>850</v>
      </c>
      <c r="G145" s="186" t="s">
        <v>851</v>
      </c>
      <c r="H145" s="186" t="s">
        <v>704</v>
      </c>
      <c r="I145" s="186" t="s">
        <v>839</v>
      </c>
    </row>
    <row r="146" spans="1:9" ht="11.25">
      <c r="A146" s="186" t="s">
        <v>268</v>
      </c>
      <c r="B146" s="186" t="s">
        <v>667</v>
      </c>
      <c r="C146" s="186" t="s">
        <v>840</v>
      </c>
      <c r="D146" s="186"/>
      <c r="E146" s="186" t="s">
        <v>657</v>
      </c>
      <c r="F146" s="186"/>
      <c r="G146" s="186" t="s">
        <v>658</v>
      </c>
      <c r="H146" s="186"/>
      <c r="I146" s="186" t="s">
        <v>658</v>
      </c>
    </row>
    <row r="147" spans="1:9" ht="11.25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 ht="11.25">
      <c r="A148" s="185"/>
      <c r="B148" s="185"/>
      <c r="C148" s="185"/>
      <c r="D148" s="185"/>
      <c r="E148" s="185"/>
      <c r="F148" s="185"/>
      <c r="G148" s="185"/>
      <c r="H148" s="185"/>
      <c r="I148" s="185"/>
    </row>
    <row r="149" spans="1:9" ht="11.25">
      <c r="A149" s="186" t="s">
        <v>852</v>
      </c>
      <c r="B149" s="186" t="s">
        <v>832</v>
      </c>
      <c r="C149" s="186" t="s">
        <v>853</v>
      </c>
      <c r="D149" s="186" t="s">
        <v>854</v>
      </c>
      <c r="E149" s="186">
        <v>46.32</v>
      </c>
      <c r="F149" s="186" t="s">
        <v>855</v>
      </c>
      <c r="G149" s="186" t="s">
        <v>856</v>
      </c>
      <c r="H149" s="186" t="s">
        <v>692</v>
      </c>
      <c r="I149" s="186" t="s">
        <v>857</v>
      </c>
    </row>
    <row r="150" spans="1:9" ht="11.25">
      <c r="A150" s="186"/>
      <c r="B150" s="186" t="s">
        <v>644</v>
      </c>
      <c r="C150" s="186" t="s">
        <v>858</v>
      </c>
      <c r="D150" s="186" t="s">
        <v>859</v>
      </c>
      <c r="E150" s="186" t="s">
        <v>647</v>
      </c>
      <c r="F150" s="186"/>
      <c r="G150" s="186" t="s">
        <v>785</v>
      </c>
      <c r="H150" s="186"/>
      <c r="I150" s="186" t="s">
        <v>661</v>
      </c>
    </row>
    <row r="151" spans="1:9" ht="11.25">
      <c r="A151" s="188"/>
      <c r="B151" s="188"/>
      <c r="C151" s="188"/>
      <c r="D151" s="188" t="s">
        <v>860</v>
      </c>
      <c r="E151" s="188"/>
      <c r="F151" s="188"/>
      <c r="G151" s="188"/>
      <c r="H151" s="188"/>
      <c r="I151" s="188"/>
    </row>
    <row r="152" spans="1:9" ht="11.25">
      <c r="A152" s="185"/>
      <c r="B152" s="185"/>
      <c r="C152" s="185"/>
      <c r="D152" s="185"/>
      <c r="E152" s="185"/>
      <c r="F152" s="185"/>
      <c r="G152" s="185"/>
      <c r="H152" s="185"/>
      <c r="I152" s="185"/>
    </row>
    <row r="153" spans="1:9" ht="11.25">
      <c r="A153" s="186" t="s">
        <v>852</v>
      </c>
      <c r="B153" s="186" t="s">
        <v>861</v>
      </c>
      <c r="C153" s="186" t="s">
        <v>862</v>
      </c>
      <c r="D153" s="186" t="s">
        <v>863</v>
      </c>
      <c r="E153" s="186">
        <v>14</v>
      </c>
      <c r="F153" s="186" t="s">
        <v>850</v>
      </c>
      <c r="G153" s="186" t="s">
        <v>864</v>
      </c>
      <c r="H153" s="186" t="s">
        <v>704</v>
      </c>
      <c r="I153" s="186" t="s">
        <v>857</v>
      </c>
    </row>
    <row r="154" spans="1:9" ht="11.25">
      <c r="A154" s="186"/>
      <c r="B154" s="186" t="s">
        <v>760</v>
      </c>
      <c r="C154" s="186" t="s">
        <v>865</v>
      </c>
      <c r="D154" s="186" t="s">
        <v>866</v>
      </c>
      <c r="E154" s="186" t="s">
        <v>657</v>
      </c>
      <c r="F154" s="186"/>
      <c r="G154" s="186" t="s">
        <v>867</v>
      </c>
      <c r="H154" s="186"/>
      <c r="I154" s="186" t="s">
        <v>864</v>
      </c>
    </row>
    <row r="155" spans="1:9" ht="11.25">
      <c r="A155" s="188"/>
      <c r="B155" s="188"/>
      <c r="C155" s="188" t="s">
        <v>749</v>
      </c>
      <c r="D155" s="188"/>
      <c r="E155" s="188"/>
      <c r="F155" s="188"/>
      <c r="G155" s="188"/>
      <c r="H155" s="188"/>
      <c r="I155" s="188"/>
    </row>
    <row r="156" spans="1:9" ht="11.25">
      <c r="A156" s="185"/>
      <c r="B156" s="185"/>
      <c r="C156" s="185"/>
      <c r="D156" s="185" t="s">
        <v>868</v>
      </c>
      <c r="E156" s="185"/>
      <c r="F156" s="185"/>
      <c r="G156" s="185"/>
      <c r="H156" s="185"/>
      <c r="I156" s="185"/>
    </row>
    <row r="157" spans="1:9" ht="11.25">
      <c r="A157" s="186" t="s">
        <v>810</v>
      </c>
      <c r="B157" s="186" t="s">
        <v>869</v>
      </c>
      <c r="C157" s="186" t="s">
        <v>870</v>
      </c>
      <c r="D157" s="186" t="s">
        <v>871</v>
      </c>
      <c r="E157" s="186">
        <v>4</v>
      </c>
      <c r="F157" s="186" t="s">
        <v>850</v>
      </c>
      <c r="G157" s="186" t="s">
        <v>872</v>
      </c>
      <c r="H157" s="186" t="s">
        <v>704</v>
      </c>
      <c r="I157" s="186" t="s">
        <v>857</v>
      </c>
    </row>
    <row r="158" spans="1:9" ht="11.25">
      <c r="A158" s="186"/>
      <c r="B158" s="186" t="s">
        <v>760</v>
      </c>
      <c r="C158" s="186" t="s">
        <v>873</v>
      </c>
      <c r="D158" s="186" t="s">
        <v>874</v>
      </c>
      <c r="E158" s="186" t="s">
        <v>657</v>
      </c>
      <c r="F158" s="186"/>
      <c r="G158" s="186" t="s">
        <v>875</v>
      </c>
      <c r="H158" s="186"/>
      <c r="I158" s="186" t="s">
        <v>876</v>
      </c>
    </row>
    <row r="159" spans="1:9" ht="11.25">
      <c r="A159" s="188"/>
      <c r="B159" s="188"/>
      <c r="C159" s="188"/>
      <c r="D159" s="188"/>
      <c r="E159" s="188"/>
      <c r="F159" s="188"/>
      <c r="G159" s="188"/>
      <c r="H159" s="188"/>
      <c r="I159" s="188"/>
    </row>
    <row r="160" spans="1:9" ht="11.25">
      <c r="A160" s="185"/>
      <c r="B160" s="185"/>
      <c r="C160" s="185"/>
      <c r="D160" s="185" t="s">
        <v>877</v>
      </c>
      <c r="E160" s="185"/>
      <c r="F160" s="185"/>
      <c r="G160" s="185"/>
      <c r="H160" s="185"/>
      <c r="I160" s="185"/>
    </row>
    <row r="161" spans="1:9" ht="11.25">
      <c r="A161" s="186" t="s">
        <v>852</v>
      </c>
      <c r="B161" s="186" t="s">
        <v>827</v>
      </c>
      <c r="C161" s="186" t="s">
        <v>638</v>
      </c>
      <c r="D161" s="186" t="s">
        <v>878</v>
      </c>
      <c r="E161" s="186">
        <v>15.54</v>
      </c>
      <c r="F161" s="186" t="s">
        <v>879</v>
      </c>
      <c r="G161" s="186" t="s">
        <v>880</v>
      </c>
      <c r="H161" s="186" t="s">
        <v>758</v>
      </c>
      <c r="I161" s="186" t="s">
        <v>857</v>
      </c>
    </row>
    <row r="162" spans="1:9" ht="11.25">
      <c r="A162" s="186"/>
      <c r="B162" s="186" t="s">
        <v>694</v>
      </c>
      <c r="C162" s="186" t="s">
        <v>881</v>
      </c>
      <c r="D162" s="186" t="s">
        <v>882</v>
      </c>
      <c r="E162" s="186" t="s">
        <v>647</v>
      </c>
      <c r="F162" s="186" t="s">
        <v>883</v>
      </c>
      <c r="G162" s="186" t="s">
        <v>884</v>
      </c>
      <c r="H162" s="186"/>
      <c r="I162" s="186" t="s">
        <v>885</v>
      </c>
    </row>
    <row r="163" spans="1:9" ht="11.25">
      <c r="A163" s="188"/>
      <c r="B163" s="188"/>
      <c r="C163" s="188"/>
      <c r="D163" s="188"/>
      <c r="E163" s="188"/>
      <c r="F163" s="188" t="s">
        <v>886</v>
      </c>
      <c r="G163" s="188"/>
      <c r="H163" s="188"/>
      <c r="I163" s="188"/>
    </row>
    <row r="164" spans="1:9" ht="11.25">
      <c r="A164" s="185"/>
      <c r="B164" s="185"/>
      <c r="C164" s="185"/>
      <c r="D164" s="185" t="s">
        <v>887</v>
      </c>
      <c r="E164" s="185"/>
      <c r="F164" s="185"/>
      <c r="G164" s="185"/>
      <c r="H164" s="185"/>
      <c r="I164" s="185"/>
    </row>
    <row r="165" spans="1:9" ht="11.25">
      <c r="A165" s="186" t="s">
        <v>852</v>
      </c>
      <c r="B165" s="186" t="s">
        <v>888</v>
      </c>
      <c r="C165" s="186" t="s">
        <v>889</v>
      </c>
      <c r="D165" s="186" t="s">
        <v>890</v>
      </c>
      <c r="E165" s="186">
        <v>27.3</v>
      </c>
      <c r="F165" s="186" t="s">
        <v>850</v>
      </c>
      <c r="G165" s="186" t="s">
        <v>851</v>
      </c>
      <c r="H165" s="186" t="s">
        <v>704</v>
      </c>
      <c r="I165" s="186" t="s">
        <v>857</v>
      </c>
    </row>
    <row r="166" spans="1:9" ht="11.25">
      <c r="A166" s="186"/>
      <c r="B166" s="186" t="s">
        <v>644</v>
      </c>
      <c r="C166" s="186" t="s">
        <v>891</v>
      </c>
      <c r="D166" s="186" t="s">
        <v>892</v>
      </c>
      <c r="E166" s="186" t="s">
        <v>657</v>
      </c>
      <c r="F166" s="186"/>
      <c r="G166" s="186" t="s">
        <v>658</v>
      </c>
      <c r="H166" s="186"/>
      <c r="I166" s="186" t="s">
        <v>658</v>
      </c>
    </row>
    <row r="167" spans="1:9" ht="11.25">
      <c r="A167" s="188"/>
      <c r="B167" s="188"/>
      <c r="C167" s="188"/>
      <c r="D167" s="188" t="s">
        <v>893</v>
      </c>
      <c r="E167" s="188"/>
      <c r="F167" s="188"/>
      <c r="G167" s="188"/>
      <c r="H167" s="188"/>
      <c r="I167" s="188"/>
    </row>
    <row r="168" spans="1:9" ht="11.25">
      <c r="A168" s="185"/>
      <c r="B168" s="185"/>
      <c r="C168" s="186"/>
      <c r="D168" s="186" t="s">
        <v>894</v>
      </c>
      <c r="E168" s="185"/>
      <c r="F168" s="187"/>
      <c r="G168" s="185"/>
      <c r="H168" s="185"/>
      <c r="I168" s="185"/>
    </row>
    <row r="169" spans="1:9" ht="11.25">
      <c r="A169" s="186" t="s">
        <v>852</v>
      </c>
      <c r="B169" s="187" t="s">
        <v>895</v>
      </c>
      <c r="C169" s="186" t="s">
        <v>896</v>
      </c>
      <c r="D169" s="186" t="s">
        <v>897</v>
      </c>
      <c r="E169" s="192">
        <v>11.1</v>
      </c>
      <c r="F169" s="186" t="s">
        <v>879</v>
      </c>
      <c r="G169" s="187" t="s">
        <v>872</v>
      </c>
      <c r="H169" s="186" t="s">
        <v>758</v>
      </c>
      <c r="I169" s="187" t="s">
        <v>898</v>
      </c>
    </row>
    <row r="170" spans="1:9" ht="11.25">
      <c r="A170" s="186"/>
      <c r="B170" s="186" t="s">
        <v>681</v>
      </c>
      <c r="C170" s="186" t="s">
        <v>899</v>
      </c>
      <c r="D170" s="186" t="s">
        <v>900</v>
      </c>
      <c r="E170" s="186" t="s">
        <v>647</v>
      </c>
      <c r="F170" s="186" t="s">
        <v>883</v>
      </c>
      <c r="G170" s="187" t="s">
        <v>875</v>
      </c>
      <c r="H170" s="186"/>
      <c r="I170" s="187" t="s">
        <v>872</v>
      </c>
    </row>
    <row r="171" spans="1:9" ht="11.25">
      <c r="A171" s="188"/>
      <c r="B171" s="188"/>
      <c r="C171" s="188"/>
      <c r="D171" s="188" t="s">
        <v>901</v>
      </c>
      <c r="E171" s="188"/>
      <c r="F171" s="188" t="s">
        <v>886</v>
      </c>
      <c r="G171" s="188"/>
      <c r="H171" s="188"/>
      <c r="I171" s="188"/>
    </row>
    <row r="172" spans="1:9" ht="11.25">
      <c r="A172" s="185"/>
      <c r="B172" s="185"/>
      <c r="C172" s="185"/>
      <c r="D172" s="185"/>
      <c r="E172" s="185"/>
      <c r="F172" s="185"/>
      <c r="G172" s="185"/>
      <c r="H172" s="185"/>
      <c r="I172" s="185"/>
    </row>
    <row r="173" spans="1:9" ht="11.25">
      <c r="A173" s="186" t="s">
        <v>852</v>
      </c>
      <c r="B173" s="186" t="s">
        <v>902</v>
      </c>
      <c r="C173" s="186" t="s">
        <v>903</v>
      </c>
      <c r="D173" s="186" t="s">
        <v>757</v>
      </c>
      <c r="E173" s="186">
        <v>20</v>
      </c>
      <c r="F173" s="186" t="s">
        <v>904</v>
      </c>
      <c r="G173" s="186" t="s">
        <v>905</v>
      </c>
      <c r="H173" s="186" t="s">
        <v>704</v>
      </c>
      <c r="I173" s="186" t="s">
        <v>906</v>
      </c>
    </row>
    <row r="174" spans="1:9" ht="11.25">
      <c r="A174" s="186"/>
      <c r="B174" s="186" t="s">
        <v>694</v>
      </c>
      <c r="C174" s="186" t="s">
        <v>899</v>
      </c>
      <c r="D174" s="186" t="s">
        <v>762</v>
      </c>
      <c r="E174" s="186" t="s">
        <v>657</v>
      </c>
      <c r="F174" s="186" t="s">
        <v>907</v>
      </c>
      <c r="G174" s="186" t="s">
        <v>908</v>
      </c>
      <c r="H174" s="186" t="s">
        <v>268</v>
      </c>
      <c r="I174" s="186" t="s">
        <v>815</v>
      </c>
    </row>
    <row r="175" spans="1:9" ht="11.25">
      <c r="A175" s="188"/>
      <c r="B175" s="188"/>
      <c r="C175" s="188"/>
      <c r="D175" s="188"/>
      <c r="E175" s="188"/>
      <c r="F175" s="188"/>
      <c r="G175" s="188"/>
      <c r="H175" s="188"/>
      <c r="I175" s="188"/>
    </row>
    <row r="176" spans="1:9" ht="11.25">
      <c r="A176" s="185"/>
      <c r="B176" s="185"/>
      <c r="C176" s="186"/>
      <c r="D176" s="186" t="s">
        <v>909</v>
      </c>
      <c r="E176" s="185"/>
      <c r="F176" s="187"/>
      <c r="G176" s="185"/>
      <c r="H176" s="185"/>
      <c r="I176" s="185"/>
    </row>
    <row r="177" spans="1:9" ht="11.25">
      <c r="A177" s="186" t="s">
        <v>852</v>
      </c>
      <c r="B177" s="187" t="s">
        <v>910</v>
      </c>
      <c r="C177" s="186" t="s">
        <v>911</v>
      </c>
      <c r="D177" s="186" t="s">
        <v>912</v>
      </c>
      <c r="E177" s="186">
        <v>28.29</v>
      </c>
      <c r="F177" s="186" t="s">
        <v>879</v>
      </c>
      <c r="G177" s="187" t="s">
        <v>661</v>
      </c>
      <c r="H177" s="186" t="s">
        <v>758</v>
      </c>
      <c r="I177" s="187" t="s">
        <v>898</v>
      </c>
    </row>
    <row r="178" spans="1:9" ht="11.25">
      <c r="A178" s="186"/>
      <c r="B178" s="186" t="s">
        <v>722</v>
      </c>
      <c r="C178" s="186" t="s">
        <v>899</v>
      </c>
      <c r="D178" s="186" t="s">
        <v>913</v>
      </c>
      <c r="E178" s="186" t="s">
        <v>647</v>
      </c>
      <c r="F178" s="186" t="s">
        <v>883</v>
      </c>
      <c r="G178" s="187" t="s">
        <v>785</v>
      </c>
      <c r="H178" s="186"/>
      <c r="I178" s="187" t="s">
        <v>661</v>
      </c>
    </row>
    <row r="179" spans="1:9" ht="11.25">
      <c r="A179" s="188"/>
      <c r="B179" s="188"/>
      <c r="C179" s="188"/>
      <c r="D179" s="188" t="s">
        <v>914</v>
      </c>
      <c r="E179" s="188"/>
      <c r="F179" s="188" t="s">
        <v>886</v>
      </c>
      <c r="G179" s="188"/>
      <c r="H179" s="188"/>
      <c r="I179" s="188"/>
    </row>
    <row r="180" spans="1:9" ht="11.25">
      <c r="A180" s="185"/>
      <c r="B180" s="185"/>
      <c r="C180" s="186"/>
      <c r="D180" s="186"/>
      <c r="E180" s="185"/>
      <c r="F180" s="187"/>
      <c r="G180" s="185"/>
      <c r="H180" s="185"/>
      <c r="I180" s="185"/>
    </row>
    <row r="181" spans="1:9" ht="11.25">
      <c r="A181" s="186" t="s">
        <v>852</v>
      </c>
      <c r="B181" s="187" t="s">
        <v>915</v>
      </c>
      <c r="C181" s="186" t="s">
        <v>916</v>
      </c>
      <c r="D181" s="186" t="s">
        <v>917</v>
      </c>
      <c r="E181" s="192">
        <v>4.39</v>
      </c>
      <c r="F181" s="187" t="s">
        <v>918</v>
      </c>
      <c r="G181" s="187" t="s">
        <v>919</v>
      </c>
      <c r="H181" s="186" t="s">
        <v>758</v>
      </c>
      <c r="I181" s="187" t="s">
        <v>898</v>
      </c>
    </row>
    <row r="182" spans="1:9" ht="11.25">
      <c r="A182" s="186"/>
      <c r="B182" s="186" t="s">
        <v>722</v>
      </c>
      <c r="C182" s="186" t="s">
        <v>899</v>
      </c>
      <c r="D182" s="186" t="s">
        <v>920</v>
      </c>
      <c r="E182" s="186" t="s">
        <v>647</v>
      </c>
      <c r="F182" s="186"/>
      <c r="G182" s="187" t="s">
        <v>885</v>
      </c>
      <c r="H182" s="186"/>
      <c r="I182" s="187" t="s">
        <v>919</v>
      </c>
    </row>
    <row r="183" spans="1:9" ht="11.25">
      <c r="A183" s="188"/>
      <c r="B183" s="188"/>
      <c r="C183" s="188"/>
      <c r="D183" s="188" t="s">
        <v>921</v>
      </c>
      <c r="E183" s="188"/>
      <c r="F183" s="188"/>
      <c r="G183" s="188"/>
      <c r="H183" s="188"/>
      <c r="I183" s="188"/>
    </row>
    <row r="184" spans="1:9" ht="11.25">
      <c r="A184" s="185"/>
      <c r="B184" s="185"/>
      <c r="C184" s="186" t="s">
        <v>922</v>
      </c>
      <c r="D184" s="185"/>
      <c r="E184" s="185"/>
      <c r="F184" s="187"/>
      <c r="G184" s="185"/>
      <c r="H184" s="185"/>
      <c r="I184" s="185"/>
    </row>
    <row r="185" spans="1:9" ht="11.25">
      <c r="A185" s="186" t="s">
        <v>852</v>
      </c>
      <c r="B185" s="186" t="s">
        <v>923</v>
      </c>
      <c r="C185" s="186" t="s">
        <v>924</v>
      </c>
      <c r="D185" s="186" t="s">
        <v>925</v>
      </c>
      <c r="E185" s="186">
        <v>7.95</v>
      </c>
      <c r="F185" s="187" t="s">
        <v>837</v>
      </c>
      <c r="G185" s="187" t="s">
        <v>661</v>
      </c>
      <c r="H185" s="186" t="s">
        <v>720</v>
      </c>
      <c r="I185" s="187" t="s">
        <v>926</v>
      </c>
    </row>
    <row r="186" spans="1:9" ht="11.25">
      <c r="A186" s="186"/>
      <c r="B186" s="186" t="s">
        <v>681</v>
      </c>
      <c r="C186" s="186" t="s">
        <v>927</v>
      </c>
      <c r="D186" s="186" t="s">
        <v>928</v>
      </c>
      <c r="E186" s="186" t="s">
        <v>657</v>
      </c>
      <c r="F186" s="186"/>
      <c r="G186" s="187" t="s">
        <v>785</v>
      </c>
      <c r="H186" s="186"/>
      <c r="I186" s="187" t="s">
        <v>661</v>
      </c>
    </row>
    <row r="187" spans="1:9" ht="11.25">
      <c r="A187" s="188"/>
      <c r="B187" s="188"/>
      <c r="C187" s="188"/>
      <c r="D187" s="188"/>
      <c r="E187" s="188"/>
      <c r="F187" s="188"/>
      <c r="G187" s="188"/>
      <c r="H187" s="188"/>
      <c r="I187" s="188"/>
    </row>
    <row r="188" spans="1:9" ht="11.25">
      <c r="A188" s="185"/>
      <c r="B188" s="185"/>
      <c r="C188" s="186"/>
      <c r="D188" s="185"/>
      <c r="E188" s="185"/>
      <c r="F188" s="187"/>
      <c r="G188" s="185"/>
      <c r="H188" s="185"/>
      <c r="I188" s="185"/>
    </row>
    <row r="189" spans="1:9" ht="11.25">
      <c r="A189" s="186" t="s">
        <v>852</v>
      </c>
      <c r="B189" s="187" t="s">
        <v>929</v>
      </c>
      <c r="C189" s="186" t="s">
        <v>930</v>
      </c>
      <c r="D189" s="186" t="s">
        <v>733</v>
      </c>
      <c r="E189" s="186">
        <v>9.51</v>
      </c>
      <c r="F189" s="187" t="s">
        <v>814</v>
      </c>
      <c r="G189" s="187" t="s">
        <v>919</v>
      </c>
      <c r="H189" s="186" t="s">
        <v>720</v>
      </c>
      <c r="I189" s="187" t="s">
        <v>926</v>
      </c>
    </row>
    <row r="190" spans="1:9" ht="11.25">
      <c r="A190" s="186"/>
      <c r="B190" s="186" t="s">
        <v>681</v>
      </c>
      <c r="C190" s="186" t="s">
        <v>899</v>
      </c>
      <c r="D190" s="186" t="s">
        <v>931</v>
      </c>
      <c r="E190" s="186" t="s">
        <v>647</v>
      </c>
      <c r="F190" s="186"/>
      <c r="G190" s="187" t="s">
        <v>885</v>
      </c>
      <c r="H190" s="186"/>
      <c r="I190" s="187" t="s">
        <v>919</v>
      </c>
    </row>
    <row r="191" spans="1:9" ht="11.25">
      <c r="A191" s="188"/>
      <c r="B191" s="188"/>
      <c r="C191" s="188"/>
      <c r="D191" s="188"/>
      <c r="E191" s="188"/>
      <c r="F191" s="188"/>
      <c r="G191" s="188"/>
      <c r="H191" s="188"/>
      <c r="I191" s="188"/>
    </row>
    <row r="192" spans="1:9" ht="11.25">
      <c r="A192" s="185"/>
      <c r="B192" s="185"/>
      <c r="C192" s="186" t="s">
        <v>932</v>
      </c>
      <c r="D192" s="186" t="s">
        <v>933</v>
      </c>
      <c r="E192" s="185"/>
      <c r="F192" s="187"/>
      <c r="G192" s="185"/>
      <c r="H192" s="185"/>
      <c r="I192" s="185"/>
    </row>
    <row r="193" spans="1:9" ht="11.25">
      <c r="A193" s="186" t="s">
        <v>852</v>
      </c>
      <c r="B193" s="187" t="s">
        <v>934</v>
      </c>
      <c r="C193" s="186" t="s">
        <v>935</v>
      </c>
      <c r="D193" s="186" t="s">
        <v>936</v>
      </c>
      <c r="E193" s="186">
        <v>40.41</v>
      </c>
      <c r="F193" s="187" t="s">
        <v>937</v>
      </c>
      <c r="G193" s="187" t="s">
        <v>938</v>
      </c>
      <c r="H193" s="186" t="s">
        <v>704</v>
      </c>
      <c r="I193" s="187" t="s">
        <v>939</v>
      </c>
    </row>
    <row r="194" spans="1:9" ht="11.25">
      <c r="A194" s="186"/>
      <c r="B194" s="186" t="s">
        <v>940</v>
      </c>
      <c r="C194" s="186" t="s">
        <v>941</v>
      </c>
      <c r="D194" s="186" t="s">
        <v>942</v>
      </c>
      <c r="E194" s="186" t="s">
        <v>657</v>
      </c>
      <c r="F194" s="186"/>
      <c r="G194" s="187" t="s">
        <v>841</v>
      </c>
      <c r="H194" s="186"/>
      <c r="I194" s="187" t="s">
        <v>938</v>
      </c>
    </row>
    <row r="195" spans="1:9" ht="11.25">
      <c r="A195" s="188"/>
      <c r="B195" s="188"/>
      <c r="C195" s="188" t="s">
        <v>817</v>
      </c>
      <c r="D195" s="188" t="s">
        <v>943</v>
      </c>
      <c r="E195" s="188"/>
      <c r="F195" s="188"/>
      <c r="G195" s="188"/>
      <c r="H195" s="188"/>
      <c r="I195" s="188"/>
    </row>
    <row r="196" spans="1:9" ht="11.25">
      <c r="A196" s="185"/>
      <c r="B196" s="185"/>
      <c r="C196" s="186" t="s">
        <v>944</v>
      </c>
      <c r="D196" s="186" t="s">
        <v>944</v>
      </c>
      <c r="E196" s="185"/>
      <c r="F196" s="187"/>
      <c r="G196" s="185"/>
      <c r="H196" s="185"/>
      <c r="I196" s="185"/>
    </row>
    <row r="197" spans="1:9" ht="11.25">
      <c r="A197" s="186" t="s">
        <v>852</v>
      </c>
      <c r="B197" s="187" t="s">
        <v>945</v>
      </c>
      <c r="C197" s="186" t="s">
        <v>946</v>
      </c>
      <c r="D197" s="186" t="s">
        <v>946</v>
      </c>
      <c r="E197" s="186">
        <v>2.22</v>
      </c>
      <c r="F197" s="187" t="s">
        <v>937</v>
      </c>
      <c r="G197" s="187" t="s">
        <v>815</v>
      </c>
      <c r="H197" s="186" t="s">
        <v>704</v>
      </c>
      <c r="I197" s="187" t="s">
        <v>939</v>
      </c>
    </row>
    <row r="198" spans="1:9" ht="11.25">
      <c r="A198" s="186"/>
      <c r="B198" s="186" t="s">
        <v>940</v>
      </c>
      <c r="C198" s="186" t="s">
        <v>947</v>
      </c>
      <c r="D198" s="186" t="s">
        <v>947</v>
      </c>
      <c r="E198" s="186" t="s">
        <v>657</v>
      </c>
      <c r="F198" s="186"/>
      <c r="G198" s="187" t="s">
        <v>819</v>
      </c>
      <c r="H198" s="186"/>
      <c r="I198" s="187" t="s">
        <v>815</v>
      </c>
    </row>
    <row r="199" spans="1:9" ht="11.25">
      <c r="A199" s="188"/>
      <c r="B199" s="188"/>
      <c r="C199" s="188" t="s">
        <v>899</v>
      </c>
      <c r="D199" s="188" t="s">
        <v>948</v>
      </c>
      <c r="E199" s="188"/>
      <c r="F199" s="188"/>
      <c r="G199" s="188"/>
      <c r="H199" s="188"/>
      <c r="I199" s="188"/>
    </row>
    <row r="200" spans="1:9" ht="11.25">
      <c r="A200" s="185"/>
      <c r="B200" s="185"/>
      <c r="C200" s="186" t="s">
        <v>949</v>
      </c>
      <c r="D200" s="186" t="s">
        <v>950</v>
      </c>
      <c r="E200" s="185"/>
      <c r="F200" s="187"/>
      <c r="G200" s="185"/>
      <c r="H200" s="185"/>
      <c r="I200" s="185"/>
    </row>
    <row r="201" spans="1:9" ht="11.25">
      <c r="A201" s="186" t="s">
        <v>951</v>
      </c>
      <c r="B201" s="187" t="s">
        <v>650</v>
      </c>
      <c r="C201" s="186" t="s">
        <v>952</v>
      </c>
      <c r="D201" s="186" t="s">
        <v>953</v>
      </c>
      <c r="E201" s="186">
        <v>20</v>
      </c>
      <c r="F201" s="187" t="s">
        <v>918</v>
      </c>
      <c r="G201" s="187" t="s">
        <v>678</v>
      </c>
      <c r="H201" s="186" t="s">
        <v>816</v>
      </c>
      <c r="I201" s="187" t="s">
        <v>954</v>
      </c>
    </row>
    <row r="202" spans="1:9" ht="11.25">
      <c r="A202" s="186"/>
      <c r="B202" s="186" t="s">
        <v>722</v>
      </c>
      <c r="C202" s="186" t="s">
        <v>953</v>
      </c>
      <c r="D202" s="186" t="s">
        <v>955</v>
      </c>
      <c r="E202" s="186" t="s">
        <v>647</v>
      </c>
      <c r="F202" s="186"/>
      <c r="G202" s="187" t="s">
        <v>685</v>
      </c>
      <c r="H202" s="186"/>
      <c r="I202" s="187" t="s">
        <v>678</v>
      </c>
    </row>
    <row r="203" spans="1:9" ht="11.25">
      <c r="A203" s="188"/>
      <c r="B203" s="188"/>
      <c r="C203" s="188" t="s">
        <v>899</v>
      </c>
      <c r="D203" s="188" t="s">
        <v>956</v>
      </c>
      <c r="E203" s="188"/>
      <c r="F203" s="188"/>
      <c r="G203" s="188"/>
      <c r="H203" s="188"/>
      <c r="I203" s="188"/>
    </row>
    <row r="204" spans="1:9" ht="11.25">
      <c r="A204" s="185"/>
      <c r="B204" s="185"/>
      <c r="C204" s="185"/>
      <c r="D204" s="185" t="s">
        <v>957</v>
      </c>
      <c r="E204" s="185"/>
      <c r="F204" s="187" t="s">
        <v>958</v>
      </c>
      <c r="G204" s="185"/>
      <c r="H204" s="185"/>
      <c r="I204" s="185"/>
    </row>
    <row r="205" spans="1:9" ht="10.5" customHeight="1">
      <c r="A205" s="186" t="s">
        <v>959</v>
      </c>
      <c r="B205" s="186" t="s">
        <v>793</v>
      </c>
      <c r="C205" s="186" t="s">
        <v>960</v>
      </c>
      <c r="D205" s="186" t="s">
        <v>961</v>
      </c>
      <c r="E205" s="186">
        <v>20</v>
      </c>
      <c r="F205" s="187" t="s">
        <v>962</v>
      </c>
      <c r="G205" s="193" t="s">
        <v>963</v>
      </c>
      <c r="H205" s="186" t="s">
        <v>964</v>
      </c>
      <c r="I205" s="187" t="s">
        <v>965</v>
      </c>
    </row>
    <row r="206" spans="1:9" ht="11.25">
      <c r="A206" s="186" t="s">
        <v>966</v>
      </c>
      <c r="B206" s="186" t="s">
        <v>694</v>
      </c>
      <c r="C206" s="186" t="s">
        <v>899</v>
      </c>
      <c r="D206" s="186" t="s">
        <v>967</v>
      </c>
      <c r="E206" s="186" t="s">
        <v>647</v>
      </c>
      <c r="F206" s="186" t="s">
        <v>968</v>
      </c>
      <c r="G206" s="186" t="s">
        <v>969</v>
      </c>
      <c r="H206" s="186"/>
      <c r="I206" s="187" t="s">
        <v>793</v>
      </c>
    </row>
    <row r="207" spans="1:9" ht="11.25">
      <c r="A207" s="188"/>
      <c r="B207" s="188"/>
      <c r="C207" s="188"/>
      <c r="D207" s="188" t="s">
        <v>970</v>
      </c>
      <c r="E207" s="188"/>
      <c r="F207" s="188" t="s">
        <v>971</v>
      </c>
      <c r="G207" s="188"/>
      <c r="H207" s="188"/>
      <c r="I207" s="188"/>
    </row>
    <row r="208" spans="1:9" ht="11.25">
      <c r="A208" s="185"/>
      <c r="B208" s="185"/>
      <c r="C208" s="185"/>
      <c r="D208" s="185"/>
      <c r="E208" s="185"/>
      <c r="F208" s="185"/>
      <c r="G208" s="185"/>
      <c r="H208" s="185"/>
      <c r="I208" s="185"/>
    </row>
    <row r="209" spans="1:9" ht="11.25">
      <c r="A209" s="186" t="s">
        <v>972</v>
      </c>
      <c r="B209" s="186" t="s">
        <v>973</v>
      </c>
      <c r="C209" s="186" t="s">
        <v>974</v>
      </c>
      <c r="D209" s="186" t="s">
        <v>734</v>
      </c>
      <c r="E209" s="186">
        <v>9.32</v>
      </c>
      <c r="F209" s="186" t="s">
        <v>975</v>
      </c>
      <c r="G209" s="186" t="s">
        <v>976</v>
      </c>
      <c r="H209" s="186" t="s">
        <v>977</v>
      </c>
      <c r="I209" s="186" t="s">
        <v>965</v>
      </c>
    </row>
    <row r="210" spans="1:9" ht="11.25">
      <c r="A210" s="186" t="s">
        <v>978</v>
      </c>
      <c r="B210" s="186" t="s">
        <v>737</v>
      </c>
      <c r="C210" s="186" t="s">
        <v>979</v>
      </c>
      <c r="D210" s="186" t="s">
        <v>739</v>
      </c>
      <c r="E210" s="186" t="s">
        <v>657</v>
      </c>
      <c r="F210" s="186" t="s">
        <v>980</v>
      </c>
      <c r="G210" s="186"/>
      <c r="H210" s="186"/>
      <c r="I210" s="186" t="s">
        <v>981</v>
      </c>
    </row>
    <row r="211" spans="1:9" ht="11.25">
      <c r="A211" s="188" t="s">
        <v>268</v>
      </c>
      <c r="B211" s="188"/>
      <c r="C211" s="188"/>
      <c r="D211" s="188"/>
      <c r="E211" s="188"/>
      <c r="F211" s="188"/>
      <c r="G211" s="188"/>
      <c r="H211" s="188"/>
      <c r="I211" s="188" t="s">
        <v>268</v>
      </c>
    </row>
    <row r="214" spans="1:9" ht="12">
      <c r="A214" s="194"/>
      <c r="B214" s="174"/>
      <c r="C214" s="195"/>
      <c r="E214" s="190"/>
      <c r="G214" s="174"/>
      <c r="H214" s="196"/>
      <c r="I214" s="194"/>
    </row>
    <row r="215" spans="4:56" s="191" customFormat="1" ht="12.75">
      <c r="D215" s="3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9" ht="11.25">
      <c r="A216" s="194"/>
      <c r="B216" s="174"/>
      <c r="C216" s="194"/>
      <c r="D216" s="194"/>
      <c r="E216" s="197"/>
      <c r="F216" s="194"/>
      <c r="G216" s="174"/>
      <c r="H216" s="194"/>
      <c r="I216" s="194"/>
    </row>
    <row r="217" s="3" customFormat="1" ht="12.75"/>
    <row r="218" spans="1:9" ht="11.25">
      <c r="A218" s="194"/>
      <c r="B218" s="174"/>
      <c r="C218" s="194"/>
      <c r="D218" s="194"/>
      <c r="E218" s="197"/>
      <c r="F218" s="194"/>
      <c r="G218" s="174"/>
      <c r="H218" s="194"/>
      <c r="I218" s="194"/>
    </row>
    <row r="219" spans="1:9" ht="12.75">
      <c r="A219" s="3" t="s">
        <v>264</v>
      </c>
      <c r="B219" s="174"/>
      <c r="D219" s="194"/>
      <c r="E219" s="3" t="s">
        <v>473</v>
      </c>
      <c r="F219" s="194"/>
      <c r="G219" s="174"/>
      <c r="H219" s="194"/>
      <c r="I219" s="194"/>
    </row>
    <row r="220" spans="1:9" ht="11.25">
      <c r="A220" s="194"/>
      <c r="B220" s="174"/>
      <c r="C220" s="194"/>
      <c r="D220" s="194"/>
      <c r="E220" s="197"/>
      <c r="F220" s="194"/>
      <c r="G220" s="174"/>
      <c r="H220" s="194"/>
      <c r="I220" s="194"/>
    </row>
    <row r="221" spans="1:9" ht="11.25">
      <c r="A221" s="194"/>
      <c r="B221" s="174"/>
      <c r="C221" s="194"/>
      <c r="D221" s="194"/>
      <c r="E221" s="197"/>
      <c r="F221" s="194"/>
      <c r="G221" s="174"/>
      <c r="H221" s="194"/>
      <c r="I221" s="194"/>
    </row>
    <row r="223" spans="1:9" ht="12">
      <c r="A223" s="194"/>
      <c r="B223" s="174"/>
      <c r="C223" s="198"/>
      <c r="E223" s="190"/>
      <c r="F223" s="199"/>
      <c r="H223" s="199"/>
      <c r="I223" s="194"/>
    </row>
    <row r="224" spans="1:9" ht="11.25">
      <c r="A224" s="194"/>
      <c r="B224" s="174"/>
      <c r="C224" s="194"/>
      <c r="D224" s="194"/>
      <c r="E224" s="197"/>
      <c r="F224" s="194"/>
      <c r="G224" s="174"/>
      <c r="H224" s="194"/>
      <c r="I224" s="194"/>
    </row>
    <row r="225" spans="1:9" ht="11.25">
      <c r="A225" s="194"/>
      <c r="B225" s="174"/>
      <c r="C225" s="194"/>
      <c r="D225" s="194"/>
      <c r="E225" s="197"/>
      <c r="F225" s="194"/>
      <c r="G225" s="174"/>
      <c r="H225" s="194"/>
      <c r="I225" s="194"/>
    </row>
    <row r="226" spans="1:9" ht="11.25">
      <c r="A226" s="194"/>
      <c r="B226" s="174"/>
      <c r="C226" s="194"/>
      <c r="D226" s="194"/>
      <c r="E226" s="197"/>
      <c r="F226" s="194"/>
      <c r="G226" s="174"/>
      <c r="H226" s="194"/>
      <c r="I226" s="194"/>
    </row>
    <row r="227" spans="1:9" ht="11.25">
      <c r="A227" s="194"/>
      <c r="B227" s="174"/>
      <c r="C227" s="194"/>
      <c r="D227" s="194"/>
      <c r="E227" s="197"/>
      <c r="F227" s="194"/>
      <c r="G227" s="174"/>
      <c r="H227" s="194"/>
      <c r="I227" s="194"/>
    </row>
    <row r="228" spans="1:9" ht="11.25">
      <c r="A228" s="194"/>
      <c r="B228" s="174"/>
      <c r="C228" s="194"/>
      <c r="D228" s="194"/>
      <c r="E228" s="197"/>
      <c r="F228" s="194"/>
      <c r="G228" s="174"/>
      <c r="H228" s="194"/>
      <c r="I228" s="194"/>
    </row>
    <row r="229" spans="1:9" ht="11.25">
      <c r="A229" s="194"/>
      <c r="B229" s="174"/>
      <c r="C229" s="194"/>
      <c r="D229" s="194"/>
      <c r="E229" s="197"/>
      <c r="F229" s="194"/>
      <c r="G229" s="174"/>
      <c r="H229" s="194"/>
      <c r="I229" s="194"/>
    </row>
    <row r="230" spans="1:9" ht="11.25">
      <c r="A230" s="194"/>
      <c r="B230" s="174"/>
      <c r="C230" s="194"/>
      <c r="D230" s="194"/>
      <c r="E230" s="197"/>
      <c r="F230" s="194"/>
      <c r="G230" s="174"/>
      <c r="H230" s="194"/>
      <c r="I230" s="194"/>
    </row>
    <row r="231" spans="1:9" ht="11.25">
      <c r="A231" s="194"/>
      <c r="B231" s="174"/>
      <c r="C231" s="194"/>
      <c r="D231" s="194"/>
      <c r="E231" s="197"/>
      <c r="F231" s="194"/>
      <c r="G231" s="174"/>
      <c r="H231" s="194"/>
      <c r="I231" s="194"/>
    </row>
    <row r="232" spans="1:9" ht="11.25">
      <c r="A232" s="194"/>
      <c r="B232" s="174"/>
      <c r="C232" s="194"/>
      <c r="D232" s="194"/>
      <c r="E232" s="197"/>
      <c r="F232" s="194"/>
      <c r="G232" s="174"/>
      <c r="H232" s="194"/>
      <c r="I232" s="194"/>
    </row>
    <row r="233" spans="1:9" ht="11.25">
      <c r="A233" s="194"/>
      <c r="B233" s="174"/>
      <c r="C233" s="194"/>
      <c r="D233" s="194"/>
      <c r="E233" s="197"/>
      <c r="F233" s="194"/>
      <c r="G233" s="174"/>
      <c r="H233" s="194"/>
      <c r="I233" s="194"/>
    </row>
    <row r="234" spans="1:9" ht="11.25">
      <c r="A234" s="194"/>
      <c r="B234" s="174"/>
      <c r="C234" s="194"/>
      <c r="D234" s="194"/>
      <c r="E234" s="197"/>
      <c r="F234" s="194"/>
      <c r="G234" s="174"/>
      <c r="H234" s="194"/>
      <c r="I234" s="194"/>
    </row>
    <row r="235" spans="1:9" ht="11.25">
      <c r="A235" s="194"/>
      <c r="B235" s="174"/>
      <c r="C235" s="194"/>
      <c r="D235" s="194"/>
      <c r="E235" s="197"/>
      <c r="F235" s="194"/>
      <c r="G235" s="174"/>
      <c r="H235" s="194"/>
      <c r="I235" s="194"/>
    </row>
    <row r="236" spans="1:9" ht="11.25">
      <c r="A236" s="194"/>
      <c r="B236" s="174"/>
      <c r="C236" s="194"/>
      <c r="D236" s="194"/>
      <c r="E236" s="197"/>
      <c r="F236" s="194"/>
      <c r="G236" s="174"/>
      <c r="H236" s="194"/>
      <c r="I236" s="194"/>
    </row>
    <row r="237" spans="1:9" ht="11.25">
      <c r="A237" s="194"/>
      <c r="B237" s="174"/>
      <c r="C237" s="194"/>
      <c r="D237" s="194"/>
      <c r="E237" s="197"/>
      <c r="F237" s="194"/>
      <c r="G237" s="174"/>
      <c r="H237" s="194"/>
      <c r="I237" s="194"/>
    </row>
    <row r="238" spans="1:9" ht="11.25">
      <c r="A238" s="194"/>
      <c r="B238" s="174"/>
      <c r="C238" s="194"/>
      <c r="D238" s="194"/>
      <c r="E238" s="197"/>
      <c r="F238" s="194"/>
      <c r="G238" s="174"/>
      <c r="H238" s="194"/>
      <c r="I238" s="194"/>
    </row>
    <row r="239" spans="1:9" ht="11.25">
      <c r="A239" s="194"/>
      <c r="B239" s="174"/>
      <c r="C239" s="194"/>
      <c r="D239" s="194"/>
      <c r="E239" s="197"/>
      <c r="F239" s="194"/>
      <c r="G239" s="174"/>
      <c r="H239" s="194"/>
      <c r="I239" s="194"/>
    </row>
    <row r="240" spans="1:9" ht="11.25">
      <c r="A240" s="194"/>
      <c r="B240" s="174"/>
      <c r="C240" s="194"/>
      <c r="D240" s="194"/>
      <c r="E240" s="197"/>
      <c r="F240" s="194"/>
      <c r="G240" s="174"/>
      <c r="H240" s="194"/>
      <c r="I240" s="194"/>
    </row>
    <row r="241" spans="1:9" ht="11.25">
      <c r="A241" s="194"/>
      <c r="B241" s="174"/>
      <c r="C241" s="194"/>
      <c r="D241" s="194"/>
      <c r="E241" s="197"/>
      <c r="F241" s="194"/>
      <c r="G241" s="174"/>
      <c r="H241" s="194"/>
      <c r="I241" s="194"/>
    </row>
    <row r="242" spans="1:9" ht="11.25">
      <c r="A242" s="194"/>
      <c r="B242" s="174"/>
      <c r="C242" s="194"/>
      <c r="D242" s="194"/>
      <c r="E242" s="197"/>
      <c r="F242" s="194"/>
      <c r="G242" s="174"/>
      <c r="H242" s="194"/>
      <c r="I242" s="194"/>
    </row>
    <row r="243" spans="1:9" ht="11.25">
      <c r="A243" s="194"/>
      <c r="B243" s="174"/>
      <c r="C243" s="194"/>
      <c r="D243" s="194"/>
      <c r="E243" s="197"/>
      <c r="F243" s="194"/>
      <c r="G243" s="174"/>
      <c r="H243" s="194"/>
      <c r="I243" s="194"/>
    </row>
    <row r="244" spans="1:9" ht="11.25">
      <c r="A244" s="194"/>
      <c r="B244" s="174"/>
      <c r="C244" s="194"/>
      <c r="D244" s="194"/>
      <c r="E244" s="197"/>
      <c r="F244" s="194"/>
      <c r="G244" s="174"/>
      <c r="H244" s="194"/>
      <c r="I244" s="194"/>
    </row>
    <row r="245" spans="1:9" ht="11.25">
      <c r="A245" s="194"/>
      <c r="B245" s="174"/>
      <c r="C245" s="194"/>
      <c r="D245" s="194"/>
      <c r="E245" s="197"/>
      <c r="F245" s="194"/>
      <c r="G245" s="174"/>
      <c r="H245" s="194"/>
      <c r="I245" s="194"/>
    </row>
    <row r="246" spans="1:9" ht="11.25">
      <c r="A246" s="194"/>
      <c r="B246" s="174"/>
      <c r="C246" s="194"/>
      <c r="D246" s="194"/>
      <c r="E246" s="197"/>
      <c r="F246" s="194"/>
      <c r="G246" s="174"/>
      <c r="H246" s="194"/>
      <c r="I246" s="194"/>
    </row>
    <row r="247" spans="1:9" ht="11.25">
      <c r="A247" s="194"/>
      <c r="B247" s="174"/>
      <c r="C247" s="194"/>
      <c r="D247" s="194"/>
      <c r="E247" s="197"/>
      <c r="F247" s="194"/>
      <c r="G247" s="174"/>
      <c r="H247" s="194"/>
      <c r="I247" s="194"/>
    </row>
    <row r="248" spans="1:9" ht="11.25">
      <c r="A248" s="194"/>
      <c r="B248" s="174"/>
      <c r="C248" s="194"/>
      <c r="D248" s="194"/>
      <c r="E248" s="197"/>
      <c r="F248" s="194"/>
      <c r="G248" s="174"/>
      <c r="H248" s="194"/>
      <c r="I248" s="194"/>
    </row>
    <row r="249" spans="1:9" ht="11.25">
      <c r="A249" s="194"/>
      <c r="B249" s="174"/>
      <c r="C249" s="194"/>
      <c r="D249" s="194"/>
      <c r="E249" s="197"/>
      <c r="F249" s="194"/>
      <c r="G249" s="174"/>
      <c r="H249" s="194"/>
      <c r="I249" s="194"/>
    </row>
    <row r="250" spans="1:9" ht="11.25">
      <c r="A250" s="194"/>
      <c r="B250" s="174"/>
      <c r="C250" s="194"/>
      <c r="D250" s="194"/>
      <c r="E250" s="197"/>
      <c r="F250" s="194"/>
      <c r="G250" s="174"/>
      <c r="H250" s="194"/>
      <c r="I250" s="194"/>
    </row>
    <row r="251" spans="1:9" ht="11.25">
      <c r="A251" s="194"/>
      <c r="B251" s="174"/>
      <c r="C251" s="194"/>
      <c r="D251" s="194"/>
      <c r="E251" s="197"/>
      <c r="F251" s="194"/>
      <c r="G251" s="174"/>
      <c r="H251" s="194"/>
      <c r="I251" s="194"/>
    </row>
    <row r="252" spans="1:9" ht="11.25">
      <c r="A252" s="194"/>
      <c r="B252" s="174"/>
      <c r="C252" s="194"/>
      <c r="D252" s="194"/>
      <c r="E252" s="197"/>
      <c r="F252" s="194"/>
      <c r="G252" s="174"/>
      <c r="H252" s="194"/>
      <c r="I252" s="194"/>
    </row>
    <row r="253" spans="1:9" ht="11.25">
      <c r="A253" s="194"/>
      <c r="B253" s="174"/>
      <c r="C253" s="194"/>
      <c r="D253" s="194"/>
      <c r="E253" s="197"/>
      <c r="F253" s="194"/>
      <c r="G253" s="174"/>
      <c r="H253" s="194"/>
      <c r="I253" s="194"/>
    </row>
    <row r="254" spans="1:9" ht="11.25">
      <c r="A254" s="194"/>
      <c r="B254" s="174"/>
      <c r="C254" s="194"/>
      <c r="D254" s="194"/>
      <c r="E254" s="197"/>
      <c r="F254" s="194"/>
      <c r="G254" s="174"/>
      <c r="H254" s="194"/>
      <c r="I254" s="194"/>
    </row>
    <row r="255" spans="1:9" ht="11.25">
      <c r="A255" s="194"/>
      <c r="B255" s="174"/>
      <c r="C255" s="194"/>
      <c r="D255" s="194"/>
      <c r="E255" s="197"/>
      <c r="F255" s="194"/>
      <c r="G255" s="174"/>
      <c r="H255" s="194"/>
      <c r="I255" s="194"/>
    </row>
    <row r="256" spans="1:9" ht="11.25">
      <c r="A256" s="194"/>
      <c r="B256" s="174"/>
      <c r="C256" s="194"/>
      <c r="D256" s="194"/>
      <c r="E256" s="197"/>
      <c r="F256" s="194"/>
      <c r="G256" s="174"/>
      <c r="H256" s="194"/>
      <c r="I256" s="194"/>
    </row>
    <row r="257" spans="1:9" ht="11.25">
      <c r="A257" s="194"/>
      <c r="B257" s="174"/>
      <c r="C257" s="194"/>
      <c r="D257" s="194"/>
      <c r="E257" s="197"/>
      <c r="F257" s="194"/>
      <c r="G257" s="174"/>
      <c r="H257" s="194"/>
      <c r="I257" s="194"/>
    </row>
    <row r="258" spans="1:9" ht="11.25">
      <c r="A258" s="194"/>
      <c r="B258" s="174"/>
      <c r="C258" s="194"/>
      <c r="D258" s="194"/>
      <c r="E258" s="197"/>
      <c r="F258" s="194"/>
      <c r="G258" s="174"/>
      <c r="H258" s="194"/>
      <c r="I258" s="194"/>
    </row>
    <row r="259" spans="1:9" ht="11.25">
      <c r="A259" s="194"/>
      <c r="B259" s="174"/>
      <c r="C259" s="194"/>
      <c r="D259" s="194"/>
      <c r="E259" s="197"/>
      <c r="F259" s="194"/>
      <c r="G259" s="174"/>
      <c r="H259" s="194"/>
      <c r="I259" s="194"/>
    </row>
    <row r="260" spans="1:9" ht="11.25">
      <c r="A260" s="194"/>
      <c r="B260" s="174"/>
      <c r="C260" s="194"/>
      <c r="D260" s="194"/>
      <c r="E260" s="197"/>
      <c r="F260" s="194"/>
      <c r="G260" s="174"/>
      <c r="H260" s="194"/>
      <c r="I260" s="194"/>
    </row>
    <row r="261" spans="1:9" ht="11.25">
      <c r="A261" s="194"/>
      <c r="B261" s="174"/>
      <c r="C261" s="194"/>
      <c r="D261" s="194"/>
      <c r="E261" s="197"/>
      <c r="F261" s="194"/>
      <c r="G261" s="174"/>
      <c r="H261" s="194"/>
      <c r="I261" s="194"/>
    </row>
    <row r="262" spans="1:9" ht="11.25">
      <c r="A262" s="194"/>
      <c r="B262" s="174"/>
      <c r="C262" s="194"/>
      <c r="D262" s="194"/>
      <c r="E262" s="197"/>
      <c r="F262" s="194"/>
      <c r="G262" s="174"/>
      <c r="H262" s="194"/>
      <c r="I262" s="194"/>
    </row>
    <row r="263" spans="1:9" ht="11.25">
      <c r="A263" s="194"/>
      <c r="B263" s="174"/>
      <c r="C263" s="194"/>
      <c r="D263" s="194"/>
      <c r="E263" s="197"/>
      <c r="F263" s="194"/>
      <c r="G263" s="174"/>
      <c r="H263" s="194"/>
      <c r="I263" s="194"/>
    </row>
    <row r="264" spans="1:9" ht="11.25">
      <c r="A264" s="194"/>
      <c r="B264" s="174"/>
      <c r="C264" s="194"/>
      <c r="D264" s="194"/>
      <c r="E264" s="197"/>
      <c r="F264" s="194"/>
      <c r="G264" s="174"/>
      <c r="H264" s="194"/>
      <c r="I264" s="194"/>
    </row>
    <row r="265" spans="1:9" ht="11.25">
      <c r="A265" s="194"/>
      <c r="B265" s="174"/>
      <c r="C265" s="194"/>
      <c r="D265" s="194"/>
      <c r="E265" s="197"/>
      <c r="F265" s="194"/>
      <c r="G265" s="174"/>
      <c r="H265" s="194"/>
      <c r="I265" s="194"/>
    </row>
    <row r="266" spans="1:9" ht="11.25">
      <c r="A266" s="194"/>
      <c r="B266" s="174"/>
      <c r="C266" s="194"/>
      <c r="D266" s="194"/>
      <c r="E266" s="197"/>
      <c r="F266" s="194"/>
      <c r="G266" s="174"/>
      <c r="H266" s="194"/>
      <c r="I266" s="194"/>
    </row>
    <row r="267" spans="1:9" ht="11.25">
      <c r="A267" s="194"/>
      <c r="B267" s="174"/>
      <c r="C267" s="194"/>
      <c r="D267" s="194"/>
      <c r="E267" s="197"/>
      <c r="F267" s="194"/>
      <c r="G267" s="174"/>
      <c r="H267" s="194"/>
      <c r="I267" s="194"/>
    </row>
    <row r="268" spans="1:9" ht="11.25">
      <c r="A268" s="194"/>
      <c r="B268" s="174"/>
      <c r="C268" s="194"/>
      <c r="D268" s="194"/>
      <c r="E268" s="197"/>
      <c r="F268" s="194"/>
      <c r="G268" s="174"/>
      <c r="H268" s="194"/>
      <c r="I268" s="194"/>
    </row>
    <row r="269" spans="1:9" ht="11.25">
      <c r="A269" s="194"/>
      <c r="B269" s="174"/>
      <c r="C269" s="194"/>
      <c r="D269" s="194"/>
      <c r="E269" s="197"/>
      <c r="F269" s="194"/>
      <c r="G269" s="174"/>
      <c r="H269" s="194"/>
      <c r="I269" s="194"/>
    </row>
    <row r="270" spans="1:9" ht="11.25">
      <c r="A270" s="194"/>
      <c r="B270" s="174"/>
      <c r="C270" s="194"/>
      <c r="D270" s="194"/>
      <c r="E270" s="197"/>
      <c r="F270" s="194"/>
      <c r="G270" s="174"/>
      <c r="H270" s="194"/>
      <c r="I270" s="194"/>
    </row>
    <row r="271" spans="1:9" ht="11.25">
      <c r="A271" s="194"/>
      <c r="B271" s="174"/>
      <c r="C271" s="194"/>
      <c r="D271" s="194"/>
      <c r="E271" s="197"/>
      <c r="F271" s="194"/>
      <c r="G271" s="174"/>
      <c r="H271" s="194"/>
      <c r="I271" s="194"/>
    </row>
    <row r="272" spans="1:9" ht="11.25">
      <c r="A272" s="194"/>
      <c r="B272" s="174"/>
      <c r="C272" s="194"/>
      <c r="D272" s="194"/>
      <c r="E272" s="197"/>
      <c r="F272" s="194"/>
      <c r="G272" s="174"/>
      <c r="H272" s="194"/>
      <c r="I272" s="194"/>
    </row>
    <row r="273" spans="1:9" ht="11.25">
      <c r="A273" s="194"/>
      <c r="B273" s="174"/>
      <c r="C273" s="194"/>
      <c r="D273" s="194"/>
      <c r="E273" s="197"/>
      <c r="F273" s="194"/>
      <c r="G273" s="174"/>
      <c r="H273" s="194"/>
      <c r="I273" s="194"/>
    </row>
    <row r="274" spans="1:9" ht="11.25">
      <c r="A274" s="194"/>
      <c r="B274" s="174"/>
      <c r="C274" s="194"/>
      <c r="D274" s="194"/>
      <c r="E274" s="197"/>
      <c r="F274" s="194"/>
      <c r="G274" s="174"/>
      <c r="H274" s="194"/>
      <c r="I274" s="194"/>
    </row>
    <row r="275" spans="1:9" ht="11.25">
      <c r="A275" s="194"/>
      <c r="B275" s="174"/>
      <c r="C275" s="194"/>
      <c r="D275" s="194"/>
      <c r="E275" s="197"/>
      <c r="F275" s="194"/>
      <c r="G275" s="174"/>
      <c r="H275" s="194"/>
      <c r="I275" s="194"/>
    </row>
    <row r="276" spans="1:9" ht="11.25">
      <c r="A276" s="194"/>
      <c r="B276" s="174"/>
      <c r="C276" s="194"/>
      <c r="D276" s="194"/>
      <c r="E276" s="197"/>
      <c r="F276" s="194"/>
      <c r="G276" s="174"/>
      <c r="H276" s="194"/>
      <c r="I276" s="194"/>
    </row>
    <row r="277" spans="1:9" ht="11.25">
      <c r="A277" s="194"/>
      <c r="B277" s="174"/>
      <c r="C277" s="194"/>
      <c r="D277" s="194"/>
      <c r="E277" s="197"/>
      <c r="F277" s="194"/>
      <c r="G277" s="174"/>
      <c r="H277" s="194"/>
      <c r="I277" s="194"/>
    </row>
    <row r="278" spans="1:9" ht="11.25">
      <c r="A278" s="194"/>
      <c r="B278" s="174"/>
      <c r="C278" s="194"/>
      <c r="D278" s="194"/>
      <c r="E278" s="197"/>
      <c r="F278" s="194"/>
      <c r="G278" s="174"/>
      <c r="H278" s="194"/>
      <c r="I278" s="194"/>
    </row>
    <row r="279" spans="1:9" ht="11.25">
      <c r="A279" s="194"/>
      <c r="B279" s="174"/>
      <c r="C279" s="194"/>
      <c r="D279" s="194"/>
      <c r="E279" s="197"/>
      <c r="F279" s="194"/>
      <c r="G279" s="174"/>
      <c r="H279" s="194"/>
      <c r="I279" s="194"/>
    </row>
    <row r="280" spans="1:9" ht="11.25">
      <c r="A280" s="194"/>
      <c r="B280" s="174"/>
      <c r="C280" s="194"/>
      <c r="D280" s="194"/>
      <c r="E280" s="197"/>
      <c r="F280" s="194"/>
      <c r="G280" s="174"/>
      <c r="H280" s="194"/>
      <c r="I280" s="194"/>
    </row>
    <row r="281" spans="1:9" ht="11.25">
      <c r="A281" s="194"/>
      <c r="B281" s="174"/>
      <c r="C281" s="194"/>
      <c r="D281" s="194"/>
      <c r="E281" s="197"/>
      <c r="F281" s="194"/>
      <c r="G281" s="174"/>
      <c r="H281" s="194"/>
      <c r="I281" s="194"/>
    </row>
    <row r="282" spans="1:9" ht="11.25">
      <c r="A282" s="194"/>
      <c r="B282" s="174"/>
      <c r="C282" s="194"/>
      <c r="D282" s="194"/>
      <c r="E282" s="197"/>
      <c r="F282" s="194"/>
      <c r="G282" s="174"/>
      <c r="H282" s="194"/>
      <c r="I282" s="194"/>
    </row>
    <row r="283" spans="1:9" ht="11.25">
      <c r="A283" s="194"/>
      <c r="B283" s="174"/>
      <c r="C283" s="194"/>
      <c r="D283" s="194"/>
      <c r="E283" s="197"/>
      <c r="F283" s="194"/>
      <c r="G283" s="174"/>
      <c r="H283" s="194"/>
      <c r="I283" s="194"/>
    </row>
    <row r="284" spans="1:9" ht="11.25">
      <c r="A284" s="194"/>
      <c r="B284" s="174"/>
      <c r="C284" s="194"/>
      <c r="D284" s="194"/>
      <c r="E284" s="197"/>
      <c r="F284" s="194"/>
      <c r="G284" s="174"/>
      <c r="H284" s="194"/>
      <c r="I284" s="194"/>
    </row>
    <row r="285" spans="1:9" ht="11.25">
      <c r="A285" s="194"/>
      <c r="B285" s="174"/>
      <c r="C285" s="194"/>
      <c r="D285" s="194"/>
      <c r="E285" s="197"/>
      <c r="F285" s="194"/>
      <c r="G285" s="174"/>
      <c r="H285" s="194"/>
      <c r="I285" s="194"/>
    </row>
    <row r="286" spans="1:9" ht="11.25">
      <c r="A286" s="194"/>
      <c r="B286" s="174"/>
      <c r="C286" s="194"/>
      <c r="D286" s="194"/>
      <c r="E286" s="197"/>
      <c r="F286" s="194"/>
      <c r="G286" s="174"/>
      <c r="H286" s="194"/>
      <c r="I286" s="194"/>
    </row>
    <row r="287" spans="1:9" ht="11.25">
      <c r="A287" s="194"/>
      <c r="B287" s="174"/>
      <c r="C287" s="194"/>
      <c r="D287" s="194"/>
      <c r="E287" s="197"/>
      <c r="F287" s="194"/>
      <c r="G287" s="174"/>
      <c r="H287" s="194"/>
      <c r="I287" s="194"/>
    </row>
    <row r="288" spans="1:9" ht="11.25">
      <c r="A288" s="194"/>
      <c r="B288" s="174"/>
      <c r="C288" s="194"/>
      <c r="D288" s="194"/>
      <c r="E288" s="197"/>
      <c r="F288" s="194"/>
      <c r="G288" s="174"/>
      <c r="H288" s="194"/>
      <c r="I288" s="194"/>
    </row>
    <row r="289" spans="1:9" ht="11.25">
      <c r="A289" s="194"/>
      <c r="B289" s="174"/>
      <c r="C289" s="194"/>
      <c r="D289" s="194"/>
      <c r="E289" s="197"/>
      <c r="F289" s="194"/>
      <c r="G289" s="174"/>
      <c r="H289" s="194"/>
      <c r="I289" s="194"/>
    </row>
    <row r="290" spans="1:9" ht="11.25">
      <c r="A290" s="194"/>
      <c r="B290" s="174"/>
      <c r="C290" s="194"/>
      <c r="D290" s="194"/>
      <c r="E290" s="197"/>
      <c r="F290" s="194"/>
      <c r="G290" s="174"/>
      <c r="H290" s="194"/>
      <c r="I290" s="194"/>
    </row>
    <row r="291" spans="1:9" ht="11.25">
      <c r="A291" s="194"/>
      <c r="B291" s="174"/>
      <c r="C291" s="194"/>
      <c r="D291" s="194"/>
      <c r="E291" s="197"/>
      <c r="F291" s="194"/>
      <c r="G291" s="174"/>
      <c r="H291" s="194"/>
      <c r="I291" s="194"/>
    </row>
    <row r="292" spans="1:9" ht="11.25">
      <c r="A292" s="194"/>
      <c r="B292" s="174"/>
      <c r="C292" s="194"/>
      <c r="D292" s="194"/>
      <c r="E292" s="197"/>
      <c r="F292" s="194"/>
      <c r="G292" s="174"/>
      <c r="H292" s="194"/>
      <c r="I292" s="194"/>
    </row>
    <row r="293" spans="1:9" ht="11.25">
      <c r="A293" s="194"/>
      <c r="B293" s="174"/>
      <c r="C293" s="194"/>
      <c r="D293" s="194"/>
      <c r="E293" s="197"/>
      <c r="F293" s="194"/>
      <c r="G293" s="174"/>
      <c r="H293" s="194"/>
      <c r="I293" s="194"/>
    </row>
    <row r="294" spans="1:9" ht="11.25">
      <c r="A294" s="194"/>
      <c r="B294" s="174"/>
      <c r="C294" s="194"/>
      <c r="D294" s="194"/>
      <c r="E294" s="197"/>
      <c r="F294" s="194"/>
      <c r="G294" s="174"/>
      <c r="H294" s="194"/>
      <c r="I294" s="194"/>
    </row>
    <row r="295" spans="1:9" ht="11.25">
      <c r="A295" s="194"/>
      <c r="B295" s="174"/>
      <c r="C295" s="194"/>
      <c r="D295" s="194"/>
      <c r="E295" s="197"/>
      <c r="F295" s="194"/>
      <c r="G295" s="174"/>
      <c r="H295" s="194"/>
      <c r="I295" s="194"/>
    </row>
    <row r="296" spans="1:9" ht="11.25">
      <c r="A296" s="194"/>
      <c r="B296" s="174"/>
      <c r="C296" s="194"/>
      <c r="D296" s="194"/>
      <c r="E296" s="197"/>
      <c r="F296" s="194"/>
      <c r="G296" s="174"/>
      <c r="H296" s="194"/>
      <c r="I296" s="194"/>
    </row>
    <row r="297" spans="1:9" ht="11.25">
      <c r="A297" s="194"/>
      <c r="B297" s="174"/>
      <c r="C297" s="194"/>
      <c r="D297" s="194"/>
      <c r="E297" s="197"/>
      <c r="F297" s="194"/>
      <c r="G297" s="174"/>
      <c r="H297" s="194"/>
      <c r="I297" s="194"/>
    </row>
    <row r="298" spans="1:9" ht="11.25">
      <c r="A298" s="194"/>
      <c r="B298" s="174"/>
      <c r="C298" s="194"/>
      <c r="D298" s="194"/>
      <c r="E298" s="197"/>
      <c r="F298" s="194"/>
      <c r="G298" s="174"/>
      <c r="H298" s="194"/>
      <c r="I298" s="194"/>
    </row>
    <row r="299" spans="1:9" ht="11.25">
      <c r="A299" s="194"/>
      <c r="B299" s="174"/>
      <c r="C299" s="194"/>
      <c r="D299" s="194"/>
      <c r="E299" s="197"/>
      <c r="F299" s="194"/>
      <c r="G299" s="174"/>
      <c r="H299" s="194"/>
      <c r="I299" s="194"/>
    </row>
    <row r="300" spans="1:9" ht="11.25">
      <c r="A300" s="194"/>
      <c r="B300" s="174"/>
      <c r="C300" s="194"/>
      <c r="D300" s="194"/>
      <c r="E300" s="197"/>
      <c r="F300" s="194"/>
      <c r="G300" s="174"/>
      <c r="H300" s="194"/>
      <c r="I300" s="194"/>
    </row>
    <row r="301" spans="1:9" ht="11.25">
      <c r="A301" s="194"/>
      <c r="B301" s="174"/>
      <c r="C301" s="194"/>
      <c r="D301" s="194"/>
      <c r="E301" s="197"/>
      <c r="F301" s="194"/>
      <c r="G301" s="174"/>
      <c r="H301" s="194"/>
      <c r="I301" s="194"/>
    </row>
    <row r="302" spans="1:9" ht="11.25">
      <c r="A302" s="194"/>
      <c r="B302" s="174"/>
      <c r="C302" s="194"/>
      <c r="D302" s="194"/>
      <c r="E302" s="197"/>
      <c r="F302" s="194"/>
      <c r="G302" s="174"/>
      <c r="H302" s="194"/>
      <c r="I302" s="194"/>
    </row>
    <row r="303" spans="1:9" ht="11.25">
      <c r="A303" s="194"/>
      <c r="B303" s="174"/>
      <c r="C303" s="194"/>
      <c r="D303" s="194"/>
      <c r="E303" s="197"/>
      <c r="F303" s="194"/>
      <c r="G303" s="174"/>
      <c r="H303" s="194"/>
      <c r="I303" s="194"/>
    </row>
    <row r="304" spans="1:9" ht="11.25">
      <c r="A304" s="194"/>
      <c r="B304" s="174"/>
      <c r="C304" s="194"/>
      <c r="D304" s="194"/>
      <c r="E304" s="197"/>
      <c r="F304" s="194"/>
      <c r="G304" s="174"/>
      <c r="H304" s="194"/>
      <c r="I304" s="194"/>
    </row>
    <row r="305" spans="1:9" ht="11.25">
      <c r="A305" s="194"/>
      <c r="B305" s="174"/>
      <c r="C305" s="194"/>
      <c r="D305" s="194"/>
      <c r="E305" s="197"/>
      <c r="F305" s="194"/>
      <c r="G305" s="174"/>
      <c r="H305" s="194"/>
      <c r="I305" s="194"/>
    </row>
    <row r="306" spans="1:9" ht="11.25">
      <c r="A306" s="194"/>
      <c r="B306" s="174"/>
      <c r="C306" s="194"/>
      <c r="D306" s="194"/>
      <c r="E306" s="197"/>
      <c r="F306" s="194"/>
      <c r="G306" s="174"/>
      <c r="H306" s="194"/>
      <c r="I306" s="194"/>
    </row>
    <row r="307" spans="1:9" ht="11.25">
      <c r="A307" s="194"/>
      <c r="B307" s="174"/>
      <c r="C307" s="194"/>
      <c r="D307" s="194"/>
      <c r="E307" s="197"/>
      <c r="F307" s="194"/>
      <c r="G307" s="174"/>
      <c r="H307" s="194"/>
      <c r="I307" s="194"/>
    </row>
    <row r="308" spans="1:9" ht="11.25">
      <c r="A308" s="194"/>
      <c r="B308" s="174"/>
      <c r="C308" s="194"/>
      <c r="D308" s="194"/>
      <c r="E308" s="197"/>
      <c r="F308" s="194"/>
      <c r="G308" s="174"/>
      <c r="H308" s="194"/>
      <c r="I308" s="194"/>
    </row>
    <row r="309" spans="1:9" ht="11.25">
      <c r="A309" s="194"/>
      <c r="B309" s="174"/>
      <c r="C309" s="194"/>
      <c r="D309" s="194"/>
      <c r="E309" s="197"/>
      <c r="F309" s="194"/>
      <c r="G309" s="174"/>
      <c r="H309" s="194"/>
      <c r="I309" s="194"/>
    </row>
    <row r="310" spans="1:9" ht="11.25">
      <c r="A310" s="194"/>
      <c r="B310" s="174"/>
      <c r="C310" s="194"/>
      <c r="D310" s="194"/>
      <c r="E310" s="197"/>
      <c r="F310" s="194"/>
      <c r="G310" s="174"/>
      <c r="H310" s="194"/>
      <c r="I310" s="194"/>
    </row>
    <row r="311" spans="1:9" ht="11.25">
      <c r="A311" s="194"/>
      <c r="B311" s="174"/>
      <c r="C311" s="194"/>
      <c r="D311" s="194"/>
      <c r="E311" s="197"/>
      <c r="F311" s="194"/>
      <c r="G311" s="174"/>
      <c r="H311" s="194"/>
      <c r="I311" s="194"/>
    </row>
    <row r="312" spans="1:9" ht="11.25">
      <c r="A312" s="194"/>
      <c r="B312" s="174"/>
      <c r="C312" s="194"/>
      <c r="D312" s="194"/>
      <c r="E312" s="197"/>
      <c r="F312" s="194"/>
      <c r="G312" s="174"/>
      <c r="H312" s="194"/>
      <c r="I312" s="194"/>
    </row>
    <row r="313" spans="1:9" ht="11.25">
      <c r="A313" s="194"/>
      <c r="B313" s="174"/>
      <c r="C313" s="194"/>
      <c r="D313" s="194"/>
      <c r="E313" s="197"/>
      <c r="F313" s="194"/>
      <c r="G313" s="174"/>
      <c r="H313" s="194"/>
      <c r="I313" s="194"/>
    </row>
    <row r="314" spans="1:9" ht="11.25">
      <c r="A314" s="194"/>
      <c r="B314" s="174"/>
      <c r="C314" s="194"/>
      <c r="D314" s="194"/>
      <c r="E314" s="197"/>
      <c r="F314" s="194"/>
      <c r="G314" s="174"/>
      <c r="H314" s="194"/>
      <c r="I314" s="194"/>
    </row>
    <row r="315" spans="1:9" ht="11.25">
      <c r="A315" s="194"/>
      <c r="B315" s="174"/>
      <c r="C315" s="194"/>
      <c r="D315" s="194"/>
      <c r="E315" s="197"/>
      <c r="F315" s="194"/>
      <c r="G315" s="174"/>
      <c r="H315" s="194"/>
      <c r="I315" s="194"/>
    </row>
    <row r="316" spans="1:9" ht="11.25">
      <c r="A316" s="194"/>
      <c r="B316" s="174"/>
      <c r="C316" s="194"/>
      <c r="D316" s="194"/>
      <c r="E316" s="197"/>
      <c r="F316" s="194"/>
      <c r="G316" s="174"/>
      <c r="H316" s="194"/>
      <c r="I316" s="194"/>
    </row>
    <row r="317" spans="1:9" ht="11.25">
      <c r="A317" s="194"/>
      <c r="B317" s="174"/>
      <c r="C317" s="194"/>
      <c r="D317" s="194"/>
      <c r="E317" s="197"/>
      <c r="F317" s="194"/>
      <c r="G317" s="174"/>
      <c r="H317" s="194"/>
      <c r="I317" s="194"/>
    </row>
    <row r="318" spans="1:9" ht="11.25">
      <c r="A318" s="194"/>
      <c r="B318" s="174"/>
      <c r="C318" s="194"/>
      <c r="D318" s="194"/>
      <c r="E318" s="197"/>
      <c r="F318" s="194"/>
      <c r="G318" s="174"/>
      <c r="H318" s="194"/>
      <c r="I318" s="194"/>
    </row>
    <row r="319" spans="1:9" ht="11.25">
      <c r="A319" s="194"/>
      <c r="B319" s="174"/>
      <c r="C319" s="194"/>
      <c r="D319" s="194"/>
      <c r="E319" s="197"/>
      <c r="F319" s="194"/>
      <c r="G319" s="174"/>
      <c r="H319" s="194"/>
      <c r="I319" s="194"/>
    </row>
    <row r="320" spans="1:9" ht="11.25">
      <c r="A320" s="194"/>
      <c r="B320" s="174"/>
      <c r="C320" s="194"/>
      <c r="D320" s="194"/>
      <c r="E320" s="197"/>
      <c r="F320" s="194"/>
      <c r="G320" s="174"/>
      <c r="H320" s="194"/>
      <c r="I320" s="194"/>
    </row>
    <row r="321" spans="1:9" ht="11.25">
      <c r="A321" s="194"/>
      <c r="B321" s="174"/>
      <c r="C321" s="194"/>
      <c r="D321" s="194"/>
      <c r="E321" s="197"/>
      <c r="F321" s="194"/>
      <c r="G321" s="174"/>
      <c r="H321" s="194"/>
      <c r="I321" s="194"/>
    </row>
    <row r="322" spans="1:9" ht="11.25">
      <c r="A322" s="194"/>
      <c r="B322" s="174"/>
      <c r="C322" s="194"/>
      <c r="D322" s="194"/>
      <c r="E322" s="197"/>
      <c r="F322" s="194"/>
      <c r="G322" s="174"/>
      <c r="H322" s="194"/>
      <c r="I322" s="194"/>
    </row>
    <row r="323" spans="1:9" ht="11.25">
      <c r="A323" s="194"/>
      <c r="B323" s="174"/>
      <c r="C323" s="194"/>
      <c r="D323" s="194"/>
      <c r="E323" s="197"/>
      <c r="F323" s="194"/>
      <c r="G323" s="174"/>
      <c r="H323" s="194"/>
      <c r="I323" s="194"/>
    </row>
    <row r="324" spans="1:9" ht="11.25">
      <c r="A324" s="194"/>
      <c r="B324" s="174"/>
      <c r="C324" s="194"/>
      <c r="D324" s="194"/>
      <c r="E324" s="197"/>
      <c r="F324" s="194"/>
      <c r="G324" s="174"/>
      <c r="H324" s="194"/>
      <c r="I324" s="194"/>
    </row>
    <row r="325" spans="1:9" ht="11.25">
      <c r="A325" s="194"/>
      <c r="B325" s="174"/>
      <c r="C325" s="194"/>
      <c r="D325" s="194"/>
      <c r="E325" s="197"/>
      <c r="F325" s="194"/>
      <c r="G325" s="174"/>
      <c r="H325" s="194"/>
      <c r="I325" s="194"/>
    </row>
    <row r="326" spans="1:9" ht="11.25">
      <c r="A326" s="194"/>
      <c r="B326" s="174"/>
      <c r="C326" s="194"/>
      <c r="D326" s="194"/>
      <c r="E326" s="197"/>
      <c r="F326" s="194"/>
      <c r="G326" s="174"/>
      <c r="H326" s="194"/>
      <c r="I326" s="194"/>
    </row>
    <row r="327" spans="1:9" ht="11.25">
      <c r="A327" s="194"/>
      <c r="B327" s="174"/>
      <c r="C327" s="194"/>
      <c r="D327" s="194"/>
      <c r="E327" s="197"/>
      <c r="F327" s="194"/>
      <c r="G327" s="174"/>
      <c r="H327" s="194"/>
      <c r="I327" s="194"/>
    </row>
    <row r="328" spans="1:9" ht="11.25">
      <c r="A328" s="194"/>
      <c r="B328" s="174"/>
      <c r="C328" s="194"/>
      <c r="D328" s="194"/>
      <c r="E328" s="197"/>
      <c r="F328" s="194"/>
      <c r="G328" s="174"/>
      <c r="H328" s="194"/>
      <c r="I328" s="194"/>
    </row>
    <row r="329" spans="1:9" ht="11.25">
      <c r="A329" s="194"/>
      <c r="B329" s="174"/>
      <c r="C329" s="194"/>
      <c r="D329" s="194"/>
      <c r="E329" s="197"/>
      <c r="F329" s="194"/>
      <c r="G329" s="174"/>
      <c r="H329" s="194"/>
      <c r="I329" s="194"/>
    </row>
    <row r="330" spans="1:9" ht="11.25">
      <c r="A330" s="194"/>
      <c r="B330" s="174"/>
      <c r="C330" s="194"/>
      <c r="D330" s="194"/>
      <c r="E330" s="197"/>
      <c r="F330" s="194"/>
      <c r="G330" s="174"/>
      <c r="H330" s="194"/>
      <c r="I330" s="194"/>
    </row>
    <row r="331" spans="1:9" ht="11.25">
      <c r="A331" s="194"/>
      <c r="B331" s="174"/>
      <c r="C331" s="194"/>
      <c r="D331" s="194"/>
      <c r="E331" s="197"/>
      <c r="F331" s="194"/>
      <c r="G331" s="174"/>
      <c r="H331" s="194"/>
      <c r="I331" s="194"/>
    </row>
    <row r="332" spans="1:9" ht="11.25">
      <c r="A332" s="194"/>
      <c r="B332" s="174"/>
      <c r="C332" s="194"/>
      <c r="D332" s="194"/>
      <c r="E332" s="197"/>
      <c r="F332" s="194"/>
      <c r="G332" s="174"/>
      <c r="H332" s="194"/>
      <c r="I332" s="194"/>
    </row>
    <row r="333" spans="1:9" ht="11.25">
      <c r="A333" s="194"/>
      <c r="B333" s="174"/>
      <c r="C333" s="194"/>
      <c r="D333" s="194"/>
      <c r="E333" s="197"/>
      <c r="F333" s="194"/>
      <c r="G333" s="174"/>
      <c r="H333" s="194"/>
      <c r="I333" s="194"/>
    </row>
    <row r="334" spans="1:9" ht="11.25">
      <c r="A334" s="194"/>
      <c r="B334" s="174"/>
      <c r="C334" s="194"/>
      <c r="D334" s="194"/>
      <c r="E334" s="197"/>
      <c r="F334" s="194"/>
      <c r="G334" s="174"/>
      <c r="H334" s="194"/>
      <c r="I334" s="194"/>
    </row>
    <row r="335" spans="1:9" ht="11.25">
      <c r="A335" s="194"/>
      <c r="B335" s="174"/>
      <c r="C335" s="194"/>
      <c r="D335" s="194"/>
      <c r="E335" s="197"/>
      <c r="F335" s="194"/>
      <c r="G335" s="174"/>
      <c r="H335" s="194"/>
      <c r="I335" s="194"/>
    </row>
    <row r="336" spans="1:9" ht="11.25">
      <c r="A336" s="194"/>
      <c r="B336" s="174"/>
      <c r="C336" s="194"/>
      <c r="D336" s="194"/>
      <c r="E336" s="197"/>
      <c r="F336" s="194"/>
      <c r="G336" s="174"/>
      <c r="H336" s="194"/>
      <c r="I336" s="194"/>
    </row>
    <row r="337" spans="1:9" ht="11.25">
      <c r="A337" s="194"/>
      <c r="B337" s="174"/>
      <c r="C337" s="194"/>
      <c r="D337" s="194"/>
      <c r="E337" s="197"/>
      <c r="F337" s="194"/>
      <c r="G337" s="174"/>
      <c r="H337" s="194"/>
      <c r="I337" s="194"/>
    </row>
    <row r="338" spans="1:9" ht="11.25">
      <c r="A338" s="194"/>
      <c r="B338" s="174"/>
      <c r="C338" s="194"/>
      <c r="D338" s="194"/>
      <c r="E338" s="197"/>
      <c r="F338" s="194"/>
      <c r="G338" s="174"/>
      <c r="H338" s="194"/>
      <c r="I338" s="194"/>
    </row>
    <row r="339" spans="1:9" ht="11.25">
      <c r="A339" s="194"/>
      <c r="B339" s="174"/>
      <c r="C339" s="194"/>
      <c r="D339" s="194"/>
      <c r="E339" s="197"/>
      <c r="F339" s="194"/>
      <c r="G339" s="174"/>
      <c r="H339" s="194"/>
      <c r="I339" s="194"/>
    </row>
    <row r="340" spans="1:9" ht="11.25">
      <c r="A340" s="194"/>
      <c r="B340" s="174"/>
      <c r="C340" s="194"/>
      <c r="D340" s="194"/>
      <c r="E340" s="197"/>
      <c r="F340" s="194"/>
      <c r="G340" s="174"/>
      <c r="H340" s="194"/>
      <c r="I340" s="194"/>
    </row>
    <row r="341" spans="1:9" ht="11.25">
      <c r="A341" s="194"/>
      <c r="B341" s="174"/>
      <c r="C341" s="194"/>
      <c r="D341" s="194"/>
      <c r="E341" s="197"/>
      <c r="F341" s="194"/>
      <c r="G341" s="174"/>
      <c r="H341" s="194"/>
      <c r="I341" s="194"/>
    </row>
    <row r="342" spans="1:9" ht="11.25">
      <c r="A342" s="194"/>
      <c r="B342" s="174"/>
      <c r="C342" s="194"/>
      <c r="D342" s="194"/>
      <c r="E342" s="197"/>
      <c r="F342" s="194"/>
      <c r="G342" s="174"/>
      <c r="H342" s="194"/>
      <c r="I342" s="194"/>
    </row>
    <row r="343" spans="1:9" ht="11.25">
      <c r="A343" s="194"/>
      <c r="B343" s="174"/>
      <c r="C343" s="194"/>
      <c r="D343" s="194"/>
      <c r="E343" s="197"/>
      <c r="F343" s="194"/>
      <c r="G343" s="174"/>
      <c r="H343" s="194"/>
      <c r="I343" s="194"/>
    </row>
    <row r="344" spans="1:9" ht="11.25">
      <c r="A344" s="194"/>
      <c r="B344" s="174"/>
      <c r="C344" s="194"/>
      <c r="D344" s="194"/>
      <c r="E344" s="197"/>
      <c r="F344" s="194"/>
      <c r="G344" s="174"/>
      <c r="H344" s="194"/>
      <c r="I344" s="194"/>
    </row>
    <row r="345" spans="1:9" ht="11.25">
      <c r="A345" s="194"/>
      <c r="B345" s="174"/>
      <c r="C345" s="194"/>
      <c r="D345" s="194"/>
      <c r="E345" s="197"/>
      <c r="F345" s="194"/>
      <c r="G345" s="174"/>
      <c r="H345" s="194"/>
      <c r="I345" s="194"/>
    </row>
    <row r="346" spans="1:9" ht="11.25">
      <c r="A346" s="194"/>
      <c r="B346" s="174"/>
      <c r="C346" s="194"/>
      <c r="D346" s="194"/>
      <c r="E346" s="197"/>
      <c r="F346" s="194"/>
      <c r="G346" s="174"/>
      <c r="H346" s="194"/>
      <c r="I346" s="194"/>
    </row>
    <row r="347" spans="1:9" ht="11.25">
      <c r="A347" s="194"/>
      <c r="B347" s="174"/>
      <c r="C347" s="194"/>
      <c r="D347" s="194"/>
      <c r="E347" s="197"/>
      <c r="F347" s="194"/>
      <c r="G347" s="174"/>
      <c r="H347" s="194"/>
      <c r="I347" s="194"/>
    </row>
    <row r="348" spans="1:9" ht="11.25">
      <c r="A348" s="194"/>
      <c r="B348" s="174"/>
      <c r="C348" s="194"/>
      <c r="D348" s="194"/>
      <c r="E348" s="197"/>
      <c r="F348" s="194"/>
      <c r="G348" s="174"/>
      <c r="H348" s="194"/>
      <c r="I348" s="194"/>
    </row>
    <row r="349" spans="1:9" ht="11.25">
      <c r="A349" s="194"/>
      <c r="B349" s="174"/>
      <c r="C349" s="194"/>
      <c r="D349" s="194"/>
      <c r="E349" s="197"/>
      <c r="F349" s="194"/>
      <c r="G349" s="174"/>
      <c r="H349" s="194"/>
      <c r="I349" s="194"/>
    </row>
    <row r="350" spans="1:9" ht="11.25">
      <c r="A350" s="194"/>
      <c r="B350" s="174"/>
      <c r="C350" s="194"/>
      <c r="D350" s="194"/>
      <c r="E350" s="197"/>
      <c r="F350" s="194"/>
      <c r="G350" s="174"/>
      <c r="H350" s="194"/>
      <c r="I350" s="194"/>
    </row>
    <row r="351" spans="1:9" ht="11.25">
      <c r="A351" s="194"/>
      <c r="B351" s="174"/>
      <c r="C351" s="194"/>
      <c r="D351" s="194"/>
      <c r="E351" s="197"/>
      <c r="F351" s="194"/>
      <c r="G351" s="174"/>
      <c r="H351" s="194"/>
      <c r="I351" s="194"/>
    </row>
    <row r="352" spans="1:9" ht="11.25">
      <c r="A352" s="194"/>
      <c r="B352" s="174"/>
      <c r="C352" s="194"/>
      <c r="D352" s="194"/>
      <c r="E352" s="197"/>
      <c r="F352" s="194"/>
      <c r="G352" s="174"/>
      <c r="H352" s="194"/>
      <c r="I352" s="194"/>
    </row>
    <row r="353" spans="1:9" ht="11.25">
      <c r="A353" s="194"/>
      <c r="B353" s="174"/>
      <c r="C353" s="194"/>
      <c r="D353" s="194"/>
      <c r="E353" s="197"/>
      <c r="F353" s="194"/>
      <c r="G353" s="174"/>
      <c r="H353" s="194"/>
      <c r="I353" s="194"/>
    </row>
    <row r="354" spans="1:9" ht="11.25">
      <c r="A354" s="194"/>
      <c r="B354" s="174"/>
      <c r="C354" s="194"/>
      <c r="D354" s="194"/>
      <c r="E354" s="197"/>
      <c r="F354" s="194"/>
      <c r="G354" s="174"/>
      <c r="H354" s="194"/>
      <c r="I354" s="194"/>
    </row>
    <row r="355" spans="1:9" ht="11.25">
      <c r="A355" s="194"/>
      <c r="B355" s="174"/>
      <c r="C355" s="194"/>
      <c r="D355" s="194"/>
      <c r="E355" s="197"/>
      <c r="F355" s="194"/>
      <c r="G355" s="174"/>
      <c r="H355" s="194"/>
      <c r="I355" s="194"/>
    </row>
    <row r="356" spans="1:9" ht="11.25">
      <c r="A356" s="194"/>
      <c r="B356" s="174"/>
      <c r="C356" s="194"/>
      <c r="D356" s="194"/>
      <c r="E356" s="197"/>
      <c r="F356" s="194"/>
      <c r="G356" s="174"/>
      <c r="H356" s="194"/>
      <c r="I356" s="194"/>
    </row>
    <row r="357" spans="1:9" ht="11.25">
      <c r="A357" s="194"/>
      <c r="B357" s="174"/>
      <c r="C357" s="194"/>
      <c r="D357" s="194"/>
      <c r="E357" s="197"/>
      <c r="F357" s="194"/>
      <c r="G357" s="174"/>
      <c r="H357" s="194"/>
      <c r="I357" s="194"/>
    </row>
    <row r="358" spans="1:9" ht="11.25">
      <c r="A358" s="194"/>
      <c r="B358" s="174"/>
      <c r="C358" s="194"/>
      <c r="D358" s="194"/>
      <c r="E358" s="197"/>
      <c r="F358" s="194"/>
      <c r="G358" s="174"/>
      <c r="H358" s="194"/>
      <c r="I358" s="194"/>
    </row>
    <row r="359" spans="1:9" ht="11.25">
      <c r="A359" s="194"/>
      <c r="B359" s="174"/>
      <c r="C359" s="194"/>
      <c r="D359" s="194"/>
      <c r="E359" s="197"/>
      <c r="F359" s="194"/>
      <c r="G359" s="174"/>
      <c r="H359" s="194"/>
      <c r="I359" s="194"/>
    </row>
    <row r="360" spans="1:9" ht="11.25">
      <c r="A360" s="194"/>
      <c r="B360" s="174"/>
      <c r="C360" s="194"/>
      <c r="D360" s="194"/>
      <c r="E360" s="197"/>
      <c r="F360" s="194"/>
      <c r="G360" s="174"/>
      <c r="H360" s="194"/>
      <c r="I360" s="194"/>
    </row>
    <row r="361" spans="1:9" ht="11.25">
      <c r="A361" s="194"/>
      <c r="B361" s="174"/>
      <c r="C361" s="194"/>
      <c r="D361" s="194"/>
      <c r="E361" s="197"/>
      <c r="F361" s="194"/>
      <c r="G361" s="174"/>
      <c r="H361" s="194"/>
      <c r="I361" s="194"/>
    </row>
    <row r="362" spans="1:9" ht="11.25">
      <c r="A362" s="194"/>
      <c r="B362" s="174"/>
      <c r="C362" s="194"/>
      <c r="D362" s="194"/>
      <c r="E362" s="197"/>
      <c r="F362" s="194"/>
      <c r="G362" s="174"/>
      <c r="H362" s="194"/>
      <c r="I362" s="194"/>
    </row>
    <row r="363" spans="1:9" ht="11.25">
      <c r="A363" s="194"/>
      <c r="B363" s="174"/>
      <c r="C363" s="194"/>
      <c r="D363" s="194"/>
      <c r="E363" s="197"/>
      <c r="F363" s="194"/>
      <c r="G363" s="174"/>
      <c r="H363" s="194"/>
      <c r="I363" s="194"/>
    </row>
    <row r="364" spans="1:9" ht="11.25">
      <c r="A364" s="194"/>
      <c r="B364" s="174"/>
      <c r="C364" s="194"/>
      <c r="D364" s="194"/>
      <c r="E364" s="197"/>
      <c r="F364" s="194"/>
      <c r="G364" s="174"/>
      <c r="H364" s="194"/>
      <c r="I364" s="194"/>
    </row>
    <row r="365" spans="1:9" ht="11.25">
      <c r="A365" s="194"/>
      <c r="B365" s="174"/>
      <c r="C365" s="194"/>
      <c r="D365" s="194"/>
      <c r="E365" s="197"/>
      <c r="F365" s="194"/>
      <c r="G365" s="174"/>
      <c r="H365" s="194"/>
      <c r="I365" s="194"/>
    </row>
    <row r="366" spans="1:9" ht="11.25">
      <c r="A366" s="194"/>
      <c r="B366" s="174"/>
      <c r="C366" s="194"/>
      <c r="D366" s="194"/>
      <c r="E366" s="197"/>
      <c r="F366" s="194"/>
      <c r="G366" s="174"/>
      <c r="H366" s="194"/>
      <c r="I366" s="194"/>
    </row>
    <row r="367" spans="1:9" ht="11.25">
      <c r="A367" s="194"/>
      <c r="B367" s="174"/>
      <c r="C367" s="194"/>
      <c r="D367" s="194"/>
      <c r="E367" s="197"/>
      <c r="F367" s="194"/>
      <c r="G367" s="174"/>
      <c r="H367" s="194"/>
      <c r="I367" s="194"/>
    </row>
    <row r="368" spans="1:9" ht="11.25">
      <c r="A368" s="194"/>
      <c r="B368" s="174"/>
      <c r="C368" s="194"/>
      <c r="D368" s="194"/>
      <c r="E368" s="197"/>
      <c r="F368" s="194"/>
      <c r="G368" s="174"/>
      <c r="H368" s="194"/>
      <c r="I368" s="194"/>
    </row>
    <row r="369" spans="1:9" ht="11.25">
      <c r="A369" s="194"/>
      <c r="B369" s="174"/>
      <c r="C369" s="194"/>
      <c r="D369" s="194"/>
      <c r="E369" s="197"/>
      <c r="F369" s="194"/>
      <c r="G369" s="174"/>
      <c r="H369" s="194"/>
      <c r="I369" s="194"/>
    </row>
    <row r="370" spans="1:9" ht="11.25">
      <c r="A370" s="194"/>
      <c r="B370" s="174"/>
      <c r="C370" s="194"/>
      <c r="D370" s="194"/>
      <c r="E370" s="197"/>
      <c r="F370" s="194"/>
      <c r="G370" s="174"/>
      <c r="H370" s="194"/>
      <c r="I370" s="194"/>
    </row>
    <row r="371" spans="1:9" ht="11.25">
      <c r="A371" s="194"/>
      <c r="B371" s="174"/>
      <c r="C371" s="194"/>
      <c r="D371" s="194"/>
      <c r="E371" s="197"/>
      <c r="F371" s="194"/>
      <c r="G371" s="174"/>
      <c r="H371" s="194"/>
      <c r="I371" s="194"/>
    </row>
    <row r="372" spans="1:9" ht="11.25">
      <c r="A372" s="194"/>
      <c r="B372" s="174"/>
      <c r="C372" s="194"/>
      <c r="D372" s="194"/>
      <c r="E372" s="197"/>
      <c r="F372" s="194"/>
      <c r="G372" s="174"/>
      <c r="H372" s="194"/>
      <c r="I372" s="194"/>
    </row>
    <row r="373" spans="1:9" ht="11.25">
      <c r="A373" s="194"/>
      <c r="B373" s="174"/>
      <c r="C373" s="194"/>
      <c r="D373" s="194"/>
      <c r="E373" s="197"/>
      <c r="F373" s="194"/>
      <c r="G373" s="174"/>
      <c r="H373" s="194"/>
      <c r="I373" s="194"/>
    </row>
    <row r="374" spans="1:9" ht="11.25">
      <c r="A374" s="194"/>
      <c r="B374" s="174"/>
      <c r="C374" s="194"/>
      <c r="D374" s="194"/>
      <c r="E374" s="197"/>
      <c r="F374" s="194"/>
      <c r="G374" s="174"/>
      <c r="H374" s="194"/>
      <c r="I374" s="194"/>
    </row>
    <row r="375" spans="1:9" ht="11.25">
      <c r="A375" s="194"/>
      <c r="B375" s="174"/>
      <c r="C375" s="194"/>
      <c r="D375" s="194"/>
      <c r="E375" s="197"/>
      <c r="F375" s="194"/>
      <c r="G375" s="174"/>
      <c r="H375" s="194"/>
      <c r="I375" s="194"/>
    </row>
    <row r="376" spans="1:9" ht="11.25">
      <c r="A376" s="194"/>
      <c r="B376" s="174"/>
      <c r="C376" s="194"/>
      <c r="D376" s="194"/>
      <c r="E376" s="197"/>
      <c r="F376" s="194"/>
      <c r="G376" s="174"/>
      <c r="H376" s="194"/>
      <c r="I376" s="194"/>
    </row>
    <row r="377" spans="1:9" ht="11.25">
      <c r="A377" s="194"/>
      <c r="B377" s="174"/>
      <c r="C377" s="194"/>
      <c r="D377" s="194"/>
      <c r="E377" s="197"/>
      <c r="F377" s="194"/>
      <c r="G377" s="174"/>
      <c r="H377" s="194"/>
      <c r="I377" s="194"/>
    </row>
    <row r="378" spans="1:9" ht="11.25">
      <c r="A378" s="194"/>
      <c r="B378" s="174"/>
      <c r="C378" s="194"/>
      <c r="D378" s="194"/>
      <c r="E378" s="197"/>
      <c r="F378" s="194"/>
      <c r="G378" s="174"/>
      <c r="H378" s="194"/>
      <c r="I378" s="194"/>
    </row>
    <row r="379" spans="1:9" ht="11.25">
      <c r="A379" s="194"/>
      <c r="B379" s="174"/>
      <c r="C379" s="194"/>
      <c r="D379" s="194"/>
      <c r="E379" s="197"/>
      <c r="F379" s="194"/>
      <c r="G379" s="174"/>
      <c r="H379" s="194"/>
      <c r="I379" s="194"/>
    </row>
    <row r="380" spans="1:9" ht="11.25">
      <c r="A380" s="194"/>
      <c r="B380" s="174"/>
      <c r="C380" s="194"/>
      <c r="D380" s="194"/>
      <c r="E380" s="197"/>
      <c r="F380" s="194"/>
      <c r="G380" s="174"/>
      <c r="H380" s="194"/>
      <c r="I380" s="194"/>
    </row>
    <row r="381" spans="1:9" ht="11.25">
      <c r="A381" s="194"/>
      <c r="B381" s="174"/>
      <c r="C381" s="194"/>
      <c r="D381" s="194"/>
      <c r="E381" s="197"/>
      <c r="F381" s="194"/>
      <c r="G381" s="174"/>
      <c r="H381" s="194"/>
      <c r="I381" s="194"/>
    </row>
    <row r="382" spans="1:9" ht="11.25">
      <c r="A382" s="194"/>
      <c r="B382" s="174"/>
      <c r="C382" s="194"/>
      <c r="D382" s="194"/>
      <c r="E382" s="197"/>
      <c r="F382" s="194"/>
      <c r="G382" s="174"/>
      <c r="H382" s="194"/>
      <c r="I382" s="194"/>
    </row>
    <row r="383" spans="1:9" ht="11.25">
      <c r="A383" s="194"/>
      <c r="B383" s="174"/>
      <c r="C383" s="194"/>
      <c r="D383" s="194"/>
      <c r="E383" s="197"/>
      <c r="F383" s="194"/>
      <c r="G383" s="174"/>
      <c r="H383" s="194"/>
      <c r="I383" s="194"/>
    </row>
    <row r="384" spans="1:9" ht="11.25">
      <c r="A384" s="194"/>
      <c r="B384" s="174"/>
      <c r="C384" s="194"/>
      <c r="D384" s="194"/>
      <c r="E384" s="197"/>
      <c r="F384" s="194"/>
      <c r="G384" s="174"/>
      <c r="H384" s="194"/>
      <c r="I384" s="194"/>
    </row>
    <row r="385" spans="1:9" ht="11.25">
      <c r="A385" s="194"/>
      <c r="B385" s="174"/>
      <c r="C385" s="194"/>
      <c r="D385" s="194"/>
      <c r="E385" s="197"/>
      <c r="F385" s="194"/>
      <c r="G385" s="174"/>
      <c r="H385" s="194"/>
      <c r="I385" s="194"/>
    </row>
    <row r="386" spans="1:9" ht="11.25">
      <c r="A386" s="194"/>
      <c r="B386" s="174"/>
      <c r="C386" s="194"/>
      <c r="D386" s="194"/>
      <c r="E386" s="197"/>
      <c r="F386" s="194"/>
      <c r="G386" s="174"/>
      <c r="H386" s="194"/>
      <c r="I386" s="194"/>
    </row>
    <row r="387" spans="1:9" ht="11.25">
      <c r="A387" s="194"/>
      <c r="B387" s="174"/>
      <c r="C387" s="194"/>
      <c r="D387" s="194"/>
      <c r="E387" s="197"/>
      <c r="F387" s="194"/>
      <c r="G387" s="174"/>
      <c r="H387" s="194"/>
      <c r="I387" s="194"/>
    </row>
    <row r="388" spans="1:9" ht="11.25">
      <c r="A388" s="194"/>
      <c r="B388" s="174"/>
      <c r="C388" s="194"/>
      <c r="D388" s="194"/>
      <c r="E388" s="197"/>
      <c r="F388" s="194"/>
      <c r="G388" s="174"/>
      <c r="H388" s="194"/>
      <c r="I388" s="194"/>
    </row>
    <row r="389" spans="1:9" ht="11.25">
      <c r="A389" s="194"/>
      <c r="B389" s="174"/>
      <c r="C389" s="194"/>
      <c r="D389" s="194"/>
      <c r="E389" s="197"/>
      <c r="F389" s="194"/>
      <c r="G389" s="174"/>
      <c r="H389" s="194"/>
      <c r="I389" s="194"/>
    </row>
    <row r="390" spans="1:9" ht="11.25">
      <c r="A390" s="194"/>
      <c r="B390" s="174"/>
      <c r="C390" s="194"/>
      <c r="D390" s="194"/>
      <c r="E390" s="197"/>
      <c r="F390" s="194"/>
      <c r="G390" s="174"/>
      <c r="H390" s="194"/>
      <c r="I390" s="194"/>
    </row>
    <row r="391" spans="1:9" ht="11.25">
      <c r="A391" s="194"/>
      <c r="B391" s="174"/>
      <c r="C391" s="194"/>
      <c r="D391" s="194"/>
      <c r="E391" s="197"/>
      <c r="F391" s="194"/>
      <c r="G391" s="174"/>
      <c r="H391" s="194"/>
      <c r="I391" s="194"/>
    </row>
    <row r="392" spans="1:9" ht="11.25">
      <c r="A392" s="194"/>
      <c r="B392" s="174"/>
      <c r="C392" s="194"/>
      <c r="D392" s="194"/>
      <c r="E392" s="197"/>
      <c r="F392" s="194"/>
      <c r="G392" s="174"/>
      <c r="H392" s="194"/>
      <c r="I392" s="194"/>
    </row>
    <row r="393" spans="1:9" ht="11.25">
      <c r="A393" s="194"/>
      <c r="B393" s="174"/>
      <c r="C393" s="194"/>
      <c r="D393" s="194"/>
      <c r="E393" s="197"/>
      <c r="F393" s="194"/>
      <c r="G393" s="174"/>
      <c r="H393" s="194"/>
      <c r="I393" s="194"/>
    </row>
    <row r="394" spans="1:9" ht="11.25">
      <c r="A394" s="194"/>
      <c r="B394" s="174"/>
      <c r="C394" s="194"/>
      <c r="D394" s="194"/>
      <c r="E394" s="197"/>
      <c r="F394" s="194"/>
      <c r="G394" s="174"/>
      <c r="H394" s="194"/>
      <c r="I394" s="194"/>
    </row>
    <row r="395" spans="1:9" ht="11.25">
      <c r="A395" s="194"/>
      <c r="B395" s="174"/>
      <c r="C395" s="194"/>
      <c r="D395" s="194"/>
      <c r="E395" s="197"/>
      <c r="F395" s="194"/>
      <c r="G395" s="174"/>
      <c r="H395" s="194"/>
      <c r="I395" s="194"/>
    </row>
    <row r="396" spans="1:9" ht="11.25">
      <c r="A396" s="194"/>
      <c r="B396" s="174"/>
      <c r="C396" s="194"/>
      <c r="D396" s="194"/>
      <c r="E396" s="197"/>
      <c r="F396" s="194"/>
      <c r="G396" s="174"/>
      <c r="H396" s="194"/>
      <c r="I396" s="194"/>
    </row>
    <row r="397" spans="1:9" ht="11.25">
      <c r="A397" s="194"/>
      <c r="B397" s="174"/>
      <c r="C397" s="194"/>
      <c r="D397" s="194"/>
      <c r="E397" s="197"/>
      <c r="F397" s="194"/>
      <c r="G397" s="174"/>
      <c r="H397" s="194"/>
      <c r="I397" s="194"/>
    </row>
    <row r="398" spans="1:9" ht="11.25">
      <c r="A398" s="194"/>
      <c r="B398" s="174"/>
      <c r="C398" s="194"/>
      <c r="D398" s="194"/>
      <c r="E398" s="197"/>
      <c r="F398" s="194"/>
      <c r="G398" s="174"/>
      <c r="H398" s="194"/>
      <c r="I398" s="194"/>
    </row>
    <row r="399" spans="1:9" ht="11.25">
      <c r="A399" s="194"/>
      <c r="B399" s="174"/>
      <c r="C399" s="194"/>
      <c r="D399" s="194"/>
      <c r="E399" s="197"/>
      <c r="F399" s="194"/>
      <c r="G399" s="174"/>
      <c r="H399" s="194"/>
      <c r="I399" s="194"/>
    </row>
    <row r="400" spans="1:9" ht="11.25">
      <c r="A400" s="194"/>
      <c r="B400" s="174"/>
      <c r="C400" s="194"/>
      <c r="D400" s="194"/>
      <c r="E400" s="197"/>
      <c r="F400" s="194"/>
      <c r="G400" s="174"/>
      <c r="H400" s="194"/>
      <c r="I400" s="194"/>
    </row>
    <row r="401" spans="1:9" ht="11.25">
      <c r="A401" s="194"/>
      <c r="B401" s="174"/>
      <c r="C401" s="194"/>
      <c r="D401" s="194"/>
      <c r="E401" s="197"/>
      <c r="F401" s="194"/>
      <c r="G401" s="174"/>
      <c r="H401" s="194"/>
      <c r="I401" s="194"/>
    </row>
    <row r="402" spans="1:9" ht="11.25">
      <c r="A402" s="194"/>
      <c r="B402" s="174"/>
      <c r="C402" s="194"/>
      <c r="D402" s="194"/>
      <c r="E402" s="197"/>
      <c r="F402" s="194"/>
      <c r="G402" s="174"/>
      <c r="H402" s="194"/>
      <c r="I402" s="194"/>
    </row>
    <row r="403" spans="1:9" ht="11.25">
      <c r="A403" s="194"/>
      <c r="B403" s="174"/>
      <c r="C403" s="194"/>
      <c r="D403" s="194"/>
      <c r="E403" s="197"/>
      <c r="F403" s="194"/>
      <c r="G403" s="174"/>
      <c r="H403" s="194"/>
      <c r="I403" s="194"/>
    </row>
    <row r="404" spans="1:9" ht="11.25">
      <c r="A404" s="194"/>
      <c r="B404" s="174"/>
      <c r="C404" s="194"/>
      <c r="D404" s="194"/>
      <c r="E404" s="197"/>
      <c r="F404" s="194"/>
      <c r="G404" s="174"/>
      <c r="H404" s="194"/>
      <c r="I404" s="194"/>
    </row>
    <row r="405" spans="1:9" ht="11.25">
      <c r="A405" s="194"/>
      <c r="B405" s="174"/>
      <c r="C405" s="194"/>
      <c r="D405" s="194"/>
      <c r="E405" s="197"/>
      <c r="F405" s="194"/>
      <c r="G405" s="174"/>
      <c r="H405" s="194"/>
      <c r="I405" s="194"/>
    </row>
    <row r="406" spans="1:9" ht="11.25">
      <c r="A406" s="194"/>
      <c r="B406" s="174"/>
      <c r="C406" s="194"/>
      <c r="D406" s="194"/>
      <c r="E406" s="197"/>
      <c r="F406" s="194"/>
      <c r="G406" s="174"/>
      <c r="H406" s="194"/>
      <c r="I406" s="194"/>
    </row>
    <row r="407" spans="1:9" ht="11.25">
      <c r="A407" s="194"/>
      <c r="B407" s="174"/>
      <c r="C407" s="194"/>
      <c r="D407" s="194"/>
      <c r="E407" s="197"/>
      <c r="F407" s="194"/>
      <c r="G407" s="174"/>
      <c r="H407" s="194"/>
      <c r="I407" s="194"/>
    </row>
    <row r="408" spans="1:9" ht="11.25">
      <c r="A408" s="194"/>
      <c r="B408" s="174"/>
      <c r="C408" s="194"/>
      <c r="D408" s="194"/>
      <c r="E408" s="197"/>
      <c r="F408" s="194"/>
      <c r="G408" s="174"/>
      <c r="H408" s="194"/>
      <c r="I408" s="194"/>
    </row>
    <row r="409" spans="1:9" ht="11.25">
      <c r="A409" s="194"/>
      <c r="B409" s="174"/>
      <c r="C409" s="194"/>
      <c r="D409" s="194"/>
      <c r="E409" s="197"/>
      <c r="F409" s="194"/>
      <c r="G409" s="174"/>
      <c r="H409" s="194"/>
      <c r="I409" s="194"/>
    </row>
    <row r="410" spans="1:9" ht="11.25">
      <c r="A410" s="194"/>
      <c r="B410" s="174"/>
      <c r="C410" s="194"/>
      <c r="D410" s="194"/>
      <c r="E410" s="197"/>
      <c r="F410" s="194"/>
      <c r="G410" s="174"/>
      <c r="H410" s="194"/>
      <c r="I410" s="194"/>
    </row>
    <row r="411" spans="1:9" ht="11.25">
      <c r="A411" s="194"/>
      <c r="B411" s="174"/>
      <c r="C411" s="194"/>
      <c r="D411" s="194"/>
      <c r="E411" s="197"/>
      <c r="F411" s="194"/>
      <c r="G411" s="174"/>
      <c r="H411" s="194"/>
      <c r="I411" s="194"/>
    </row>
    <row r="412" spans="1:9" ht="11.25">
      <c r="A412" s="194"/>
      <c r="B412" s="174"/>
      <c r="C412" s="194"/>
      <c r="D412" s="194"/>
      <c r="E412" s="197"/>
      <c r="F412" s="194"/>
      <c r="G412" s="174"/>
      <c r="H412" s="194"/>
      <c r="I412" s="194"/>
    </row>
    <row r="413" spans="1:9" ht="11.25">
      <c r="A413" s="194"/>
      <c r="B413" s="174"/>
      <c r="C413" s="194"/>
      <c r="D413" s="194"/>
      <c r="E413" s="197"/>
      <c r="F413" s="194"/>
      <c r="G413" s="174"/>
      <c r="H413" s="194"/>
      <c r="I413" s="194"/>
    </row>
    <row r="414" spans="1:9" ht="11.25">
      <c r="A414" s="194"/>
      <c r="B414" s="174"/>
      <c r="C414" s="194"/>
      <c r="D414" s="194"/>
      <c r="E414" s="197"/>
      <c r="F414" s="194"/>
      <c r="G414" s="174"/>
      <c r="H414" s="194"/>
      <c r="I414" s="194"/>
    </row>
    <row r="415" spans="1:9" ht="11.25">
      <c r="A415" s="194"/>
      <c r="B415" s="174"/>
      <c r="C415" s="194"/>
      <c r="D415" s="194"/>
      <c r="E415" s="197"/>
      <c r="F415" s="194"/>
      <c r="G415" s="174"/>
      <c r="H415" s="194"/>
      <c r="I415" s="194"/>
    </row>
    <row r="416" spans="1:9" ht="11.25">
      <c r="A416" s="194"/>
      <c r="B416" s="174"/>
      <c r="C416" s="194"/>
      <c r="D416" s="194"/>
      <c r="E416" s="197"/>
      <c r="F416" s="194"/>
      <c r="G416" s="174"/>
      <c r="H416" s="194"/>
      <c r="I416" s="194"/>
    </row>
    <row r="417" spans="1:9" ht="11.25">
      <c r="A417" s="194"/>
      <c r="B417" s="174"/>
      <c r="C417" s="194"/>
      <c r="D417" s="194"/>
      <c r="E417" s="197"/>
      <c r="F417" s="194"/>
      <c r="G417" s="174"/>
      <c r="H417" s="194"/>
      <c r="I417" s="194"/>
    </row>
    <row r="418" spans="1:9" ht="11.25">
      <c r="A418" s="194"/>
      <c r="B418" s="174"/>
      <c r="C418" s="194"/>
      <c r="D418" s="194"/>
      <c r="E418" s="197"/>
      <c r="F418" s="194"/>
      <c r="G418" s="174"/>
      <c r="H418" s="194"/>
      <c r="I418" s="194"/>
    </row>
    <row r="419" spans="1:9" ht="11.25">
      <c r="A419" s="194"/>
      <c r="B419" s="174"/>
      <c r="C419" s="194"/>
      <c r="D419" s="194"/>
      <c r="E419" s="197"/>
      <c r="F419" s="194"/>
      <c r="G419" s="174"/>
      <c r="H419" s="194"/>
      <c r="I419" s="194"/>
    </row>
    <row r="420" spans="1:9" ht="11.25">
      <c r="A420" s="194"/>
      <c r="B420" s="174"/>
      <c r="C420" s="194"/>
      <c r="D420" s="194"/>
      <c r="E420" s="197"/>
      <c r="F420" s="194"/>
      <c r="G420" s="174"/>
      <c r="H420" s="194"/>
      <c r="I420" s="194"/>
    </row>
    <row r="421" spans="1:9" ht="11.25">
      <c r="A421" s="194"/>
      <c r="B421" s="174"/>
      <c r="C421" s="194"/>
      <c r="D421" s="194"/>
      <c r="E421" s="197"/>
      <c r="F421" s="194"/>
      <c r="G421" s="174"/>
      <c r="H421" s="194"/>
      <c r="I421" s="194"/>
    </row>
    <row r="422" spans="1:9" ht="11.25">
      <c r="A422" s="194"/>
      <c r="B422" s="174"/>
      <c r="C422" s="194"/>
      <c r="D422" s="194"/>
      <c r="E422" s="197"/>
      <c r="F422" s="194"/>
      <c r="G422" s="174"/>
      <c r="H422" s="194"/>
      <c r="I422" s="194"/>
    </row>
    <row r="423" spans="1:9" ht="11.25">
      <c r="A423" s="194"/>
      <c r="B423" s="174"/>
      <c r="C423" s="194"/>
      <c r="D423" s="194"/>
      <c r="E423" s="197"/>
      <c r="F423" s="194"/>
      <c r="G423" s="174"/>
      <c r="H423" s="194"/>
      <c r="I423" s="194"/>
    </row>
    <row r="424" spans="1:9" ht="11.25">
      <c r="A424" s="194"/>
      <c r="B424" s="174"/>
      <c r="C424" s="194"/>
      <c r="D424" s="194"/>
      <c r="E424" s="197"/>
      <c r="F424" s="194"/>
      <c r="G424" s="174"/>
      <c r="H424" s="194"/>
      <c r="I424" s="194"/>
    </row>
    <row r="425" spans="1:9" ht="11.25">
      <c r="A425" s="194"/>
      <c r="B425" s="174"/>
      <c r="C425" s="194"/>
      <c r="D425" s="194"/>
      <c r="E425" s="197"/>
      <c r="F425" s="194"/>
      <c r="G425" s="174"/>
      <c r="H425" s="194"/>
      <c r="I425" s="194"/>
    </row>
    <row r="426" spans="1:9" ht="11.25">
      <c r="A426" s="194"/>
      <c r="B426" s="174"/>
      <c r="C426" s="194"/>
      <c r="D426" s="194"/>
      <c r="E426" s="197"/>
      <c r="F426" s="194"/>
      <c r="G426" s="174"/>
      <c r="H426" s="194"/>
      <c r="I426" s="194"/>
    </row>
    <row r="427" spans="1:9" ht="11.25">
      <c r="A427" s="194"/>
      <c r="B427" s="174"/>
      <c r="C427" s="194"/>
      <c r="D427" s="194"/>
      <c r="E427" s="197"/>
      <c r="F427" s="194"/>
      <c r="G427" s="174"/>
      <c r="H427" s="194"/>
      <c r="I427" s="194"/>
    </row>
    <row r="428" spans="1:9" ht="11.25">
      <c r="A428" s="194"/>
      <c r="B428" s="174"/>
      <c r="C428" s="194"/>
      <c r="D428" s="194"/>
      <c r="E428" s="197"/>
      <c r="F428" s="194"/>
      <c r="G428" s="174"/>
      <c r="H428" s="194"/>
      <c r="I428" s="194"/>
    </row>
    <row r="429" spans="1:9" ht="11.25">
      <c r="A429" s="194"/>
      <c r="B429" s="174"/>
      <c r="C429" s="194"/>
      <c r="D429" s="194"/>
      <c r="E429" s="197"/>
      <c r="F429" s="194"/>
      <c r="G429" s="174"/>
      <c r="H429" s="194"/>
      <c r="I429" s="194"/>
    </row>
    <row r="430" spans="1:9" ht="11.25">
      <c r="A430" s="194"/>
      <c r="B430" s="174"/>
      <c r="C430" s="194"/>
      <c r="D430" s="194"/>
      <c r="E430" s="197"/>
      <c r="F430" s="194"/>
      <c r="G430" s="174"/>
      <c r="H430" s="194"/>
      <c r="I430" s="194"/>
    </row>
    <row r="431" spans="1:9" ht="11.25">
      <c r="A431" s="194"/>
      <c r="B431" s="174"/>
      <c r="C431" s="194"/>
      <c r="D431" s="194"/>
      <c r="E431" s="197"/>
      <c r="F431" s="194"/>
      <c r="G431" s="174"/>
      <c r="H431" s="194"/>
      <c r="I431" s="194"/>
    </row>
    <row r="432" spans="1:9" ht="11.25">
      <c r="A432" s="194"/>
      <c r="B432" s="174"/>
      <c r="C432" s="194"/>
      <c r="D432" s="194"/>
      <c r="E432" s="197"/>
      <c r="F432" s="194"/>
      <c r="G432" s="174"/>
      <c r="H432" s="194"/>
      <c r="I432" s="194"/>
    </row>
    <row r="433" spans="1:9" ht="11.25">
      <c r="A433" s="194"/>
      <c r="B433" s="174"/>
      <c r="C433" s="194"/>
      <c r="D433" s="194"/>
      <c r="E433" s="197"/>
      <c r="F433" s="194"/>
      <c r="G433" s="174"/>
      <c r="H433" s="194"/>
      <c r="I433" s="194"/>
    </row>
    <row r="434" spans="1:9" ht="11.25">
      <c r="A434" s="194"/>
      <c r="B434" s="174"/>
      <c r="C434" s="194"/>
      <c r="D434" s="194"/>
      <c r="E434" s="197"/>
      <c r="F434" s="194"/>
      <c r="G434" s="174"/>
      <c r="H434" s="194"/>
      <c r="I434" s="194"/>
    </row>
    <row r="435" spans="1:9" ht="11.25">
      <c r="A435" s="194"/>
      <c r="B435" s="174"/>
      <c r="C435" s="194"/>
      <c r="D435" s="194"/>
      <c r="E435" s="197"/>
      <c r="F435" s="194"/>
      <c r="G435" s="174"/>
      <c r="H435" s="194"/>
      <c r="I435" s="194"/>
    </row>
    <row r="436" spans="1:9" ht="11.25">
      <c r="A436" s="194"/>
      <c r="B436" s="174"/>
      <c r="C436" s="194"/>
      <c r="D436" s="194"/>
      <c r="E436" s="197"/>
      <c r="F436" s="194"/>
      <c r="G436" s="174"/>
      <c r="H436" s="194"/>
      <c r="I436" s="194"/>
    </row>
    <row r="437" spans="1:9" ht="11.25">
      <c r="A437" s="194"/>
      <c r="B437" s="174"/>
      <c r="C437" s="194"/>
      <c r="D437" s="194"/>
      <c r="E437" s="197"/>
      <c r="F437" s="194"/>
      <c r="G437" s="174"/>
      <c r="H437" s="194"/>
      <c r="I437" s="194"/>
    </row>
    <row r="438" spans="1:9" ht="11.25">
      <c r="A438" s="194"/>
      <c r="B438" s="174"/>
      <c r="C438" s="194"/>
      <c r="D438" s="194"/>
      <c r="E438" s="197"/>
      <c r="F438" s="194"/>
      <c r="G438" s="174"/>
      <c r="H438" s="194"/>
      <c r="I438" s="194"/>
    </row>
    <row r="439" spans="1:9" ht="11.25">
      <c r="A439" s="194"/>
      <c r="B439" s="174"/>
      <c r="C439" s="194"/>
      <c r="D439" s="194"/>
      <c r="E439" s="197"/>
      <c r="F439" s="194"/>
      <c r="G439" s="174"/>
      <c r="H439" s="194"/>
      <c r="I439" s="194"/>
    </row>
    <row r="440" spans="1:9" ht="11.25">
      <c r="A440" s="194"/>
      <c r="B440" s="174"/>
      <c r="C440" s="194"/>
      <c r="D440" s="194"/>
      <c r="E440" s="197"/>
      <c r="F440" s="194"/>
      <c r="G440" s="174"/>
      <c r="H440" s="194"/>
      <c r="I440" s="194"/>
    </row>
    <row r="441" spans="1:9" ht="11.25">
      <c r="A441" s="194"/>
      <c r="B441" s="174"/>
      <c r="C441" s="194"/>
      <c r="D441" s="194"/>
      <c r="E441" s="197"/>
      <c r="F441" s="194"/>
      <c r="G441" s="174"/>
      <c r="H441" s="194"/>
      <c r="I441" s="194"/>
    </row>
    <row r="442" spans="1:9" ht="11.25">
      <c r="A442" s="194"/>
      <c r="B442" s="174"/>
      <c r="C442" s="194"/>
      <c r="D442" s="194"/>
      <c r="E442" s="197"/>
      <c r="F442" s="194"/>
      <c r="G442" s="174"/>
      <c r="H442" s="194"/>
      <c r="I442" s="194"/>
    </row>
    <row r="443" spans="1:9" ht="11.25">
      <c r="A443" s="194"/>
      <c r="B443" s="174"/>
      <c r="C443" s="194"/>
      <c r="D443" s="194"/>
      <c r="E443" s="197"/>
      <c r="F443" s="194"/>
      <c r="G443" s="174"/>
      <c r="H443" s="194"/>
      <c r="I443" s="194"/>
    </row>
    <row r="444" spans="1:9" ht="11.25">
      <c r="A444" s="194"/>
      <c r="B444" s="174"/>
      <c r="C444" s="194"/>
      <c r="D444" s="194"/>
      <c r="E444" s="197"/>
      <c r="F444" s="194"/>
      <c r="G444" s="174"/>
      <c r="H444" s="194"/>
      <c r="I444" s="194"/>
    </row>
    <row r="445" spans="1:9" ht="11.25">
      <c r="A445" s="194"/>
      <c r="B445" s="174"/>
      <c r="C445" s="194"/>
      <c r="D445" s="194"/>
      <c r="E445" s="197"/>
      <c r="F445" s="194"/>
      <c r="G445" s="174"/>
      <c r="H445" s="194"/>
      <c r="I445" s="194"/>
    </row>
    <row r="446" spans="1:9" ht="11.25">
      <c r="A446" s="194"/>
      <c r="B446" s="174"/>
      <c r="C446" s="194"/>
      <c r="D446" s="194"/>
      <c r="E446" s="197"/>
      <c r="F446" s="194"/>
      <c r="G446" s="174"/>
      <c r="H446" s="194"/>
      <c r="I446" s="194"/>
    </row>
    <row r="447" spans="1:9" ht="11.25">
      <c r="A447" s="194"/>
      <c r="B447" s="174"/>
      <c r="C447" s="194"/>
      <c r="D447" s="194"/>
      <c r="E447" s="197"/>
      <c r="F447" s="194"/>
      <c r="G447" s="174"/>
      <c r="H447" s="194"/>
      <c r="I447" s="194"/>
    </row>
    <row r="448" spans="1:9" ht="11.25">
      <c r="A448" s="194"/>
      <c r="B448" s="174"/>
      <c r="C448" s="194"/>
      <c r="D448" s="194"/>
      <c r="E448" s="197"/>
      <c r="F448" s="194"/>
      <c r="G448" s="174"/>
      <c r="H448" s="194"/>
      <c r="I448" s="194"/>
    </row>
    <row r="449" spans="1:9" ht="11.25">
      <c r="A449" s="194"/>
      <c r="B449" s="174"/>
      <c r="C449" s="194"/>
      <c r="D449" s="194"/>
      <c r="E449" s="197"/>
      <c r="F449" s="194"/>
      <c r="G449" s="174"/>
      <c r="H449" s="194"/>
      <c r="I449" s="194"/>
    </row>
    <row r="450" spans="1:9" ht="11.25">
      <c r="A450" s="194"/>
      <c r="B450" s="174"/>
      <c r="C450" s="194"/>
      <c r="D450" s="194"/>
      <c r="E450" s="197"/>
      <c r="F450" s="194"/>
      <c r="G450" s="174"/>
      <c r="H450" s="194"/>
      <c r="I450" s="194"/>
    </row>
    <row r="451" spans="1:9" ht="11.25">
      <c r="A451" s="194"/>
      <c r="B451" s="174"/>
      <c r="C451" s="194"/>
      <c r="D451" s="194"/>
      <c r="E451" s="197"/>
      <c r="F451" s="194"/>
      <c r="G451" s="174"/>
      <c r="H451" s="194"/>
      <c r="I451" s="194"/>
    </row>
    <row r="452" spans="1:9" ht="11.25">
      <c r="A452" s="194"/>
      <c r="B452" s="174"/>
      <c r="C452" s="194"/>
      <c r="D452" s="194"/>
      <c r="E452" s="197"/>
      <c r="F452" s="194"/>
      <c r="G452" s="174"/>
      <c r="H452" s="194"/>
      <c r="I452" s="194"/>
    </row>
    <row r="453" spans="1:9" ht="11.25">
      <c r="A453" s="194"/>
      <c r="B453" s="174"/>
      <c r="C453" s="194"/>
      <c r="D453" s="194"/>
      <c r="E453" s="197"/>
      <c r="F453" s="194"/>
      <c r="G453" s="174"/>
      <c r="H453" s="194"/>
      <c r="I453" s="194"/>
    </row>
    <row r="454" spans="1:9" ht="11.25">
      <c r="A454" s="194"/>
      <c r="B454" s="174"/>
      <c r="C454" s="194"/>
      <c r="D454" s="194"/>
      <c r="E454" s="197"/>
      <c r="F454" s="194"/>
      <c r="G454" s="174"/>
      <c r="H454" s="194"/>
      <c r="I454" s="194"/>
    </row>
    <row r="455" spans="1:9" ht="11.25">
      <c r="A455" s="194"/>
      <c r="B455" s="174"/>
      <c r="C455" s="194"/>
      <c r="D455" s="194"/>
      <c r="E455" s="197"/>
      <c r="F455" s="194"/>
      <c r="G455" s="174"/>
      <c r="H455" s="194"/>
      <c r="I455" s="194"/>
    </row>
    <row r="456" spans="1:9" ht="11.25">
      <c r="A456" s="194"/>
      <c r="B456" s="174"/>
      <c r="C456" s="194"/>
      <c r="D456" s="194"/>
      <c r="E456" s="197"/>
      <c r="F456" s="194"/>
      <c r="G456" s="174"/>
      <c r="H456" s="194"/>
      <c r="I456" s="194"/>
    </row>
    <row r="457" spans="1:9" ht="11.25">
      <c r="A457" s="194"/>
      <c r="B457" s="174"/>
      <c r="C457" s="194"/>
      <c r="D457" s="194"/>
      <c r="E457" s="197"/>
      <c r="F457" s="194"/>
      <c r="G457" s="174"/>
      <c r="H457" s="194"/>
      <c r="I457" s="194"/>
    </row>
    <row r="458" spans="1:9" ht="11.25">
      <c r="A458" s="194"/>
      <c r="B458" s="174"/>
      <c r="C458" s="194"/>
      <c r="D458" s="194"/>
      <c r="E458" s="197"/>
      <c r="F458" s="194"/>
      <c r="G458" s="174"/>
      <c r="H458" s="194"/>
      <c r="I458" s="194"/>
    </row>
    <row r="459" spans="1:9" ht="11.25">
      <c r="A459" s="194"/>
      <c r="B459" s="174"/>
      <c r="C459" s="194"/>
      <c r="D459" s="194"/>
      <c r="E459" s="197"/>
      <c r="F459" s="194"/>
      <c r="G459" s="174"/>
      <c r="H459" s="194"/>
      <c r="I459" s="194"/>
    </row>
    <row r="460" spans="1:9" ht="11.25">
      <c r="A460" s="194"/>
      <c r="B460" s="174"/>
      <c r="C460" s="194"/>
      <c r="D460" s="194"/>
      <c r="E460" s="197"/>
      <c r="F460" s="194"/>
      <c r="G460" s="174"/>
      <c r="H460" s="194"/>
      <c r="I460" s="194"/>
    </row>
    <row r="461" spans="1:9" ht="11.25">
      <c r="A461" s="194"/>
      <c r="B461" s="174"/>
      <c r="C461" s="194"/>
      <c r="D461" s="194"/>
      <c r="E461" s="197"/>
      <c r="F461" s="194"/>
      <c r="G461" s="174"/>
      <c r="H461" s="194"/>
      <c r="I461" s="194"/>
    </row>
    <row r="462" spans="1:9" ht="11.25">
      <c r="A462" s="194"/>
      <c r="B462" s="174"/>
      <c r="C462" s="194"/>
      <c r="D462" s="194"/>
      <c r="E462" s="197"/>
      <c r="F462" s="194"/>
      <c r="G462" s="174"/>
      <c r="H462" s="194"/>
      <c r="I462" s="194"/>
    </row>
    <row r="463" spans="1:9" ht="11.25">
      <c r="A463" s="194"/>
      <c r="B463" s="174"/>
      <c r="C463" s="194"/>
      <c r="D463" s="194"/>
      <c r="E463" s="197"/>
      <c r="F463" s="194"/>
      <c r="G463" s="174"/>
      <c r="H463" s="194"/>
      <c r="I463" s="194"/>
    </row>
    <row r="464" spans="1:9" ht="11.25">
      <c r="A464" s="194"/>
      <c r="B464" s="174"/>
      <c r="C464" s="194"/>
      <c r="D464" s="194"/>
      <c r="E464" s="197"/>
      <c r="F464" s="194"/>
      <c r="G464" s="174"/>
      <c r="H464" s="194"/>
      <c r="I464" s="194"/>
    </row>
    <row r="465" spans="1:9" ht="11.25">
      <c r="A465" s="194"/>
      <c r="B465" s="174"/>
      <c r="C465" s="194"/>
      <c r="D465" s="194"/>
      <c r="E465" s="197"/>
      <c r="F465" s="194"/>
      <c r="G465" s="174"/>
      <c r="H465" s="194"/>
      <c r="I465" s="194"/>
    </row>
    <row r="466" spans="1:9" ht="11.25">
      <c r="A466" s="194"/>
      <c r="B466" s="174"/>
      <c r="C466" s="194"/>
      <c r="D466" s="194"/>
      <c r="E466" s="197"/>
      <c r="F466" s="194"/>
      <c r="G466" s="174"/>
      <c r="H466" s="194"/>
      <c r="I466" s="194"/>
    </row>
    <row r="467" spans="1:9" ht="11.25">
      <c r="A467" s="194"/>
      <c r="B467" s="174"/>
      <c r="C467" s="194"/>
      <c r="D467" s="194"/>
      <c r="E467" s="197"/>
      <c r="F467" s="194"/>
      <c r="G467" s="174"/>
      <c r="H467" s="194"/>
      <c r="I467" s="194"/>
    </row>
    <row r="468" spans="1:9" ht="11.25">
      <c r="A468" s="194"/>
      <c r="B468" s="174"/>
      <c r="C468" s="194"/>
      <c r="D468" s="194"/>
      <c r="E468" s="197"/>
      <c r="F468" s="194"/>
      <c r="G468" s="174"/>
      <c r="H468" s="194"/>
      <c r="I468" s="194"/>
    </row>
    <row r="469" spans="1:9" ht="11.25">
      <c r="A469" s="194"/>
      <c r="B469" s="174"/>
      <c r="C469" s="194"/>
      <c r="D469" s="194"/>
      <c r="E469" s="197"/>
      <c r="F469" s="194"/>
      <c r="G469" s="174"/>
      <c r="H469" s="194"/>
      <c r="I469" s="194"/>
    </row>
    <row r="470" spans="1:9" ht="11.25">
      <c r="A470" s="194"/>
      <c r="B470" s="174"/>
      <c r="C470" s="194"/>
      <c r="D470" s="194"/>
      <c r="E470" s="197"/>
      <c r="F470" s="194"/>
      <c r="G470" s="174"/>
      <c r="H470" s="194"/>
      <c r="I470" s="194"/>
    </row>
    <row r="471" spans="1:9" ht="11.25">
      <c r="A471" s="194"/>
      <c r="B471" s="174"/>
      <c r="C471" s="194"/>
      <c r="D471" s="194"/>
      <c r="E471" s="197"/>
      <c r="F471" s="194"/>
      <c r="G471" s="174"/>
      <c r="H471" s="194"/>
      <c r="I471" s="194"/>
    </row>
    <row r="472" spans="1:9" ht="11.25">
      <c r="A472" s="194"/>
      <c r="B472" s="174"/>
      <c r="C472" s="194"/>
      <c r="D472" s="194"/>
      <c r="E472" s="197"/>
      <c r="F472" s="194"/>
      <c r="G472" s="174"/>
      <c r="H472" s="194"/>
      <c r="I472" s="194"/>
    </row>
    <row r="473" spans="1:9" ht="11.25">
      <c r="A473" s="194"/>
      <c r="B473" s="174"/>
      <c r="C473" s="194"/>
      <c r="D473" s="194"/>
      <c r="E473" s="197"/>
      <c r="F473" s="194"/>
      <c r="G473" s="174"/>
      <c r="H473" s="194"/>
      <c r="I473" s="194"/>
    </row>
    <row r="474" spans="1:9" ht="11.25">
      <c r="A474" s="194"/>
      <c r="B474" s="174"/>
      <c r="C474" s="194"/>
      <c r="D474" s="194"/>
      <c r="E474" s="197"/>
      <c r="F474" s="194"/>
      <c r="G474" s="174"/>
      <c r="H474" s="194"/>
      <c r="I474" s="194"/>
    </row>
    <row r="475" spans="1:9" ht="11.25">
      <c r="A475" s="194"/>
      <c r="B475" s="174"/>
      <c r="C475" s="194"/>
      <c r="D475" s="194"/>
      <c r="E475" s="197"/>
      <c r="F475" s="194"/>
      <c r="G475" s="174"/>
      <c r="H475" s="194"/>
      <c r="I475" s="194"/>
    </row>
    <row r="476" spans="1:9" ht="11.25">
      <c r="A476" s="194"/>
      <c r="B476" s="174"/>
      <c r="C476" s="194"/>
      <c r="D476" s="194"/>
      <c r="E476" s="197"/>
      <c r="F476" s="194"/>
      <c r="G476" s="174"/>
      <c r="H476" s="194"/>
      <c r="I476" s="194"/>
    </row>
    <row r="477" spans="1:9" ht="11.25">
      <c r="A477" s="194"/>
      <c r="B477" s="174"/>
      <c r="C477" s="194"/>
      <c r="D477" s="194"/>
      <c r="E477" s="197"/>
      <c r="F477" s="194"/>
      <c r="G477" s="174"/>
      <c r="H477" s="194"/>
      <c r="I477" s="194"/>
    </row>
  </sheetData>
  <printOptions/>
  <pageMargins left="1.06" right="0.52" top="0.57" bottom="0.46" header="0.18" footer="0.26"/>
  <pageSetup horizontalDpi="600" verticalDpi="600" orientation="landscape" paperSize="9" r:id="rId1"/>
  <rowBreaks count="5" manualBreakCount="5">
    <brk id="43" max="255" man="1"/>
    <brk id="83" max="255" man="1"/>
    <brk id="123" max="255" man="1"/>
    <brk id="163" max="255" man="1"/>
    <brk id="20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P268"/>
  <sheetViews>
    <sheetView workbookViewId="0" topLeftCell="A1">
      <selection activeCell="C12" sqref="C12"/>
    </sheetView>
  </sheetViews>
  <sheetFormatPr defaultColWidth="9.140625" defaultRowHeight="12.75"/>
  <cols>
    <col min="1" max="1" width="23.8515625" style="170" customWidth="1"/>
    <col min="2" max="2" width="11.57421875" style="171" customWidth="1"/>
    <col min="3" max="3" width="19.7109375" style="170" customWidth="1"/>
    <col min="4" max="4" width="14.8515625" style="170" customWidth="1"/>
    <col min="5" max="5" width="9.8515625" style="172" customWidth="1"/>
    <col min="6" max="6" width="12.57421875" style="170" customWidth="1"/>
    <col min="7" max="7" width="11.57421875" style="171" customWidth="1"/>
    <col min="8" max="8" width="8.140625" style="170" customWidth="1"/>
    <col min="9" max="9" width="10.421875" style="170" customWidth="1"/>
    <col min="57" max="16384" width="6.7109375" style="171" customWidth="1"/>
  </cols>
  <sheetData>
    <row r="1" ht="12.75">
      <c r="I1" s="173" t="s">
        <v>982</v>
      </c>
    </row>
    <row r="3" spans="1:9" ht="19.5" customHeight="1">
      <c r="A3" s="175" t="s">
        <v>983</v>
      </c>
      <c r="B3" s="175"/>
      <c r="C3" s="175"/>
      <c r="D3" s="175"/>
      <c r="E3" s="176"/>
      <c r="F3" s="175"/>
      <c r="G3" s="175"/>
      <c r="H3" s="175"/>
      <c r="I3" s="175"/>
    </row>
    <row r="4" spans="1:9" ht="11.25" customHeight="1">
      <c r="A4" s="175"/>
      <c r="B4" s="175"/>
      <c r="C4" s="175"/>
      <c r="D4" s="175"/>
      <c r="E4" s="176"/>
      <c r="F4" s="175"/>
      <c r="G4" s="175"/>
      <c r="H4" s="175"/>
      <c r="I4" s="175"/>
    </row>
    <row r="5" spans="2:9" ht="12.75">
      <c r="B5" s="177"/>
      <c r="C5" s="178"/>
      <c r="D5" s="179"/>
      <c r="E5" s="178"/>
      <c r="G5" s="180"/>
      <c r="H5" s="179"/>
      <c r="I5" s="181" t="s">
        <v>618</v>
      </c>
    </row>
    <row r="6" spans="1:9" ht="12.75">
      <c r="A6" s="200"/>
      <c r="B6" s="201" t="s">
        <v>619</v>
      </c>
      <c r="C6" s="201" t="s">
        <v>620</v>
      </c>
      <c r="D6" s="201" t="s">
        <v>620</v>
      </c>
      <c r="E6" s="201" t="s">
        <v>620</v>
      </c>
      <c r="F6" s="200" t="s">
        <v>621</v>
      </c>
      <c r="G6" s="182" t="s">
        <v>621</v>
      </c>
      <c r="H6" s="182"/>
      <c r="I6" s="182" t="s">
        <v>622</v>
      </c>
    </row>
    <row r="7" spans="1:9" ht="12.75">
      <c r="A7" s="202" t="s">
        <v>623</v>
      </c>
      <c r="B7" s="203" t="s">
        <v>624</v>
      </c>
      <c r="C7" s="203" t="s">
        <v>625</v>
      </c>
      <c r="D7" s="183" t="s">
        <v>632</v>
      </c>
      <c r="E7" s="203" t="s">
        <v>627</v>
      </c>
      <c r="F7" s="202" t="s">
        <v>628</v>
      </c>
      <c r="G7" s="183" t="s">
        <v>629</v>
      </c>
      <c r="H7" s="183" t="s">
        <v>630</v>
      </c>
      <c r="I7" s="183" t="s">
        <v>631</v>
      </c>
    </row>
    <row r="8" spans="1:9" ht="12.75">
      <c r="A8" s="204"/>
      <c r="B8" s="205"/>
      <c r="C8" s="205"/>
      <c r="D8" s="184"/>
      <c r="E8" s="205" t="s">
        <v>633</v>
      </c>
      <c r="F8" s="204"/>
      <c r="G8" s="184" t="s">
        <v>634</v>
      </c>
      <c r="H8" s="184"/>
      <c r="I8" s="184" t="s">
        <v>624</v>
      </c>
    </row>
    <row r="9" spans="1:9" ht="12.75">
      <c r="A9" s="185"/>
      <c r="B9" s="185"/>
      <c r="C9" s="185"/>
      <c r="D9" s="185"/>
      <c r="E9" s="185"/>
      <c r="F9" s="185"/>
      <c r="G9" s="185"/>
      <c r="H9" s="185"/>
      <c r="I9" s="185"/>
    </row>
    <row r="10" spans="1:9" ht="12.75">
      <c r="A10" s="186" t="s">
        <v>984</v>
      </c>
      <c r="B10" s="186" t="s">
        <v>985</v>
      </c>
      <c r="C10" s="186" t="s">
        <v>986</v>
      </c>
      <c r="D10" s="186" t="s">
        <v>987</v>
      </c>
      <c r="E10" s="192">
        <v>12</v>
      </c>
      <c r="F10" s="187" t="s">
        <v>988</v>
      </c>
      <c r="G10" s="186" t="s">
        <v>989</v>
      </c>
      <c r="H10" s="206" t="s">
        <v>692</v>
      </c>
      <c r="I10" s="187" t="s">
        <v>642</v>
      </c>
    </row>
    <row r="11" spans="1:9" ht="12.75">
      <c r="A11" s="186" t="s">
        <v>990</v>
      </c>
      <c r="B11" s="186" t="s">
        <v>644</v>
      </c>
      <c r="C11" s="186" t="s">
        <v>899</v>
      </c>
      <c r="D11" s="186" t="s">
        <v>991</v>
      </c>
      <c r="E11" s="186" t="s">
        <v>657</v>
      </c>
      <c r="F11" s="186"/>
      <c r="G11" s="186" t="s">
        <v>992</v>
      </c>
      <c r="H11" s="186"/>
      <c r="I11" s="186" t="s">
        <v>753</v>
      </c>
    </row>
    <row r="12" spans="1:9" ht="12.75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 ht="12.75">
      <c r="A13" s="185"/>
      <c r="B13" s="185"/>
      <c r="C13" s="185" t="s">
        <v>993</v>
      </c>
      <c r="D13" s="185"/>
      <c r="E13" s="185"/>
      <c r="F13" s="185"/>
      <c r="G13" s="207"/>
      <c r="H13" s="185"/>
      <c r="I13" s="185"/>
    </row>
    <row r="14" spans="1:9" ht="12.75">
      <c r="A14" s="186" t="s">
        <v>994</v>
      </c>
      <c r="B14" s="187" t="s">
        <v>995</v>
      </c>
      <c r="C14" s="170" t="s">
        <v>996</v>
      </c>
      <c r="D14" s="186" t="s">
        <v>997</v>
      </c>
      <c r="E14" s="186">
        <v>10</v>
      </c>
      <c r="F14" s="186" t="s">
        <v>998</v>
      </c>
      <c r="G14" s="187" t="s">
        <v>999</v>
      </c>
      <c r="H14" s="187" t="s">
        <v>1000</v>
      </c>
      <c r="I14" s="186" t="s">
        <v>1001</v>
      </c>
    </row>
    <row r="15" spans="1:9" ht="12.75">
      <c r="A15" s="186" t="s">
        <v>824</v>
      </c>
      <c r="B15" s="186" t="s">
        <v>940</v>
      </c>
      <c r="C15" s="186" t="s">
        <v>1002</v>
      </c>
      <c r="D15" s="186" t="s">
        <v>1003</v>
      </c>
      <c r="E15" s="186" t="s">
        <v>647</v>
      </c>
      <c r="F15" s="186" t="s">
        <v>1004</v>
      </c>
      <c r="G15" s="187" t="s">
        <v>1005</v>
      </c>
      <c r="H15" s="186" t="s">
        <v>1006</v>
      </c>
      <c r="I15" s="187" t="s">
        <v>1007</v>
      </c>
    </row>
    <row r="16" spans="1:9" ht="12.75">
      <c r="A16" s="188"/>
      <c r="B16" s="188"/>
      <c r="C16" s="186" t="s">
        <v>749</v>
      </c>
      <c r="D16" s="188" t="s">
        <v>1008</v>
      </c>
      <c r="E16" s="188"/>
      <c r="F16" s="188" t="s">
        <v>670</v>
      </c>
      <c r="G16" s="208"/>
      <c r="H16" s="188"/>
      <c r="I16" s="188"/>
    </row>
    <row r="17" spans="1:9" ht="12.75">
      <c r="A17" s="185"/>
      <c r="B17" s="185"/>
      <c r="C17" s="185" t="s">
        <v>1009</v>
      </c>
      <c r="D17" s="185"/>
      <c r="E17" s="185"/>
      <c r="F17" s="185"/>
      <c r="G17" s="207"/>
      <c r="H17" s="185"/>
      <c r="I17" s="185"/>
    </row>
    <row r="18" spans="1:9" ht="12.75">
      <c r="A18" s="186" t="s">
        <v>1010</v>
      </c>
      <c r="B18" s="187" t="s">
        <v>764</v>
      </c>
      <c r="C18" s="170" t="s">
        <v>1011</v>
      </c>
      <c r="D18" s="186" t="s">
        <v>1009</v>
      </c>
      <c r="E18" s="186">
        <v>1.29</v>
      </c>
      <c r="F18" s="170" t="s">
        <v>1012</v>
      </c>
      <c r="G18" s="187" t="s">
        <v>1013</v>
      </c>
      <c r="H18" s="187" t="s">
        <v>1014</v>
      </c>
      <c r="I18" s="186" t="s">
        <v>1001</v>
      </c>
    </row>
    <row r="19" spans="1:9" ht="12.75">
      <c r="A19" s="186"/>
      <c r="B19" s="186" t="s">
        <v>722</v>
      </c>
      <c r="C19" s="186" t="s">
        <v>749</v>
      </c>
      <c r="D19" s="186" t="s">
        <v>783</v>
      </c>
      <c r="E19" s="186" t="s">
        <v>657</v>
      </c>
      <c r="F19" s="186" t="s">
        <v>1015</v>
      </c>
      <c r="G19" s="187" t="s">
        <v>923</v>
      </c>
      <c r="H19" s="186" t="s">
        <v>1006</v>
      </c>
      <c r="I19" s="187" t="s">
        <v>1016</v>
      </c>
    </row>
    <row r="20" spans="1:9" ht="12.75">
      <c r="A20" s="188"/>
      <c r="B20" s="188"/>
      <c r="C20" s="186"/>
      <c r="D20" s="188"/>
      <c r="E20" s="188"/>
      <c r="F20" s="188"/>
      <c r="G20" s="208"/>
      <c r="H20" s="188"/>
      <c r="I20" s="188"/>
    </row>
    <row r="21" spans="1:9" ht="12.75">
      <c r="A21" s="185"/>
      <c r="B21" s="185"/>
      <c r="C21" s="185"/>
      <c r="D21" s="185"/>
      <c r="E21" s="185"/>
      <c r="F21" s="185"/>
      <c r="G21" s="185"/>
      <c r="H21" s="185"/>
      <c r="I21" s="185"/>
    </row>
    <row r="22" spans="1:9" ht="12.75">
      <c r="A22" s="186" t="s">
        <v>1017</v>
      </c>
      <c r="B22" s="186" t="s">
        <v>1018</v>
      </c>
      <c r="C22" s="186" t="s">
        <v>1019</v>
      </c>
      <c r="D22" s="186" t="s">
        <v>1020</v>
      </c>
      <c r="E22" s="192">
        <v>0.4</v>
      </c>
      <c r="F22" s="186" t="s">
        <v>1021</v>
      </c>
      <c r="G22" s="186" t="s">
        <v>989</v>
      </c>
      <c r="H22" s="187" t="s">
        <v>692</v>
      </c>
      <c r="I22" s="186" t="s">
        <v>1001</v>
      </c>
    </row>
    <row r="23" spans="1:9" ht="12.75">
      <c r="A23" s="186"/>
      <c r="B23" s="186" t="s">
        <v>694</v>
      </c>
      <c r="C23" s="186" t="s">
        <v>941</v>
      </c>
      <c r="D23" s="186" t="s">
        <v>1022</v>
      </c>
      <c r="E23" s="186" t="s">
        <v>1023</v>
      </c>
      <c r="F23" s="186"/>
      <c r="G23" s="186" t="s">
        <v>992</v>
      </c>
      <c r="H23" s="186"/>
      <c r="I23" s="186" t="s">
        <v>1024</v>
      </c>
    </row>
    <row r="24" spans="1:9" ht="12.75">
      <c r="A24" s="188"/>
      <c r="B24" s="188"/>
      <c r="C24" s="188" t="s">
        <v>724</v>
      </c>
      <c r="D24" s="188" t="s">
        <v>1025</v>
      </c>
      <c r="E24" s="188"/>
      <c r="F24" s="188"/>
      <c r="G24" s="188"/>
      <c r="H24" s="188"/>
      <c r="I24" s="188"/>
    </row>
    <row r="25" spans="1:9" ht="12.75">
      <c r="A25" s="186"/>
      <c r="B25" s="186"/>
      <c r="C25" s="186"/>
      <c r="D25" s="186"/>
      <c r="E25" s="186"/>
      <c r="F25" s="186"/>
      <c r="G25" s="186"/>
      <c r="H25" s="186"/>
      <c r="I25" s="186"/>
    </row>
    <row r="26" spans="1:9" ht="12.75">
      <c r="A26" s="186" t="s">
        <v>1026</v>
      </c>
      <c r="B26" s="186" t="s">
        <v>755</v>
      </c>
      <c r="C26" s="186" t="s">
        <v>662</v>
      </c>
      <c r="D26" s="186" t="s">
        <v>1027</v>
      </c>
      <c r="E26" s="192">
        <v>5.52</v>
      </c>
      <c r="F26" s="187" t="s">
        <v>1028</v>
      </c>
      <c r="G26" s="187" t="s">
        <v>1013</v>
      </c>
      <c r="H26" s="206">
        <v>3</v>
      </c>
      <c r="I26" s="187" t="s">
        <v>666</v>
      </c>
    </row>
    <row r="27" spans="1:9" ht="12.75">
      <c r="A27" s="186" t="s">
        <v>1029</v>
      </c>
      <c r="B27" s="186" t="s">
        <v>760</v>
      </c>
      <c r="C27" s="186" t="s">
        <v>899</v>
      </c>
      <c r="D27" s="186"/>
      <c r="E27" s="186" t="s">
        <v>657</v>
      </c>
      <c r="F27" s="186"/>
      <c r="G27" s="187" t="s">
        <v>1016</v>
      </c>
      <c r="H27" s="186" t="s">
        <v>1006</v>
      </c>
      <c r="I27" s="187" t="s">
        <v>1013</v>
      </c>
    </row>
    <row r="28" spans="1:9" ht="12.75">
      <c r="A28" s="188" t="s">
        <v>1030</v>
      </c>
      <c r="B28" s="188"/>
      <c r="C28" s="188"/>
      <c r="D28" s="188"/>
      <c r="E28" s="188"/>
      <c r="F28" s="188"/>
      <c r="G28" s="188"/>
      <c r="H28" s="188"/>
      <c r="I28" s="188"/>
    </row>
    <row r="29" spans="1:9" ht="12.75">
      <c r="A29" s="185"/>
      <c r="B29" s="185"/>
      <c r="C29" s="185"/>
      <c r="D29" s="185"/>
      <c r="E29" s="185"/>
      <c r="F29" s="185"/>
      <c r="G29" s="185" t="s">
        <v>989</v>
      </c>
      <c r="H29" s="185"/>
      <c r="I29" s="185"/>
    </row>
    <row r="30" spans="1:9" ht="12.75">
      <c r="A30" s="186" t="s">
        <v>714</v>
      </c>
      <c r="B30" s="186" t="s">
        <v>710</v>
      </c>
      <c r="C30" s="186" t="s">
        <v>662</v>
      </c>
      <c r="D30" s="186" t="s">
        <v>1027</v>
      </c>
      <c r="E30" s="192">
        <v>6.137441</v>
      </c>
      <c r="F30" s="187" t="s">
        <v>1031</v>
      </c>
      <c r="G30" s="186" t="s">
        <v>992</v>
      </c>
      <c r="H30" s="187" t="s">
        <v>1032</v>
      </c>
      <c r="I30" s="187" t="s">
        <v>666</v>
      </c>
    </row>
    <row r="31" spans="1:9" ht="12.75">
      <c r="A31" s="186" t="s">
        <v>1033</v>
      </c>
      <c r="B31" s="186" t="s">
        <v>644</v>
      </c>
      <c r="C31" s="186" t="s">
        <v>899</v>
      </c>
      <c r="D31" s="186"/>
      <c r="E31" s="186" t="s">
        <v>669</v>
      </c>
      <c r="F31" s="186" t="s">
        <v>670</v>
      </c>
      <c r="G31" s="186" t="s">
        <v>665</v>
      </c>
      <c r="H31" s="186" t="s">
        <v>1034</v>
      </c>
      <c r="I31" s="187" t="s">
        <v>1005</v>
      </c>
    </row>
    <row r="32" spans="1:9" ht="12.75">
      <c r="A32" s="188"/>
      <c r="B32" s="188"/>
      <c r="C32" s="188"/>
      <c r="D32" s="188"/>
      <c r="E32" s="188"/>
      <c r="F32" s="188"/>
      <c r="G32" s="188" t="s">
        <v>671</v>
      </c>
      <c r="H32" s="188"/>
      <c r="I32" s="188"/>
    </row>
    <row r="33" spans="1:9" ht="12.75">
      <c r="A33" s="186"/>
      <c r="B33" s="186"/>
      <c r="C33" s="186"/>
      <c r="D33" s="186"/>
      <c r="E33" s="186"/>
      <c r="F33" s="186"/>
      <c r="G33" s="186"/>
      <c r="H33" s="186"/>
      <c r="I33" s="186"/>
    </row>
    <row r="34" spans="1:9" ht="12.75">
      <c r="A34" s="186" t="s">
        <v>1035</v>
      </c>
      <c r="B34" s="186" t="s">
        <v>1036</v>
      </c>
      <c r="C34" s="186" t="s">
        <v>1037</v>
      </c>
      <c r="D34" s="186" t="s">
        <v>1038</v>
      </c>
      <c r="E34" s="192">
        <v>3.4732</v>
      </c>
      <c r="F34" s="187" t="s">
        <v>1039</v>
      </c>
      <c r="G34" s="187" t="s">
        <v>1040</v>
      </c>
      <c r="H34" s="187" t="s">
        <v>692</v>
      </c>
      <c r="I34" s="206" t="s">
        <v>728</v>
      </c>
    </row>
    <row r="35" spans="1:9" ht="12.75">
      <c r="A35" s="186"/>
      <c r="B35" s="186" t="s">
        <v>1041</v>
      </c>
      <c r="C35" s="186" t="s">
        <v>1042</v>
      </c>
      <c r="D35" s="186" t="s">
        <v>991</v>
      </c>
      <c r="E35" s="186" t="s">
        <v>657</v>
      </c>
      <c r="F35" s="186"/>
      <c r="G35" s="187" t="s">
        <v>1043</v>
      </c>
      <c r="H35" s="186"/>
      <c r="I35" s="186" t="s">
        <v>1024</v>
      </c>
    </row>
    <row r="36" spans="1:9" ht="12.75">
      <c r="A36" s="188"/>
      <c r="B36" s="188"/>
      <c r="C36" s="188" t="s">
        <v>1044</v>
      </c>
      <c r="D36" s="188"/>
      <c r="E36" s="188"/>
      <c r="F36" s="188"/>
      <c r="G36" s="188"/>
      <c r="H36" s="188"/>
      <c r="I36" s="188"/>
    </row>
    <row r="37" spans="1:9" ht="12.75">
      <c r="A37" s="185"/>
      <c r="B37" s="185"/>
      <c r="C37" s="185"/>
      <c r="D37" s="185"/>
      <c r="E37" s="185"/>
      <c r="F37" s="185"/>
      <c r="G37" s="207"/>
      <c r="H37" s="185"/>
      <c r="I37" s="185"/>
    </row>
    <row r="38" spans="1:9" ht="12.75">
      <c r="A38" s="186" t="s">
        <v>1045</v>
      </c>
      <c r="B38" s="187" t="s">
        <v>1046</v>
      </c>
      <c r="C38" s="187" t="s">
        <v>1047</v>
      </c>
      <c r="D38" s="186" t="s">
        <v>1048</v>
      </c>
      <c r="E38" s="186">
        <v>6</v>
      </c>
      <c r="F38" s="209">
        <v>0.078</v>
      </c>
      <c r="G38" s="187" t="s">
        <v>685</v>
      </c>
      <c r="H38" s="187" t="s">
        <v>1032</v>
      </c>
      <c r="I38" s="186" t="s">
        <v>728</v>
      </c>
    </row>
    <row r="39" spans="1:9" ht="12.75">
      <c r="A39" s="186" t="s">
        <v>1049</v>
      </c>
      <c r="B39" s="186" t="s">
        <v>722</v>
      </c>
      <c r="C39" s="186" t="s">
        <v>749</v>
      </c>
      <c r="D39" s="186" t="s">
        <v>783</v>
      </c>
      <c r="E39" s="186" t="s">
        <v>657</v>
      </c>
      <c r="F39" s="186"/>
      <c r="G39" s="187" t="s">
        <v>1050</v>
      </c>
      <c r="H39" s="186" t="s">
        <v>1006</v>
      </c>
      <c r="I39" s="187" t="s">
        <v>1050</v>
      </c>
    </row>
    <row r="40" spans="1:9" ht="12.75">
      <c r="A40" s="188"/>
      <c r="B40" s="188"/>
      <c r="C40" s="188"/>
      <c r="D40" s="188"/>
      <c r="E40" s="188"/>
      <c r="F40" s="188"/>
      <c r="G40" s="208"/>
      <c r="H40" s="188"/>
      <c r="I40" s="188"/>
    </row>
    <row r="41" spans="1:9" ht="12.75">
      <c r="A41" s="185"/>
      <c r="B41" s="185"/>
      <c r="C41" s="185"/>
      <c r="D41" s="185"/>
      <c r="E41" s="185"/>
      <c r="F41" s="185"/>
      <c r="G41" s="185"/>
      <c r="H41" s="185"/>
      <c r="I41" s="185"/>
    </row>
    <row r="42" spans="1:9" ht="12.75">
      <c r="A42" s="186" t="s">
        <v>1051</v>
      </c>
      <c r="B42" s="186" t="s">
        <v>1052</v>
      </c>
      <c r="C42" s="186" t="s">
        <v>1053</v>
      </c>
      <c r="D42" s="186" t="s">
        <v>757</v>
      </c>
      <c r="E42" s="192">
        <v>1.74</v>
      </c>
      <c r="F42" s="187" t="s">
        <v>1054</v>
      </c>
      <c r="G42" s="186" t="s">
        <v>919</v>
      </c>
      <c r="H42" s="187" t="s">
        <v>692</v>
      </c>
      <c r="I42" s="187" t="s">
        <v>759</v>
      </c>
    </row>
    <row r="43" spans="1:9" ht="12.75">
      <c r="A43" s="186" t="s">
        <v>1055</v>
      </c>
      <c r="B43" s="186" t="s">
        <v>760</v>
      </c>
      <c r="C43" s="186" t="s">
        <v>1056</v>
      </c>
      <c r="D43" s="186" t="s">
        <v>1057</v>
      </c>
      <c r="E43" s="186" t="s">
        <v>647</v>
      </c>
      <c r="F43" s="186"/>
      <c r="G43" s="186" t="s">
        <v>885</v>
      </c>
      <c r="H43" s="186"/>
      <c r="I43" s="186" t="s">
        <v>885</v>
      </c>
    </row>
    <row r="44" spans="1:172" ht="12.75">
      <c r="A44" s="188" t="s">
        <v>1058</v>
      </c>
      <c r="B44" s="188"/>
      <c r="C44" s="188"/>
      <c r="D44" s="188"/>
      <c r="E44" s="188"/>
      <c r="F44" s="188"/>
      <c r="G44" s="188"/>
      <c r="H44" s="188"/>
      <c r="I44" s="188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</row>
    <row r="45" spans="1:172" ht="12.75">
      <c r="A45" s="186"/>
      <c r="B45" s="186"/>
      <c r="C45" s="186"/>
      <c r="D45" s="186"/>
      <c r="E45" s="186"/>
      <c r="F45" s="186"/>
      <c r="G45" s="186"/>
      <c r="H45" s="186"/>
      <c r="I45" s="186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</row>
    <row r="46" spans="1:172" ht="12.75">
      <c r="A46" s="186" t="s">
        <v>1059</v>
      </c>
      <c r="B46" s="186" t="s">
        <v>1024</v>
      </c>
      <c r="C46" s="186" t="s">
        <v>1060</v>
      </c>
      <c r="D46" s="186" t="s">
        <v>757</v>
      </c>
      <c r="E46" s="186">
        <v>5</v>
      </c>
      <c r="F46" s="187" t="s">
        <v>998</v>
      </c>
      <c r="G46" s="186" t="s">
        <v>1061</v>
      </c>
      <c r="H46" s="187" t="s">
        <v>692</v>
      </c>
      <c r="I46" s="186" t="s">
        <v>789</v>
      </c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</row>
    <row r="47" spans="1:172" ht="12.75">
      <c r="A47" s="186" t="s">
        <v>824</v>
      </c>
      <c r="B47" s="186" t="s">
        <v>667</v>
      </c>
      <c r="C47" s="186" t="s">
        <v>724</v>
      </c>
      <c r="D47" s="186" t="s">
        <v>1057</v>
      </c>
      <c r="E47" s="186" t="s">
        <v>647</v>
      </c>
      <c r="F47" s="186" t="s">
        <v>1062</v>
      </c>
      <c r="G47" s="186" t="s">
        <v>793</v>
      </c>
      <c r="H47" s="186"/>
      <c r="I47" s="186" t="s">
        <v>1061</v>
      </c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</row>
    <row r="48" spans="1:172" s="210" customFormat="1" ht="12.75">
      <c r="A48" s="188"/>
      <c r="B48" s="188"/>
      <c r="C48" s="188"/>
      <c r="D48" s="188"/>
      <c r="E48" s="188"/>
      <c r="F48" s="188"/>
      <c r="G48" s="188"/>
      <c r="H48" s="188"/>
      <c r="I48" s="18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</row>
    <row r="49" spans="1:172" ht="12.75">
      <c r="A49" s="185"/>
      <c r="B49" s="185"/>
      <c r="C49" s="185"/>
      <c r="D49" s="185"/>
      <c r="E49" s="185"/>
      <c r="F49" s="185"/>
      <c r="G49" s="185" t="s">
        <v>1040</v>
      </c>
      <c r="H49" s="185"/>
      <c r="I49" s="185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</row>
    <row r="50" spans="1:172" ht="12.75">
      <c r="A50" s="186" t="s">
        <v>1010</v>
      </c>
      <c r="B50" s="187" t="s">
        <v>1063</v>
      </c>
      <c r="C50" s="186" t="s">
        <v>1064</v>
      </c>
      <c r="D50" s="186" t="s">
        <v>1065</v>
      </c>
      <c r="E50" s="186">
        <v>2.45</v>
      </c>
      <c r="F50" s="170" t="s">
        <v>1066</v>
      </c>
      <c r="G50" s="186" t="s">
        <v>1067</v>
      </c>
      <c r="H50" s="187" t="s">
        <v>692</v>
      </c>
      <c r="I50" s="186" t="s">
        <v>789</v>
      </c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</row>
    <row r="51" spans="1:172" ht="12.75">
      <c r="A51" s="186"/>
      <c r="B51" s="186" t="s">
        <v>694</v>
      </c>
      <c r="C51" s="186" t="s">
        <v>1068</v>
      </c>
      <c r="D51" s="186" t="s">
        <v>1069</v>
      </c>
      <c r="E51" s="186" t="s">
        <v>657</v>
      </c>
      <c r="F51" s="186" t="s">
        <v>1070</v>
      </c>
      <c r="G51" s="186" t="s">
        <v>1043</v>
      </c>
      <c r="H51" s="186"/>
      <c r="I51" s="186" t="s">
        <v>740</v>
      </c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</row>
    <row r="52" spans="1:172" ht="12.75">
      <c r="A52" s="188"/>
      <c r="B52" s="188"/>
      <c r="C52" s="188"/>
      <c r="D52" s="188"/>
      <c r="E52" s="188"/>
      <c r="F52" s="188"/>
      <c r="G52" s="188" t="s">
        <v>1071</v>
      </c>
      <c r="H52" s="188"/>
      <c r="I52" s="188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</row>
    <row r="53" spans="1:172" ht="12.75">
      <c r="A53" s="186"/>
      <c r="B53" s="211"/>
      <c r="C53" s="211"/>
      <c r="D53" s="212"/>
      <c r="E53" s="211"/>
      <c r="F53" s="186"/>
      <c r="G53" s="212"/>
      <c r="H53" s="212"/>
      <c r="I53" s="212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</row>
    <row r="54" spans="1:172" ht="12.75">
      <c r="A54" s="186" t="s">
        <v>1072</v>
      </c>
      <c r="B54" s="211" t="s">
        <v>1073</v>
      </c>
      <c r="C54" s="211" t="s">
        <v>1074</v>
      </c>
      <c r="D54" s="212" t="s">
        <v>1075</v>
      </c>
      <c r="E54" s="192">
        <v>10.45</v>
      </c>
      <c r="F54" s="170" t="s">
        <v>1076</v>
      </c>
      <c r="G54" s="212" t="s">
        <v>736</v>
      </c>
      <c r="H54" s="206">
        <v>2</v>
      </c>
      <c r="I54" s="187" t="s">
        <v>799</v>
      </c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</row>
    <row r="55" spans="1:172" ht="12.75">
      <c r="A55" s="186" t="s">
        <v>807</v>
      </c>
      <c r="B55" s="211" t="s">
        <v>706</v>
      </c>
      <c r="C55" s="211" t="s">
        <v>749</v>
      </c>
      <c r="D55" s="212" t="s">
        <v>1077</v>
      </c>
      <c r="E55" s="211" t="s">
        <v>657</v>
      </c>
      <c r="F55" s="187" t="s">
        <v>1078</v>
      </c>
      <c r="G55" s="212" t="s">
        <v>740</v>
      </c>
      <c r="H55" s="186" t="s">
        <v>1006</v>
      </c>
      <c r="I55" s="212" t="s">
        <v>736</v>
      </c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</row>
    <row r="56" spans="1:9" ht="12.75">
      <c r="A56" s="188"/>
      <c r="B56" s="188"/>
      <c r="C56" s="188"/>
      <c r="D56" s="188" t="s">
        <v>1079</v>
      </c>
      <c r="E56" s="188"/>
      <c r="F56" s="188"/>
      <c r="G56" s="188"/>
      <c r="H56" s="188"/>
      <c r="I56" s="188"/>
    </row>
    <row r="57" spans="1:172" ht="12.75">
      <c r="A57" s="185"/>
      <c r="B57" s="185"/>
      <c r="C57" s="185"/>
      <c r="D57" s="185"/>
      <c r="E57" s="185"/>
      <c r="F57" s="185"/>
      <c r="G57" s="207" t="s">
        <v>1080</v>
      </c>
      <c r="H57" s="185"/>
      <c r="I57" s="185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</row>
    <row r="58" spans="1:172" ht="12.75">
      <c r="A58" s="186" t="s">
        <v>1010</v>
      </c>
      <c r="B58" s="187" t="s">
        <v>1081</v>
      </c>
      <c r="C58" s="186" t="s">
        <v>1064</v>
      </c>
      <c r="D58" s="186" t="s">
        <v>1082</v>
      </c>
      <c r="E58" s="186">
        <v>1.27</v>
      </c>
      <c r="F58" s="170" t="s">
        <v>1083</v>
      </c>
      <c r="G58" s="187" t="s">
        <v>1084</v>
      </c>
      <c r="H58" s="187" t="s">
        <v>692</v>
      </c>
      <c r="I58" s="186" t="s">
        <v>799</v>
      </c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</row>
    <row r="59" spans="1:172" ht="12.75">
      <c r="A59" s="186"/>
      <c r="B59" s="186" t="s">
        <v>681</v>
      </c>
      <c r="C59" s="186" t="s">
        <v>1068</v>
      </c>
      <c r="D59" s="186" t="s">
        <v>1085</v>
      </c>
      <c r="E59" s="186" t="s">
        <v>657</v>
      </c>
      <c r="F59" s="186" t="s">
        <v>1086</v>
      </c>
      <c r="G59" s="187" t="s">
        <v>1087</v>
      </c>
      <c r="H59" s="186"/>
      <c r="I59" s="187" t="s">
        <v>1052</v>
      </c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</row>
    <row r="60" spans="1:172" ht="12.75">
      <c r="A60" s="188"/>
      <c r="B60" s="188"/>
      <c r="C60" s="188"/>
      <c r="D60" s="188"/>
      <c r="E60" s="188"/>
      <c r="F60" s="188"/>
      <c r="G60" s="208" t="s">
        <v>1088</v>
      </c>
      <c r="H60" s="188"/>
      <c r="I60" s="188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</row>
    <row r="61" spans="1:172" ht="12.75">
      <c r="A61" s="185"/>
      <c r="B61" s="185"/>
      <c r="C61" s="185"/>
      <c r="D61" s="185"/>
      <c r="E61" s="185"/>
      <c r="F61" s="185"/>
      <c r="G61" s="207"/>
      <c r="H61" s="185"/>
      <c r="I61" s="185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</row>
    <row r="62" spans="1:172" ht="12.75">
      <c r="A62" s="186" t="s">
        <v>1089</v>
      </c>
      <c r="B62" s="187" t="s">
        <v>1090</v>
      </c>
      <c r="C62" s="186" t="s">
        <v>1091</v>
      </c>
      <c r="D62" s="186" t="s">
        <v>1020</v>
      </c>
      <c r="E62" s="186">
        <v>9.7</v>
      </c>
      <c r="F62" s="170" t="s">
        <v>1083</v>
      </c>
      <c r="G62" s="187" t="s">
        <v>819</v>
      </c>
      <c r="H62" s="187" t="s">
        <v>1032</v>
      </c>
      <c r="I62" s="186" t="s">
        <v>799</v>
      </c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</row>
    <row r="63" spans="1:172" ht="12.75">
      <c r="A63" s="186"/>
      <c r="B63" s="186" t="s">
        <v>681</v>
      </c>
      <c r="C63" s="186" t="s">
        <v>1092</v>
      </c>
      <c r="D63" s="186" t="s">
        <v>1022</v>
      </c>
      <c r="E63" s="186" t="s">
        <v>657</v>
      </c>
      <c r="F63" s="186" t="s">
        <v>1093</v>
      </c>
      <c r="G63" s="187" t="s">
        <v>1005</v>
      </c>
      <c r="H63" s="186" t="s">
        <v>1006</v>
      </c>
      <c r="I63" s="187" t="s">
        <v>1005</v>
      </c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</row>
    <row r="64" spans="1:172" ht="12.75">
      <c r="A64" s="188"/>
      <c r="B64" s="188"/>
      <c r="C64" s="186" t="s">
        <v>1094</v>
      </c>
      <c r="D64" s="188" t="s">
        <v>1025</v>
      </c>
      <c r="E64" s="188"/>
      <c r="F64" s="188"/>
      <c r="G64" s="208"/>
      <c r="H64" s="188"/>
      <c r="I64" s="188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</row>
    <row r="65" spans="1:9" ht="12.75">
      <c r="A65" s="185"/>
      <c r="B65" s="185"/>
      <c r="C65" s="185"/>
      <c r="D65" s="185"/>
      <c r="E65" s="185"/>
      <c r="F65" s="185"/>
      <c r="G65" s="207"/>
      <c r="H65" s="185"/>
      <c r="I65" s="185"/>
    </row>
    <row r="66" spans="1:9" ht="12.75">
      <c r="A66" s="186" t="s">
        <v>1095</v>
      </c>
      <c r="B66" s="187" t="s">
        <v>1096</v>
      </c>
      <c r="C66" s="186" t="s">
        <v>1047</v>
      </c>
      <c r="D66" s="186" t="s">
        <v>1048</v>
      </c>
      <c r="E66" s="186">
        <v>5</v>
      </c>
      <c r="F66" s="186" t="s">
        <v>1097</v>
      </c>
      <c r="G66" s="187" t="s">
        <v>1098</v>
      </c>
      <c r="H66" s="187" t="s">
        <v>1014</v>
      </c>
      <c r="I66" s="186" t="s">
        <v>799</v>
      </c>
    </row>
    <row r="67" spans="1:9" ht="12.75">
      <c r="A67" s="186" t="s">
        <v>1099</v>
      </c>
      <c r="B67" s="186" t="s">
        <v>940</v>
      </c>
      <c r="C67" s="186" t="s">
        <v>749</v>
      </c>
      <c r="D67" s="186" t="s">
        <v>783</v>
      </c>
      <c r="E67" s="186" t="s">
        <v>657</v>
      </c>
      <c r="F67" s="186" t="s">
        <v>1078</v>
      </c>
      <c r="G67" s="187" t="s">
        <v>1100</v>
      </c>
      <c r="H67" s="186" t="s">
        <v>1006</v>
      </c>
      <c r="I67" s="187" t="s">
        <v>1090</v>
      </c>
    </row>
    <row r="68" spans="1:9" ht="12.75">
      <c r="A68" s="188"/>
      <c r="B68" s="188"/>
      <c r="C68" s="188"/>
      <c r="D68" s="188"/>
      <c r="E68" s="188"/>
      <c r="F68" s="188"/>
      <c r="G68" s="208" t="s">
        <v>1101</v>
      </c>
      <c r="H68" s="188"/>
      <c r="I68" s="188"/>
    </row>
    <row r="69" spans="1:172" ht="12.75">
      <c r="A69" s="185"/>
      <c r="B69" s="185"/>
      <c r="C69" s="185" t="s">
        <v>1102</v>
      </c>
      <c r="D69" s="185"/>
      <c r="E69" s="185"/>
      <c r="F69" s="185"/>
      <c r="G69" s="207" t="s">
        <v>678</v>
      </c>
      <c r="H69" s="185"/>
      <c r="I69" s="185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</row>
    <row r="70" spans="1:172" ht="12.75">
      <c r="A70" s="186" t="s">
        <v>1089</v>
      </c>
      <c r="B70" s="187" t="s">
        <v>1088</v>
      </c>
      <c r="C70" s="186" t="s">
        <v>1103</v>
      </c>
      <c r="D70" s="186" t="s">
        <v>1104</v>
      </c>
      <c r="E70" s="186">
        <v>6.7</v>
      </c>
      <c r="F70" s="170" t="s">
        <v>1083</v>
      </c>
      <c r="G70" s="187" t="s">
        <v>796</v>
      </c>
      <c r="H70" s="187" t="s">
        <v>1032</v>
      </c>
      <c r="I70" s="186" t="s">
        <v>799</v>
      </c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</row>
    <row r="71" spans="1:172" ht="12.75">
      <c r="A71" s="186"/>
      <c r="B71" s="186" t="s">
        <v>681</v>
      </c>
      <c r="C71" s="186" t="s">
        <v>1105</v>
      </c>
      <c r="D71" s="186" t="s">
        <v>1106</v>
      </c>
      <c r="E71" s="186" t="s">
        <v>657</v>
      </c>
      <c r="F71" s="186" t="s">
        <v>1086</v>
      </c>
      <c r="G71" s="187" t="s">
        <v>685</v>
      </c>
      <c r="H71" s="186" t="s">
        <v>1006</v>
      </c>
      <c r="I71" s="187" t="s">
        <v>753</v>
      </c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</row>
    <row r="72" spans="1:172" ht="12.75">
      <c r="A72" s="188"/>
      <c r="B72" s="188"/>
      <c r="C72" s="188" t="s">
        <v>840</v>
      </c>
      <c r="D72" s="188"/>
      <c r="E72" s="188"/>
      <c r="F72" s="188"/>
      <c r="G72" s="208" t="s">
        <v>753</v>
      </c>
      <c r="H72" s="188"/>
      <c r="I72" s="188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</row>
    <row r="73" spans="1:172" ht="12.75">
      <c r="A73" s="185"/>
      <c r="B73" s="185"/>
      <c r="C73" s="185"/>
      <c r="D73" s="185"/>
      <c r="E73" s="185"/>
      <c r="F73" s="185"/>
      <c r="G73" s="185"/>
      <c r="H73" s="185"/>
      <c r="I73" s="185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</row>
    <row r="74" spans="1:9" ht="12.75">
      <c r="A74" s="186" t="s">
        <v>1072</v>
      </c>
      <c r="B74" s="186" t="s">
        <v>640</v>
      </c>
      <c r="C74" s="186" t="s">
        <v>662</v>
      </c>
      <c r="D74" s="186" t="s">
        <v>1027</v>
      </c>
      <c r="E74" s="192">
        <v>34.1</v>
      </c>
      <c r="F74" s="187" t="s">
        <v>1107</v>
      </c>
      <c r="G74" s="186" t="s">
        <v>830</v>
      </c>
      <c r="H74" s="206">
        <v>4</v>
      </c>
      <c r="I74" s="186" t="s">
        <v>806</v>
      </c>
    </row>
    <row r="75" spans="1:9" ht="12.75">
      <c r="A75" s="186" t="s">
        <v>807</v>
      </c>
      <c r="B75" s="186" t="s">
        <v>644</v>
      </c>
      <c r="C75" s="186" t="s">
        <v>899</v>
      </c>
      <c r="D75" s="186"/>
      <c r="E75" s="186" t="s">
        <v>657</v>
      </c>
      <c r="F75" s="186" t="s">
        <v>1108</v>
      </c>
      <c r="G75" s="186" t="s">
        <v>832</v>
      </c>
      <c r="H75" s="186" t="s">
        <v>1006</v>
      </c>
      <c r="I75" s="186" t="s">
        <v>832</v>
      </c>
    </row>
    <row r="76" spans="1:9" ht="12.75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 ht="12.75">
      <c r="A77" s="185"/>
      <c r="B77" s="185"/>
      <c r="C77" s="185"/>
      <c r="D77" s="185"/>
      <c r="E77" s="185"/>
      <c r="F77" s="185"/>
      <c r="G77" s="185"/>
      <c r="H77" s="185"/>
      <c r="I77" s="185"/>
    </row>
    <row r="78" spans="1:9" ht="12.75">
      <c r="A78" s="186" t="s">
        <v>687</v>
      </c>
      <c r="B78" s="186" t="s">
        <v>819</v>
      </c>
      <c r="C78" s="186" t="s">
        <v>662</v>
      </c>
      <c r="D78" s="186" t="s">
        <v>1027</v>
      </c>
      <c r="E78" s="192">
        <v>7.84</v>
      </c>
      <c r="F78" s="187" t="s">
        <v>1109</v>
      </c>
      <c r="G78" s="187" t="s">
        <v>1110</v>
      </c>
      <c r="H78" s="187" t="s">
        <v>1111</v>
      </c>
      <c r="I78" s="206" t="s">
        <v>1112</v>
      </c>
    </row>
    <row r="79" spans="1:9" ht="12.75">
      <c r="A79" s="186" t="s">
        <v>643</v>
      </c>
      <c r="B79" s="186" t="s">
        <v>694</v>
      </c>
      <c r="C79" s="186" t="s">
        <v>899</v>
      </c>
      <c r="D79" s="186"/>
      <c r="E79" s="186" t="s">
        <v>647</v>
      </c>
      <c r="F79" s="186"/>
      <c r="G79" s="187" t="s">
        <v>730</v>
      </c>
      <c r="H79" s="186" t="s">
        <v>1006</v>
      </c>
      <c r="I79" s="187" t="s">
        <v>730</v>
      </c>
    </row>
    <row r="80" spans="1:9" ht="12.75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 ht="12.75">
      <c r="A81" s="185"/>
      <c r="B81" s="185"/>
      <c r="C81" s="185"/>
      <c r="D81" s="185"/>
      <c r="E81" s="185"/>
      <c r="F81" s="185"/>
      <c r="G81" s="207"/>
      <c r="H81" s="185"/>
      <c r="I81" s="185"/>
    </row>
    <row r="82" spans="1:9" ht="12.75">
      <c r="A82" s="186" t="s">
        <v>1095</v>
      </c>
      <c r="B82" s="187" t="s">
        <v>1096</v>
      </c>
      <c r="C82" s="186" t="s">
        <v>1113</v>
      </c>
      <c r="D82" s="186" t="s">
        <v>1114</v>
      </c>
      <c r="E82" s="186">
        <v>1.75</v>
      </c>
      <c r="F82" s="186" t="s">
        <v>1115</v>
      </c>
      <c r="G82" s="187" t="s">
        <v>1116</v>
      </c>
      <c r="H82" s="187" t="s">
        <v>1117</v>
      </c>
      <c r="I82" s="186" t="s">
        <v>1112</v>
      </c>
    </row>
    <row r="83" spans="1:9" ht="12.75">
      <c r="A83" s="186" t="s">
        <v>1099</v>
      </c>
      <c r="B83" s="186" t="s">
        <v>940</v>
      </c>
      <c r="C83" s="186" t="s">
        <v>749</v>
      </c>
      <c r="D83" s="186" t="s">
        <v>1118</v>
      </c>
      <c r="E83" s="186" t="s">
        <v>657</v>
      </c>
      <c r="F83" s="186" t="s">
        <v>1078</v>
      </c>
      <c r="G83" s="187" t="s">
        <v>1100</v>
      </c>
      <c r="H83" s="186" t="s">
        <v>1034</v>
      </c>
      <c r="I83" s="187" t="s">
        <v>1119</v>
      </c>
    </row>
    <row r="84" spans="1:9" ht="12.75">
      <c r="A84" s="188"/>
      <c r="B84" s="188"/>
      <c r="C84" s="188" t="s">
        <v>1068</v>
      </c>
      <c r="D84" s="188" t="s">
        <v>783</v>
      </c>
      <c r="E84" s="188"/>
      <c r="F84" s="188"/>
      <c r="G84" s="208" t="s">
        <v>1120</v>
      </c>
      <c r="H84" s="188"/>
      <c r="I84" s="188"/>
    </row>
    <row r="85" spans="1:9" ht="12.75">
      <c r="A85" s="185"/>
      <c r="B85" s="185"/>
      <c r="C85" s="185"/>
      <c r="D85" s="185"/>
      <c r="E85" s="185"/>
      <c r="F85" s="185" t="s">
        <v>1121</v>
      </c>
      <c r="G85" s="207"/>
      <c r="H85" s="185"/>
      <c r="I85" s="185"/>
    </row>
    <row r="86" spans="1:9" ht="12.75">
      <c r="A86" s="186" t="s">
        <v>1122</v>
      </c>
      <c r="B86" s="187" t="s">
        <v>1123</v>
      </c>
      <c r="C86" s="186" t="s">
        <v>1124</v>
      </c>
      <c r="D86" s="186" t="s">
        <v>1125</v>
      </c>
      <c r="E86" s="186">
        <v>13</v>
      </c>
      <c r="F86" s="186" t="s">
        <v>1126</v>
      </c>
      <c r="G86" s="187" t="s">
        <v>815</v>
      </c>
      <c r="H86" s="187" t="s">
        <v>1127</v>
      </c>
      <c r="I86" s="186" t="s">
        <v>1112</v>
      </c>
    </row>
    <row r="87" spans="1:9" ht="12.75">
      <c r="A87" s="186" t="s">
        <v>1128</v>
      </c>
      <c r="B87" s="186" t="s">
        <v>940</v>
      </c>
      <c r="C87" s="186" t="s">
        <v>1129</v>
      </c>
      <c r="D87" s="186" t="s">
        <v>1130</v>
      </c>
      <c r="E87" s="186" t="s">
        <v>647</v>
      </c>
      <c r="F87" s="186" t="s">
        <v>1131</v>
      </c>
      <c r="G87" s="187" t="s">
        <v>819</v>
      </c>
      <c r="H87" s="186" t="s">
        <v>1006</v>
      </c>
      <c r="I87" s="187" t="s">
        <v>1123</v>
      </c>
    </row>
    <row r="88" spans="1:9" ht="12.75">
      <c r="A88" s="188"/>
      <c r="B88" s="188"/>
      <c r="C88" s="188" t="s">
        <v>1132</v>
      </c>
      <c r="D88" s="188"/>
      <c r="E88" s="188"/>
      <c r="F88" s="188" t="s">
        <v>1133</v>
      </c>
      <c r="G88" s="208"/>
      <c r="H88" s="188"/>
      <c r="I88" s="188"/>
    </row>
    <row r="89" spans="1:9" ht="12.75">
      <c r="A89" s="185"/>
      <c r="B89" s="185"/>
      <c r="C89" s="185" t="s">
        <v>1134</v>
      </c>
      <c r="D89" s="185"/>
      <c r="E89" s="185"/>
      <c r="F89" s="185"/>
      <c r="G89" s="207"/>
      <c r="H89" s="185"/>
      <c r="I89" s="185"/>
    </row>
    <row r="90" spans="1:9" ht="12.75">
      <c r="A90" s="186" t="s">
        <v>1010</v>
      </c>
      <c r="B90" s="187" t="s">
        <v>1096</v>
      </c>
      <c r="C90" s="186" t="s">
        <v>1135</v>
      </c>
      <c r="D90" s="186" t="s">
        <v>1136</v>
      </c>
      <c r="E90" s="186">
        <v>1.68</v>
      </c>
      <c r="F90" s="186" t="s">
        <v>1097</v>
      </c>
      <c r="G90" s="187" t="s">
        <v>1098</v>
      </c>
      <c r="H90" s="187" t="s">
        <v>1014</v>
      </c>
      <c r="I90" s="186" t="s">
        <v>1112</v>
      </c>
    </row>
    <row r="91" spans="1:9" ht="12.75">
      <c r="A91" s="186"/>
      <c r="B91" s="186" t="s">
        <v>940</v>
      </c>
      <c r="C91" s="186" t="s">
        <v>1137</v>
      </c>
      <c r="D91" s="186" t="s">
        <v>1138</v>
      </c>
      <c r="E91" s="186" t="s">
        <v>1023</v>
      </c>
      <c r="F91" s="186" t="s">
        <v>1139</v>
      </c>
      <c r="G91" s="187" t="s">
        <v>1100</v>
      </c>
      <c r="H91" s="186" t="s">
        <v>1006</v>
      </c>
      <c r="I91" s="187" t="s">
        <v>832</v>
      </c>
    </row>
    <row r="92" spans="1:9" ht="12.75">
      <c r="A92" s="188"/>
      <c r="B92" s="188"/>
      <c r="C92" s="188" t="s">
        <v>1140</v>
      </c>
      <c r="D92" s="188"/>
      <c r="E92" s="188"/>
      <c r="F92" s="188"/>
      <c r="G92" s="208" t="s">
        <v>1101</v>
      </c>
      <c r="H92" s="188"/>
      <c r="I92" s="188"/>
    </row>
    <row r="93" spans="1:9" ht="12.75">
      <c r="A93" s="185"/>
      <c r="B93" s="185"/>
      <c r="C93" s="185"/>
      <c r="D93" s="185"/>
      <c r="E93" s="185"/>
      <c r="F93" s="185"/>
      <c r="G93" s="185"/>
      <c r="H93" s="185"/>
      <c r="I93" s="185"/>
    </row>
    <row r="94" spans="1:9" ht="12.75">
      <c r="A94" s="186" t="s">
        <v>1072</v>
      </c>
      <c r="B94" s="186" t="s">
        <v>1141</v>
      </c>
      <c r="C94" s="186" t="s">
        <v>1142</v>
      </c>
      <c r="D94" s="186" t="s">
        <v>1102</v>
      </c>
      <c r="E94" s="192">
        <v>22.5</v>
      </c>
      <c r="F94" s="186" t="s">
        <v>1143</v>
      </c>
      <c r="G94" s="186" t="s">
        <v>1144</v>
      </c>
      <c r="H94" s="206">
        <v>5</v>
      </c>
      <c r="I94" s="186" t="s">
        <v>839</v>
      </c>
    </row>
    <row r="95" spans="1:9" ht="12.75">
      <c r="A95" s="186" t="s">
        <v>807</v>
      </c>
      <c r="B95" s="186" t="s">
        <v>644</v>
      </c>
      <c r="C95" s="186" t="s">
        <v>1145</v>
      </c>
      <c r="D95" s="186" t="s">
        <v>1146</v>
      </c>
      <c r="E95" s="186" t="s">
        <v>657</v>
      </c>
      <c r="F95" s="186"/>
      <c r="G95" s="186" t="s">
        <v>1147</v>
      </c>
      <c r="H95" s="186" t="s">
        <v>1006</v>
      </c>
      <c r="I95" s="186" t="s">
        <v>1147</v>
      </c>
    </row>
    <row r="96" spans="1:9" ht="12.75">
      <c r="A96" s="188"/>
      <c r="B96" s="188"/>
      <c r="C96" s="188"/>
      <c r="D96" s="188"/>
      <c r="E96" s="188"/>
      <c r="F96" s="188"/>
      <c r="G96" s="188"/>
      <c r="H96" s="188"/>
      <c r="I96" s="188"/>
    </row>
    <row r="97" spans="1:9" ht="12.75">
      <c r="A97" s="185"/>
      <c r="B97" s="185"/>
      <c r="C97" s="185"/>
      <c r="D97" s="185"/>
      <c r="E97" s="185"/>
      <c r="F97" s="185"/>
      <c r="G97" s="185"/>
      <c r="H97" s="185"/>
      <c r="I97" s="185"/>
    </row>
    <row r="98" spans="1:9" ht="12.75">
      <c r="A98" s="186" t="s">
        <v>994</v>
      </c>
      <c r="B98" s="186" t="s">
        <v>1148</v>
      </c>
      <c r="C98" s="186" t="s">
        <v>1019</v>
      </c>
      <c r="D98" s="186" t="s">
        <v>987</v>
      </c>
      <c r="E98" s="192">
        <v>23.5</v>
      </c>
      <c r="F98" s="187" t="s">
        <v>1107</v>
      </c>
      <c r="G98" s="186" t="s">
        <v>1149</v>
      </c>
      <c r="H98" s="187" t="s">
        <v>1111</v>
      </c>
      <c r="I98" s="187" t="s">
        <v>839</v>
      </c>
    </row>
    <row r="99" spans="1:9" ht="12.75">
      <c r="A99" s="186" t="s">
        <v>824</v>
      </c>
      <c r="B99" s="186" t="s">
        <v>694</v>
      </c>
      <c r="C99" s="186" t="s">
        <v>941</v>
      </c>
      <c r="D99" s="186" t="s">
        <v>991</v>
      </c>
      <c r="E99" s="186" t="s">
        <v>657</v>
      </c>
      <c r="F99" s="186"/>
      <c r="G99" s="186" t="s">
        <v>1150</v>
      </c>
      <c r="H99" s="186" t="s">
        <v>1006</v>
      </c>
      <c r="I99" s="186" t="s">
        <v>1150</v>
      </c>
    </row>
    <row r="100" spans="1:9" ht="12.75">
      <c r="A100" s="188"/>
      <c r="B100" s="188"/>
      <c r="C100" s="188" t="s">
        <v>724</v>
      </c>
      <c r="D100" s="188"/>
      <c r="E100" s="188"/>
      <c r="F100" s="188"/>
      <c r="G100" s="188"/>
      <c r="H100" s="188"/>
      <c r="I100" s="188"/>
    </row>
    <row r="101" spans="1:9" ht="12.75">
      <c r="A101" s="185"/>
      <c r="B101" s="185"/>
      <c r="C101" s="185"/>
      <c r="D101" s="185"/>
      <c r="E101" s="185"/>
      <c r="F101" s="185"/>
      <c r="G101" s="207"/>
      <c r="H101" s="185"/>
      <c r="I101" s="185"/>
    </row>
    <row r="102" spans="1:9" ht="12.75">
      <c r="A102" s="186" t="s">
        <v>1151</v>
      </c>
      <c r="B102" s="187" t="s">
        <v>1150</v>
      </c>
      <c r="C102" s="186" t="s">
        <v>1152</v>
      </c>
      <c r="D102" s="186" t="s">
        <v>1136</v>
      </c>
      <c r="E102" s="186">
        <v>20.5</v>
      </c>
      <c r="F102" s="186" t="s">
        <v>1153</v>
      </c>
      <c r="G102" s="187" t="s">
        <v>1154</v>
      </c>
      <c r="H102" s="187" t="s">
        <v>1111</v>
      </c>
      <c r="I102" s="186" t="s">
        <v>1155</v>
      </c>
    </row>
    <row r="103" spans="1:9" ht="12.75">
      <c r="A103" s="186" t="s">
        <v>1156</v>
      </c>
      <c r="B103" s="186" t="s">
        <v>681</v>
      </c>
      <c r="C103" s="186" t="s">
        <v>1157</v>
      </c>
      <c r="D103" s="186" t="s">
        <v>1138</v>
      </c>
      <c r="E103" s="186" t="s">
        <v>657</v>
      </c>
      <c r="G103" s="187" t="s">
        <v>1158</v>
      </c>
      <c r="H103" s="186" t="s">
        <v>1006</v>
      </c>
      <c r="I103" s="187" t="s">
        <v>1158</v>
      </c>
    </row>
    <row r="104" spans="1:9" ht="12.75">
      <c r="A104" s="188"/>
      <c r="B104" s="188"/>
      <c r="C104" s="188"/>
      <c r="D104" s="188"/>
      <c r="E104" s="188"/>
      <c r="F104" s="188"/>
      <c r="G104" s="208"/>
      <c r="H104" s="188"/>
      <c r="I104" s="188"/>
    </row>
    <row r="105" spans="1:9" ht="12.75">
      <c r="A105" s="185"/>
      <c r="B105" s="185"/>
      <c r="C105" s="185"/>
      <c r="D105" s="185"/>
      <c r="E105" s="185"/>
      <c r="F105" s="185"/>
      <c r="G105" s="207"/>
      <c r="H105" s="185"/>
      <c r="I105" s="185"/>
    </row>
    <row r="106" spans="1:9" ht="12.75">
      <c r="A106" s="186" t="s">
        <v>994</v>
      </c>
      <c r="B106" s="187" t="s">
        <v>1096</v>
      </c>
      <c r="C106" s="186" t="s">
        <v>1047</v>
      </c>
      <c r="D106" s="186" t="s">
        <v>1048</v>
      </c>
      <c r="E106" s="186">
        <v>8</v>
      </c>
      <c r="F106" s="186" t="s">
        <v>998</v>
      </c>
      <c r="G106" s="187" t="s">
        <v>999</v>
      </c>
      <c r="H106" s="187" t="s">
        <v>1159</v>
      </c>
      <c r="I106" s="186" t="s">
        <v>1155</v>
      </c>
    </row>
    <row r="107" spans="1:9" ht="12.75">
      <c r="A107" s="186" t="s">
        <v>824</v>
      </c>
      <c r="B107" s="186" t="s">
        <v>940</v>
      </c>
      <c r="C107" s="186" t="s">
        <v>749</v>
      </c>
      <c r="D107" s="186" t="s">
        <v>783</v>
      </c>
      <c r="E107" s="186" t="s">
        <v>647</v>
      </c>
      <c r="F107" s="186" t="s">
        <v>1062</v>
      </c>
      <c r="G107" s="187" t="s">
        <v>1005</v>
      </c>
      <c r="H107" s="186" t="s">
        <v>1006</v>
      </c>
      <c r="I107" s="187" t="s">
        <v>1160</v>
      </c>
    </row>
    <row r="108" spans="1:9" ht="12.75">
      <c r="A108" s="188"/>
      <c r="B108" s="188"/>
      <c r="C108" s="188"/>
      <c r="D108" s="188"/>
      <c r="E108" s="188"/>
      <c r="F108" s="188"/>
      <c r="G108" s="208"/>
      <c r="H108" s="188"/>
      <c r="I108" s="188"/>
    </row>
    <row r="109" spans="1:9" ht="12.75">
      <c r="A109" s="185"/>
      <c r="B109" s="185"/>
      <c r="C109" s="185"/>
      <c r="D109" s="185"/>
      <c r="E109" s="185"/>
      <c r="F109" s="185"/>
      <c r="G109" s="185"/>
      <c r="H109" s="185"/>
      <c r="I109" s="185"/>
    </row>
    <row r="110" spans="1:9" ht="12.75">
      <c r="A110" s="186" t="s">
        <v>1161</v>
      </c>
      <c r="B110" s="186" t="s">
        <v>1141</v>
      </c>
      <c r="C110" s="186" t="s">
        <v>1142</v>
      </c>
      <c r="D110" s="186" t="s">
        <v>1102</v>
      </c>
      <c r="E110" s="192">
        <v>15</v>
      </c>
      <c r="F110" s="186" t="s">
        <v>1162</v>
      </c>
      <c r="G110" s="186" t="s">
        <v>919</v>
      </c>
      <c r="H110" s="206">
        <v>5</v>
      </c>
      <c r="I110" s="186" t="s">
        <v>1163</v>
      </c>
    </row>
    <row r="111" spans="1:9" ht="12.75">
      <c r="A111" s="186" t="s">
        <v>1164</v>
      </c>
      <c r="B111" s="186" t="s">
        <v>644</v>
      </c>
      <c r="C111" s="186" t="s">
        <v>1145</v>
      </c>
      <c r="D111" s="186" t="s">
        <v>1146</v>
      </c>
      <c r="E111" s="186" t="s">
        <v>647</v>
      </c>
      <c r="F111" s="186"/>
      <c r="G111" s="186" t="s">
        <v>885</v>
      </c>
      <c r="H111" s="186" t="s">
        <v>1006</v>
      </c>
      <c r="I111" s="186" t="s">
        <v>919</v>
      </c>
    </row>
    <row r="112" spans="1:9" ht="12.75">
      <c r="A112" s="188"/>
      <c r="B112" s="188"/>
      <c r="C112" s="188"/>
      <c r="D112" s="188"/>
      <c r="E112" s="188"/>
      <c r="F112" s="188"/>
      <c r="G112" s="188"/>
      <c r="H112" s="188"/>
      <c r="I112" s="188"/>
    </row>
    <row r="113" spans="1:9" ht="12.75">
      <c r="A113" s="186"/>
      <c r="B113" s="186"/>
      <c r="C113" s="186"/>
      <c r="D113" s="186"/>
      <c r="E113" s="186"/>
      <c r="F113" s="186"/>
      <c r="G113" s="186"/>
      <c r="H113" s="186"/>
      <c r="I113" s="186"/>
    </row>
    <row r="114" spans="1:9" ht="12.75">
      <c r="A114" s="186" t="s">
        <v>1161</v>
      </c>
      <c r="B114" s="186" t="s">
        <v>1165</v>
      </c>
      <c r="C114" s="186" t="s">
        <v>662</v>
      </c>
      <c r="D114" s="186" t="s">
        <v>1027</v>
      </c>
      <c r="E114" s="192">
        <v>6</v>
      </c>
      <c r="F114" s="186" t="s">
        <v>1162</v>
      </c>
      <c r="G114" s="186" t="s">
        <v>919</v>
      </c>
      <c r="H114" s="206">
        <v>5</v>
      </c>
      <c r="I114" s="187" t="s">
        <v>1163</v>
      </c>
    </row>
    <row r="115" spans="1:9" ht="12.75">
      <c r="A115" s="186" t="s">
        <v>1164</v>
      </c>
      <c r="B115" s="186" t="s">
        <v>644</v>
      </c>
      <c r="C115" s="186" t="s">
        <v>899</v>
      </c>
      <c r="D115" s="186"/>
      <c r="E115" s="186" t="s">
        <v>647</v>
      </c>
      <c r="F115" s="186"/>
      <c r="G115" s="186" t="s">
        <v>885</v>
      </c>
      <c r="H115" s="186" t="s">
        <v>1006</v>
      </c>
      <c r="I115" s="186" t="s">
        <v>919</v>
      </c>
    </row>
    <row r="116" spans="1:9" ht="12.75">
      <c r="A116" s="188"/>
      <c r="B116" s="188"/>
      <c r="C116" s="188"/>
      <c r="D116" s="188"/>
      <c r="E116" s="188"/>
      <c r="F116" s="188"/>
      <c r="G116" s="188"/>
      <c r="H116" s="188"/>
      <c r="I116" s="188"/>
    </row>
    <row r="117" spans="1:9" ht="12.75">
      <c r="A117" s="185"/>
      <c r="B117" s="185"/>
      <c r="C117" s="185" t="s">
        <v>1166</v>
      </c>
      <c r="D117" s="185" t="s">
        <v>1167</v>
      </c>
      <c r="E117" s="185"/>
      <c r="F117" s="185"/>
      <c r="G117" s="207"/>
      <c r="H117" s="185"/>
      <c r="I117" s="185"/>
    </row>
    <row r="118" spans="1:9" ht="12.75">
      <c r="A118" s="186" t="s">
        <v>1168</v>
      </c>
      <c r="B118" s="187" t="s">
        <v>1096</v>
      </c>
      <c r="C118" s="170" t="s">
        <v>1169</v>
      </c>
      <c r="D118" s="186" t="s">
        <v>1075</v>
      </c>
      <c r="E118" s="186">
        <v>4.29</v>
      </c>
      <c r="F118" s="186" t="s">
        <v>1170</v>
      </c>
      <c r="G118" s="187" t="s">
        <v>1171</v>
      </c>
      <c r="H118" s="187" t="s">
        <v>1172</v>
      </c>
      <c r="I118" s="186" t="s">
        <v>1163</v>
      </c>
    </row>
    <row r="119" spans="1:9" ht="12.75">
      <c r="A119" s="186" t="s">
        <v>824</v>
      </c>
      <c r="B119" s="186" t="s">
        <v>722</v>
      </c>
      <c r="C119" s="186" t="s">
        <v>1173</v>
      </c>
      <c r="D119" s="186" t="s">
        <v>1174</v>
      </c>
      <c r="E119" s="186" t="s">
        <v>647</v>
      </c>
      <c r="F119" s="189">
        <v>0.0065</v>
      </c>
      <c r="G119" s="187" t="s">
        <v>1175</v>
      </c>
      <c r="H119" s="186" t="s">
        <v>1006</v>
      </c>
      <c r="I119" s="187" t="s">
        <v>1175</v>
      </c>
    </row>
    <row r="120" spans="1:9" ht="12.75">
      <c r="A120" s="213"/>
      <c r="B120" s="188"/>
      <c r="C120" s="188" t="s">
        <v>749</v>
      </c>
      <c r="D120" s="188" t="s">
        <v>1176</v>
      </c>
      <c r="E120" s="171"/>
      <c r="F120" s="188"/>
      <c r="G120" s="188"/>
      <c r="H120" s="208"/>
      <c r="I120" s="188"/>
    </row>
    <row r="121" spans="1:9" ht="12.75">
      <c r="A121" s="185"/>
      <c r="B121" s="185"/>
      <c r="C121" s="185"/>
      <c r="D121" s="185"/>
      <c r="E121" s="185"/>
      <c r="F121" s="185"/>
      <c r="G121" s="207"/>
      <c r="H121" s="185"/>
      <c r="I121" s="185"/>
    </row>
    <row r="122" spans="1:9" ht="12.75">
      <c r="A122" s="186" t="s">
        <v>1177</v>
      </c>
      <c r="B122" s="187" t="s">
        <v>1150</v>
      </c>
      <c r="C122" s="186" t="s">
        <v>1178</v>
      </c>
      <c r="D122" s="186" t="s">
        <v>1136</v>
      </c>
      <c r="E122" s="186">
        <v>34</v>
      </c>
      <c r="F122" s="186" t="s">
        <v>1179</v>
      </c>
      <c r="G122" s="187" t="s">
        <v>923</v>
      </c>
      <c r="H122" s="187" t="s">
        <v>1172</v>
      </c>
      <c r="I122" s="186" t="s">
        <v>1180</v>
      </c>
    </row>
    <row r="123" spans="1:9" ht="12.75">
      <c r="A123" s="186"/>
      <c r="B123" s="186" t="s">
        <v>681</v>
      </c>
      <c r="C123" s="186" t="s">
        <v>1181</v>
      </c>
      <c r="D123" s="186" t="s">
        <v>1138</v>
      </c>
      <c r="E123" s="186" t="s">
        <v>647</v>
      </c>
      <c r="F123" s="186" t="s">
        <v>1182</v>
      </c>
      <c r="G123" s="187" t="s">
        <v>1183</v>
      </c>
      <c r="H123" s="186" t="s">
        <v>1006</v>
      </c>
      <c r="I123" s="187" t="s">
        <v>1183</v>
      </c>
    </row>
    <row r="124" spans="1:9" ht="12.75">
      <c r="A124" s="188"/>
      <c r="B124" s="188"/>
      <c r="C124" s="188"/>
      <c r="D124" s="188"/>
      <c r="E124" s="188"/>
      <c r="F124" s="188" t="s">
        <v>1184</v>
      </c>
      <c r="G124" s="208"/>
      <c r="H124" s="188"/>
      <c r="I124" s="188"/>
    </row>
    <row r="125" spans="1:9" ht="12.75">
      <c r="A125" s="194"/>
      <c r="B125" s="174"/>
      <c r="C125" s="194"/>
      <c r="D125" s="194"/>
      <c r="E125" s="197"/>
      <c r="F125" s="194"/>
      <c r="G125" s="174"/>
      <c r="H125" s="194"/>
      <c r="I125" s="194"/>
    </row>
    <row r="126" spans="1:9" ht="12.75">
      <c r="A126" s="194"/>
      <c r="B126" s="174"/>
      <c r="C126" s="194"/>
      <c r="D126" s="194"/>
      <c r="E126" s="197"/>
      <c r="F126" s="194"/>
      <c r="G126" s="174"/>
      <c r="H126" s="194"/>
      <c r="I126" s="194"/>
    </row>
    <row r="128" spans="1:9" ht="12.75">
      <c r="A128" s="194"/>
      <c r="B128" s="174"/>
      <c r="C128" s="194"/>
      <c r="D128" s="194"/>
      <c r="E128" s="197"/>
      <c r="F128" s="194"/>
      <c r="G128" s="174"/>
      <c r="H128" s="194"/>
      <c r="I128" s="194"/>
    </row>
    <row r="129" spans="1:9" ht="12.75">
      <c r="A129" s="194"/>
      <c r="B129" s="174"/>
      <c r="C129" s="194"/>
      <c r="D129" s="194"/>
      <c r="E129" s="197"/>
      <c r="F129" s="194"/>
      <c r="G129" s="174"/>
      <c r="H129" s="194"/>
      <c r="I129" s="194"/>
    </row>
    <row r="130" spans="1:9" ht="12.75">
      <c r="A130" s="194"/>
      <c r="B130" s="174"/>
      <c r="C130" s="194"/>
      <c r="D130" s="194"/>
      <c r="E130" s="197"/>
      <c r="F130" s="194"/>
      <c r="G130" s="174"/>
      <c r="H130" s="194"/>
      <c r="I130" s="194"/>
    </row>
    <row r="131" spans="1:9" ht="12.75">
      <c r="A131" s="194"/>
      <c r="B131" s="174"/>
      <c r="C131" s="194"/>
      <c r="D131" s="194"/>
      <c r="E131" s="197"/>
      <c r="F131" s="194"/>
      <c r="G131" s="174"/>
      <c r="H131" s="194"/>
      <c r="I131" s="194"/>
    </row>
    <row r="132" spans="1:56" s="191" customFormat="1" ht="12.75">
      <c r="A132" s="198" t="s">
        <v>264</v>
      </c>
      <c r="B132" s="190"/>
      <c r="C132" s="196"/>
      <c r="D132" s="3"/>
      <c r="F132" s="199" t="s">
        <v>473</v>
      </c>
      <c r="G132" s="190"/>
      <c r="H132" s="199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9" ht="12.75">
      <c r="A133" s="194"/>
      <c r="B133" s="174"/>
      <c r="C133" s="194"/>
      <c r="D133" s="194"/>
      <c r="E133" s="197"/>
      <c r="F133" s="194"/>
      <c r="G133" s="174"/>
      <c r="H133" s="194"/>
      <c r="I133" s="194"/>
    </row>
    <row r="134" spans="1:9" ht="12.75">
      <c r="A134" s="194"/>
      <c r="B134" s="174"/>
      <c r="C134" s="194"/>
      <c r="D134" s="194"/>
      <c r="E134" s="197"/>
      <c r="F134" s="194"/>
      <c r="G134" s="174"/>
      <c r="H134" s="194"/>
      <c r="I134" s="194"/>
    </row>
    <row r="135" spans="1:9" ht="12.75">
      <c r="A135" s="194"/>
      <c r="B135" s="174"/>
      <c r="C135" s="194"/>
      <c r="D135" s="194"/>
      <c r="E135" s="197"/>
      <c r="F135" s="194"/>
      <c r="G135" s="174"/>
      <c r="H135" s="194"/>
      <c r="I135" s="194"/>
    </row>
    <row r="136" spans="1:9" ht="12.75">
      <c r="A136" s="194"/>
      <c r="B136" s="174"/>
      <c r="C136" s="194"/>
      <c r="D136" s="194"/>
      <c r="E136" s="197"/>
      <c r="F136" s="194"/>
      <c r="G136" s="174"/>
      <c r="H136" s="194"/>
      <c r="I136" s="194"/>
    </row>
    <row r="137" spans="1:9" ht="12.75">
      <c r="A137" s="194"/>
      <c r="B137" s="174"/>
      <c r="C137" s="194"/>
      <c r="D137" s="194"/>
      <c r="E137" s="197"/>
      <c r="F137" s="194"/>
      <c r="G137" s="174"/>
      <c r="H137" s="194"/>
      <c r="I137" s="194"/>
    </row>
    <row r="138" spans="1:9" ht="12.75">
      <c r="A138" s="194"/>
      <c r="B138" s="174"/>
      <c r="C138" s="194"/>
      <c r="D138" s="194"/>
      <c r="E138" s="197"/>
      <c r="F138" s="194"/>
      <c r="G138" s="174"/>
      <c r="H138" s="194"/>
      <c r="I138" s="194"/>
    </row>
    <row r="139" spans="1:9" ht="12.75">
      <c r="A139" s="194"/>
      <c r="B139" s="174"/>
      <c r="C139" s="194"/>
      <c r="D139" s="194"/>
      <c r="E139" s="197"/>
      <c r="F139" s="194"/>
      <c r="G139" s="174"/>
      <c r="H139" s="194"/>
      <c r="I139" s="194"/>
    </row>
    <row r="140" spans="1:9" ht="12.75">
      <c r="A140" s="194"/>
      <c r="B140" s="174"/>
      <c r="C140" s="194"/>
      <c r="D140" s="194"/>
      <c r="E140" s="197"/>
      <c r="F140" s="194"/>
      <c r="G140" s="174"/>
      <c r="H140" s="194"/>
      <c r="I140" s="194"/>
    </row>
    <row r="141" spans="1:9" ht="12.75">
      <c r="A141" s="194"/>
      <c r="B141" s="174"/>
      <c r="C141" s="194"/>
      <c r="D141" s="194"/>
      <c r="E141" s="197"/>
      <c r="F141" s="194"/>
      <c r="G141" s="174"/>
      <c r="H141" s="194"/>
      <c r="I141" s="194"/>
    </row>
    <row r="142" spans="1:9" ht="12.75">
      <c r="A142" s="194"/>
      <c r="B142" s="174"/>
      <c r="C142" s="194"/>
      <c r="D142" s="194"/>
      <c r="E142" s="197"/>
      <c r="F142" s="194"/>
      <c r="G142" s="174"/>
      <c r="H142" s="194"/>
      <c r="I142" s="194"/>
    </row>
    <row r="143" spans="1:9" ht="12.75">
      <c r="A143" s="194"/>
      <c r="B143" s="174"/>
      <c r="C143" s="194"/>
      <c r="D143" s="194"/>
      <c r="E143" s="197"/>
      <c r="F143" s="194"/>
      <c r="G143" s="174"/>
      <c r="H143" s="194"/>
      <c r="I143" s="194"/>
    </row>
    <row r="145" spans="1:9" ht="12.75">
      <c r="A145" s="194"/>
      <c r="B145" s="174"/>
      <c r="C145" s="194"/>
      <c r="D145" s="194"/>
      <c r="E145" s="197"/>
      <c r="F145" s="194"/>
      <c r="G145" s="174"/>
      <c r="H145" s="194"/>
      <c r="I145" s="194"/>
    </row>
    <row r="146" spans="1:9" ht="12.75">
      <c r="A146" s="194"/>
      <c r="B146" s="174"/>
      <c r="C146" s="194"/>
      <c r="D146" s="194"/>
      <c r="E146" s="197"/>
      <c r="F146" s="194"/>
      <c r="G146" s="174"/>
      <c r="H146" s="194"/>
      <c r="I146" s="194"/>
    </row>
    <row r="147" spans="1:9" ht="12.75">
      <c r="A147" s="194"/>
      <c r="B147" s="174"/>
      <c r="C147" s="194"/>
      <c r="D147" s="194"/>
      <c r="E147" s="197"/>
      <c r="F147" s="194"/>
      <c r="G147" s="174"/>
      <c r="H147" s="194"/>
      <c r="I147" s="194"/>
    </row>
    <row r="148" spans="1:9" ht="12.75">
      <c r="A148" s="194"/>
      <c r="B148" s="174"/>
      <c r="C148" s="194"/>
      <c r="D148" s="194"/>
      <c r="E148" s="197"/>
      <c r="F148" s="194"/>
      <c r="G148" s="174"/>
      <c r="H148" s="194"/>
      <c r="I148" s="194"/>
    </row>
    <row r="149" spans="1:9" ht="12.75">
      <c r="A149" s="194"/>
      <c r="B149" s="174"/>
      <c r="C149" s="194"/>
      <c r="D149" s="194"/>
      <c r="E149" s="197"/>
      <c r="F149" s="194"/>
      <c r="G149" s="174"/>
      <c r="H149" s="194"/>
      <c r="I149" s="194"/>
    </row>
    <row r="150" spans="1:9" ht="12.75">
      <c r="A150" s="194"/>
      <c r="B150" s="174"/>
      <c r="C150" s="194"/>
      <c r="D150" s="194"/>
      <c r="E150" s="197"/>
      <c r="F150" s="194"/>
      <c r="G150" s="174"/>
      <c r="H150" s="194"/>
      <c r="I150" s="194"/>
    </row>
    <row r="151" spans="1:9" ht="12.75">
      <c r="A151" s="194"/>
      <c r="B151" s="174"/>
      <c r="C151" s="194"/>
      <c r="D151" s="194"/>
      <c r="E151" s="197"/>
      <c r="F151" s="194"/>
      <c r="G151" s="174"/>
      <c r="H151" s="194"/>
      <c r="I151" s="194"/>
    </row>
    <row r="152" spans="1:9" ht="12.75">
      <c r="A152" s="194"/>
      <c r="B152" s="174"/>
      <c r="C152" s="194"/>
      <c r="D152" s="194"/>
      <c r="E152" s="197"/>
      <c r="F152" s="194"/>
      <c r="G152" s="174"/>
      <c r="H152" s="194"/>
      <c r="I152" s="194"/>
    </row>
    <row r="153" spans="1:9" ht="12.75">
      <c r="A153" s="194"/>
      <c r="B153" s="174"/>
      <c r="C153" s="194"/>
      <c r="D153" s="194"/>
      <c r="E153" s="197"/>
      <c r="F153" s="194"/>
      <c r="G153" s="174"/>
      <c r="H153" s="194"/>
      <c r="I153" s="194"/>
    </row>
    <row r="154" spans="1:9" ht="12.75">
      <c r="A154" s="194"/>
      <c r="B154" s="174"/>
      <c r="C154" s="194"/>
      <c r="D154" s="194"/>
      <c r="E154" s="197"/>
      <c r="F154" s="194"/>
      <c r="G154" s="174"/>
      <c r="H154" s="194"/>
      <c r="I154" s="194"/>
    </row>
    <row r="155" spans="1:9" ht="12.75">
      <c r="A155" s="194"/>
      <c r="B155" s="174"/>
      <c r="C155" s="194"/>
      <c r="D155" s="194"/>
      <c r="E155" s="197"/>
      <c r="F155" s="194"/>
      <c r="G155" s="174"/>
      <c r="H155" s="194"/>
      <c r="I155" s="194"/>
    </row>
    <row r="156" spans="1:9" ht="12.75">
      <c r="A156" s="194"/>
      <c r="B156" s="174"/>
      <c r="C156" s="194"/>
      <c r="D156" s="194"/>
      <c r="E156" s="197"/>
      <c r="F156" s="194"/>
      <c r="G156" s="174"/>
      <c r="H156" s="194"/>
      <c r="I156" s="194"/>
    </row>
    <row r="157" spans="1:9" ht="12.75">
      <c r="A157" s="194"/>
      <c r="B157" s="174"/>
      <c r="C157" s="194"/>
      <c r="D157" s="194"/>
      <c r="E157" s="197"/>
      <c r="F157" s="194"/>
      <c r="G157" s="174"/>
      <c r="H157" s="194"/>
      <c r="I157" s="194"/>
    </row>
    <row r="158" spans="1:9" ht="12.75">
      <c r="A158" s="194"/>
      <c r="B158" s="174"/>
      <c r="C158" s="194"/>
      <c r="D158" s="194"/>
      <c r="E158" s="197"/>
      <c r="F158" s="194"/>
      <c r="G158" s="174"/>
      <c r="H158" s="194"/>
      <c r="I158" s="194"/>
    </row>
    <row r="159" spans="1:9" ht="12.75">
      <c r="A159" s="194"/>
      <c r="B159" s="174"/>
      <c r="C159" s="194"/>
      <c r="D159" s="194"/>
      <c r="E159" s="197"/>
      <c r="F159" s="194"/>
      <c r="G159" s="174"/>
      <c r="H159" s="194"/>
      <c r="I159" s="194"/>
    </row>
    <row r="160" spans="1:9" ht="12.75">
      <c r="A160" s="194"/>
      <c r="B160" s="174"/>
      <c r="C160" s="194"/>
      <c r="D160" s="194"/>
      <c r="E160" s="197"/>
      <c r="F160" s="194"/>
      <c r="G160" s="174"/>
      <c r="H160" s="194"/>
      <c r="I160" s="194"/>
    </row>
    <row r="161" spans="1:9" ht="12.75">
      <c r="A161" s="194"/>
      <c r="B161" s="174"/>
      <c r="C161" s="194"/>
      <c r="D161" s="194"/>
      <c r="E161" s="197"/>
      <c r="F161" s="194"/>
      <c r="G161" s="174"/>
      <c r="H161" s="194"/>
      <c r="I161" s="194"/>
    </row>
    <row r="162" spans="1:9" ht="12.75">
      <c r="A162" s="194"/>
      <c r="B162" s="174"/>
      <c r="C162" s="194"/>
      <c r="D162" s="194"/>
      <c r="E162" s="197"/>
      <c r="F162" s="194"/>
      <c r="G162" s="174"/>
      <c r="H162" s="194"/>
      <c r="I162" s="194"/>
    </row>
    <row r="163" spans="1:9" ht="12.75">
      <c r="A163" s="194"/>
      <c r="B163" s="174"/>
      <c r="C163" s="194"/>
      <c r="D163" s="194"/>
      <c r="E163" s="197"/>
      <c r="F163" s="194"/>
      <c r="G163" s="174"/>
      <c r="H163" s="194"/>
      <c r="I163" s="194"/>
    </row>
    <row r="164" spans="1:9" ht="12.75">
      <c r="A164" s="194"/>
      <c r="B164" s="174"/>
      <c r="C164" s="194"/>
      <c r="D164" s="194"/>
      <c r="E164" s="197"/>
      <c r="F164" s="194"/>
      <c r="G164" s="174"/>
      <c r="H164" s="194"/>
      <c r="I164" s="194"/>
    </row>
    <row r="165" spans="1:9" ht="12.75">
      <c r="A165" s="194"/>
      <c r="B165" s="174"/>
      <c r="C165" s="194"/>
      <c r="D165" s="194"/>
      <c r="E165" s="197"/>
      <c r="F165" s="194"/>
      <c r="G165" s="174"/>
      <c r="H165" s="194"/>
      <c r="I165" s="194"/>
    </row>
    <row r="166" spans="1:9" ht="12.75">
      <c r="A166" s="194"/>
      <c r="B166" s="174"/>
      <c r="C166" s="194"/>
      <c r="D166" s="194"/>
      <c r="E166" s="197"/>
      <c r="F166" s="194"/>
      <c r="G166" s="174"/>
      <c r="H166" s="194"/>
      <c r="I166" s="194"/>
    </row>
    <row r="167" spans="1:9" ht="12.75">
      <c r="A167" s="194"/>
      <c r="B167" s="174"/>
      <c r="C167" s="194"/>
      <c r="D167" s="194"/>
      <c r="E167" s="197"/>
      <c r="F167" s="194"/>
      <c r="G167" s="174"/>
      <c r="H167" s="194"/>
      <c r="I167" s="194"/>
    </row>
    <row r="168" spans="1:9" ht="12.75">
      <c r="A168" s="194"/>
      <c r="B168" s="174"/>
      <c r="C168" s="194"/>
      <c r="D168" s="194"/>
      <c r="E168" s="197"/>
      <c r="F168" s="194"/>
      <c r="G168" s="174"/>
      <c r="H168" s="194"/>
      <c r="I168" s="194"/>
    </row>
    <row r="169" spans="1:9" ht="12.75">
      <c r="A169" s="194"/>
      <c r="B169" s="174"/>
      <c r="C169" s="194"/>
      <c r="D169" s="194"/>
      <c r="E169" s="197"/>
      <c r="F169" s="194"/>
      <c r="G169" s="174"/>
      <c r="H169" s="194"/>
      <c r="I169" s="194"/>
    </row>
    <row r="170" spans="1:9" ht="12.75">
      <c r="A170" s="194"/>
      <c r="B170" s="174"/>
      <c r="C170" s="194"/>
      <c r="D170" s="194"/>
      <c r="E170" s="197"/>
      <c r="F170" s="194"/>
      <c r="G170" s="174"/>
      <c r="H170" s="194"/>
      <c r="I170" s="194"/>
    </row>
    <row r="171" spans="1:9" ht="12.75">
      <c r="A171" s="194"/>
      <c r="B171" s="174"/>
      <c r="C171" s="194"/>
      <c r="D171" s="194"/>
      <c r="E171" s="197"/>
      <c r="F171" s="194"/>
      <c r="G171" s="174"/>
      <c r="H171" s="194"/>
      <c r="I171" s="194"/>
    </row>
    <row r="172" spans="1:9" ht="12.75">
      <c r="A172" s="194"/>
      <c r="B172" s="174"/>
      <c r="C172" s="194"/>
      <c r="D172" s="194"/>
      <c r="E172" s="197"/>
      <c r="F172" s="194"/>
      <c r="G172" s="174"/>
      <c r="H172" s="194"/>
      <c r="I172" s="194"/>
    </row>
    <row r="173" spans="1:9" ht="12.75">
      <c r="A173" s="194"/>
      <c r="B173" s="174"/>
      <c r="C173" s="194"/>
      <c r="D173" s="194"/>
      <c r="E173" s="197"/>
      <c r="F173" s="194"/>
      <c r="G173" s="174"/>
      <c r="H173" s="194"/>
      <c r="I173" s="194"/>
    </row>
    <row r="174" spans="1:9" ht="12.75">
      <c r="A174" s="194"/>
      <c r="B174" s="174"/>
      <c r="C174" s="194"/>
      <c r="D174" s="194"/>
      <c r="E174" s="197"/>
      <c r="F174" s="194"/>
      <c r="G174" s="174"/>
      <c r="H174" s="194"/>
      <c r="I174" s="194"/>
    </row>
    <row r="175" spans="1:9" ht="12.75">
      <c r="A175" s="194"/>
      <c r="B175" s="174"/>
      <c r="C175" s="194"/>
      <c r="D175" s="194"/>
      <c r="E175" s="197"/>
      <c r="F175" s="194"/>
      <c r="G175" s="174"/>
      <c r="H175" s="194"/>
      <c r="I175" s="194"/>
    </row>
    <row r="176" spans="1:9" ht="12.75">
      <c r="A176" s="194"/>
      <c r="B176" s="174"/>
      <c r="C176" s="194"/>
      <c r="D176" s="194"/>
      <c r="E176" s="197"/>
      <c r="F176" s="194"/>
      <c r="G176" s="174"/>
      <c r="H176" s="194"/>
      <c r="I176" s="194"/>
    </row>
    <row r="177" spans="1:9" ht="12.75">
      <c r="A177" s="194"/>
      <c r="B177" s="174"/>
      <c r="C177" s="194"/>
      <c r="D177" s="194"/>
      <c r="E177" s="197"/>
      <c r="F177" s="194"/>
      <c r="G177" s="174"/>
      <c r="H177" s="194"/>
      <c r="I177" s="194"/>
    </row>
    <row r="178" spans="1:9" ht="12.75">
      <c r="A178" s="194"/>
      <c r="B178" s="174"/>
      <c r="C178" s="194"/>
      <c r="D178" s="194"/>
      <c r="E178" s="197"/>
      <c r="F178" s="194"/>
      <c r="G178" s="174"/>
      <c r="H178" s="194"/>
      <c r="I178" s="194"/>
    </row>
    <row r="179" spans="1:9" ht="12.75">
      <c r="A179" s="194"/>
      <c r="B179" s="174"/>
      <c r="C179" s="194"/>
      <c r="D179" s="194"/>
      <c r="E179" s="197"/>
      <c r="F179" s="194"/>
      <c r="G179" s="174"/>
      <c r="H179" s="194"/>
      <c r="I179" s="194"/>
    </row>
    <row r="180" spans="1:9" ht="12.75">
      <c r="A180" s="194"/>
      <c r="B180" s="174"/>
      <c r="C180" s="194"/>
      <c r="D180" s="194"/>
      <c r="E180" s="197"/>
      <c r="F180" s="194"/>
      <c r="G180" s="174"/>
      <c r="H180" s="194"/>
      <c r="I180" s="194"/>
    </row>
    <row r="181" spans="1:9" ht="12.75">
      <c r="A181" s="194"/>
      <c r="B181" s="174"/>
      <c r="C181" s="194"/>
      <c r="D181" s="194"/>
      <c r="E181" s="197"/>
      <c r="F181" s="194"/>
      <c r="G181" s="174"/>
      <c r="H181" s="194"/>
      <c r="I181" s="194"/>
    </row>
    <row r="182" spans="1:9" ht="12.75">
      <c r="A182" s="194"/>
      <c r="B182" s="174"/>
      <c r="C182" s="194"/>
      <c r="D182" s="194"/>
      <c r="E182" s="197"/>
      <c r="F182" s="194"/>
      <c r="G182" s="174"/>
      <c r="H182" s="194"/>
      <c r="I182" s="194"/>
    </row>
    <row r="183" spans="1:9" ht="12.75">
      <c r="A183" s="194"/>
      <c r="B183" s="174"/>
      <c r="C183" s="194"/>
      <c r="D183" s="194"/>
      <c r="E183" s="197"/>
      <c r="F183" s="194"/>
      <c r="G183" s="174"/>
      <c r="H183" s="194"/>
      <c r="I183" s="194"/>
    </row>
    <row r="184" spans="1:9" ht="12.75">
      <c r="A184" s="194"/>
      <c r="B184" s="174"/>
      <c r="C184" s="194"/>
      <c r="D184" s="194"/>
      <c r="E184" s="197"/>
      <c r="F184" s="194"/>
      <c r="G184" s="174"/>
      <c r="H184" s="194"/>
      <c r="I184" s="194"/>
    </row>
    <row r="185" spans="1:9" ht="12.75">
      <c r="A185" s="194"/>
      <c r="B185" s="174"/>
      <c r="C185" s="194"/>
      <c r="D185" s="194"/>
      <c r="E185" s="197"/>
      <c r="F185" s="194"/>
      <c r="G185" s="174"/>
      <c r="H185" s="194"/>
      <c r="I185" s="194"/>
    </row>
    <row r="186" spans="1:9" ht="12.75">
      <c r="A186" s="194"/>
      <c r="B186" s="174"/>
      <c r="C186" s="194"/>
      <c r="D186" s="194"/>
      <c r="E186" s="197"/>
      <c r="F186" s="194"/>
      <c r="G186" s="174"/>
      <c r="H186" s="194"/>
      <c r="I186" s="194"/>
    </row>
    <row r="187" spans="1:9" ht="12.75">
      <c r="A187" s="194"/>
      <c r="B187" s="174"/>
      <c r="C187" s="194"/>
      <c r="D187" s="194"/>
      <c r="E187" s="197"/>
      <c r="F187" s="194"/>
      <c r="G187" s="174"/>
      <c r="H187" s="194"/>
      <c r="I187" s="194"/>
    </row>
    <row r="188" spans="1:9" ht="12.75">
      <c r="A188" s="194"/>
      <c r="B188" s="174"/>
      <c r="C188" s="194"/>
      <c r="D188" s="194"/>
      <c r="E188" s="197"/>
      <c r="F188" s="194"/>
      <c r="G188" s="174"/>
      <c r="H188" s="194"/>
      <c r="I188" s="194"/>
    </row>
    <row r="189" spans="1:9" ht="12.75">
      <c r="A189" s="194"/>
      <c r="B189" s="174"/>
      <c r="C189" s="194"/>
      <c r="D189" s="194"/>
      <c r="E189" s="197"/>
      <c r="F189" s="194"/>
      <c r="G189" s="174"/>
      <c r="H189" s="194"/>
      <c r="I189" s="194"/>
    </row>
    <row r="190" spans="1:9" ht="12.75">
      <c r="A190" s="194"/>
      <c r="B190" s="174"/>
      <c r="C190" s="194"/>
      <c r="D190" s="194"/>
      <c r="E190" s="197"/>
      <c r="F190" s="194"/>
      <c r="G190" s="174"/>
      <c r="H190" s="194"/>
      <c r="I190" s="194"/>
    </row>
    <row r="191" spans="1:9" ht="12.75">
      <c r="A191" s="194"/>
      <c r="B191" s="174"/>
      <c r="C191" s="194"/>
      <c r="D191" s="194"/>
      <c r="E191" s="197"/>
      <c r="F191" s="194"/>
      <c r="G191" s="174"/>
      <c r="H191" s="194"/>
      <c r="I191" s="194"/>
    </row>
    <row r="192" spans="1:9" ht="12.75">
      <c r="A192" s="194"/>
      <c r="B192" s="174"/>
      <c r="C192" s="194"/>
      <c r="D192" s="194"/>
      <c r="E192" s="197"/>
      <c r="F192" s="194"/>
      <c r="G192" s="174"/>
      <c r="H192" s="194"/>
      <c r="I192" s="194"/>
    </row>
    <row r="193" spans="1:9" ht="12.75">
      <c r="A193" s="194"/>
      <c r="B193" s="174"/>
      <c r="C193" s="194"/>
      <c r="D193" s="194"/>
      <c r="E193" s="197"/>
      <c r="F193" s="194"/>
      <c r="G193" s="174"/>
      <c r="H193" s="194"/>
      <c r="I193" s="194"/>
    </row>
    <row r="194" spans="1:9" ht="12.75">
      <c r="A194" s="194"/>
      <c r="B194" s="174"/>
      <c r="C194" s="194"/>
      <c r="D194" s="194"/>
      <c r="E194" s="197"/>
      <c r="F194" s="194"/>
      <c r="G194" s="174"/>
      <c r="H194" s="194"/>
      <c r="I194" s="194"/>
    </row>
    <row r="195" spans="1:9" ht="12.75">
      <c r="A195" s="194"/>
      <c r="B195" s="174"/>
      <c r="C195" s="194"/>
      <c r="D195" s="194"/>
      <c r="E195" s="197"/>
      <c r="F195" s="194"/>
      <c r="G195" s="174"/>
      <c r="H195" s="194"/>
      <c r="I195" s="194"/>
    </row>
    <row r="196" spans="1:9" ht="12.75">
      <c r="A196" s="194"/>
      <c r="B196" s="174"/>
      <c r="C196" s="194"/>
      <c r="D196" s="194"/>
      <c r="E196" s="197"/>
      <c r="F196" s="194"/>
      <c r="G196" s="174"/>
      <c r="H196" s="194"/>
      <c r="I196" s="194"/>
    </row>
    <row r="197" spans="1:9" ht="12.75">
      <c r="A197" s="194"/>
      <c r="B197" s="174"/>
      <c r="C197" s="194"/>
      <c r="D197" s="194"/>
      <c r="E197" s="197"/>
      <c r="F197" s="194"/>
      <c r="G197" s="174"/>
      <c r="H197" s="194"/>
      <c r="I197" s="194"/>
    </row>
    <row r="198" spans="1:9" ht="12.75">
      <c r="A198" s="194"/>
      <c r="B198" s="174"/>
      <c r="C198" s="194"/>
      <c r="D198" s="194"/>
      <c r="E198" s="197"/>
      <c r="F198" s="194"/>
      <c r="G198" s="174"/>
      <c r="H198" s="194"/>
      <c r="I198" s="194"/>
    </row>
    <row r="199" spans="1:9" ht="12.75">
      <c r="A199" s="194"/>
      <c r="B199" s="174"/>
      <c r="C199" s="194"/>
      <c r="D199" s="194"/>
      <c r="E199" s="197"/>
      <c r="F199" s="194"/>
      <c r="G199" s="174"/>
      <c r="H199" s="194"/>
      <c r="I199" s="194"/>
    </row>
    <row r="200" spans="1:9" ht="12.75">
      <c r="A200" s="194"/>
      <c r="B200" s="174"/>
      <c r="C200" s="194"/>
      <c r="D200" s="194"/>
      <c r="E200" s="197"/>
      <c r="F200" s="194"/>
      <c r="G200" s="174"/>
      <c r="H200" s="194"/>
      <c r="I200" s="194"/>
    </row>
    <row r="201" spans="1:9" ht="12.75">
      <c r="A201" s="194"/>
      <c r="B201" s="174"/>
      <c r="C201" s="194"/>
      <c r="D201" s="194"/>
      <c r="E201" s="197"/>
      <c r="F201" s="194"/>
      <c r="G201" s="174"/>
      <c r="H201" s="194"/>
      <c r="I201" s="194"/>
    </row>
    <row r="202" spans="1:9" ht="12.75">
      <c r="A202" s="194"/>
      <c r="B202" s="174"/>
      <c r="C202" s="194"/>
      <c r="D202" s="194"/>
      <c r="E202" s="197"/>
      <c r="F202" s="194"/>
      <c r="G202" s="174"/>
      <c r="H202" s="194"/>
      <c r="I202" s="194"/>
    </row>
    <row r="203" spans="1:9" ht="12.75">
      <c r="A203" s="194"/>
      <c r="B203" s="174"/>
      <c r="C203" s="194"/>
      <c r="D203" s="194"/>
      <c r="E203" s="197"/>
      <c r="F203" s="194"/>
      <c r="G203" s="174"/>
      <c r="H203" s="194"/>
      <c r="I203" s="194"/>
    </row>
    <row r="204" spans="1:9" ht="12.75">
      <c r="A204" s="194"/>
      <c r="B204" s="174"/>
      <c r="C204" s="194"/>
      <c r="D204" s="194"/>
      <c r="E204" s="197"/>
      <c r="F204" s="194"/>
      <c r="G204" s="174"/>
      <c r="H204" s="194"/>
      <c r="I204" s="194"/>
    </row>
    <row r="205" spans="1:9" ht="12.75">
      <c r="A205" s="194"/>
      <c r="B205" s="174"/>
      <c r="C205" s="194"/>
      <c r="D205" s="194"/>
      <c r="E205" s="197"/>
      <c r="F205" s="194"/>
      <c r="G205" s="174"/>
      <c r="H205" s="194"/>
      <c r="I205" s="194"/>
    </row>
    <row r="206" spans="1:9" ht="12.75">
      <c r="A206" s="194"/>
      <c r="B206" s="174"/>
      <c r="C206" s="194"/>
      <c r="D206" s="194"/>
      <c r="E206" s="197"/>
      <c r="F206" s="194"/>
      <c r="G206" s="174"/>
      <c r="H206" s="194"/>
      <c r="I206" s="194"/>
    </row>
    <row r="207" spans="1:9" ht="12.75">
      <c r="A207" s="194"/>
      <c r="B207" s="174"/>
      <c r="C207" s="194"/>
      <c r="D207" s="194"/>
      <c r="E207" s="197"/>
      <c r="F207" s="194"/>
      <c r="G207" s="174"/>
      <c r="H207" s="194"/>
      <c r="I207" s="194"/>
    </row>
    <row r="208" spans="1:9" ht="12.75">
      <c r="A208" s="194"/>
      <c r="B208" s="174"/>
      <c r="C208" s="194"/>
      <c r="D208" s="194"/>
      <c r="E208" s="197"/>
      <c r="F208" s="194"/>
      <c r="G208" s="174"/>
      <c r="H208" s="194"/>
      <c r="I208" s="194"/>
    </row>
    <row r="209" spans="1:9" ht="12.75">
      <c r="A209" s="194"/>
      <c r="B209" s="174"/>
      <c r="C209" s="194"/>
      <c r="D209" s="194"/>
      <c r="E209" s="197"/>
      <c r="F209" s="194"/>
      <c r="G209" s="174"/>
      <c r="H209" s="194"/>
      <c r="I209" s="194"/>
    </row>
    <row r="210" spans="1:9" ht="12.75">
      <c r="A210" s="194"/>
      <c r="B210" s="174"/>
      <c r="C210" s="194"/>
      <c r="D210" s="194"/>
      <c r="E210" s="197"/>
      <c r="F210" s="194"/>
      <c r="G210" s="174"/>
      <c r="H210" s="194"/>
      <c r="I210" s="194"/>
    </row>
    <row r="211" spans="1:9" ht="12.75">
      <c r="A211" s="194"/>
      <c r="B211" s="174"/>
      <c r="C211" s="194"/>
      <c r="D211" s="194"/>
      <c r="E211" s="197"/>
      <c r="F211" s="194"/>
      <c r="G211" s="174"/>
      <c r="H211" s="194"/>
      <c r="I211" s="194"/>
    </row>
    <row r="212" spans="1:9" ht="12.75">
      <c r="A212" s="194"/>
      <c r="B212" s="174"/>
      <c r="C212" s="194"/>
      <c r="D212" s="194"/>
      <c r="E212" s="197"/>
      <c r="F212" s="194"/>
      <c r="G212" s="174"/>
      <c r="H212" s="194"/>
      <c r="I212" s="194"/>
    </row>
    <row r="213" spans="1:9" ht="12.75">
      <c r="A213" s="194"/>
      <c r="B213" s="174"/>
      <c r="C213" s="194"/>
      <c r="D213" s="194"/>
      <c r="E213" s="197"/>
      <c r="F213" s="194"/>
      <c r="G213" s="174"/>
      <c r="H213" s="194"/>
      <c r="I213" s="194"/>
    </row>
    <row r="214" spans="1:9" ht="12.75">
      <c r="A214" s="194"/>
      <c r="B214" s="174"/>
      <c r="C214" s="194"/>
      <c r="D214" s="194"/>
      <c r="E214" s="197"/>
      <c r="F214" s="194"/>
      <c r="G214" s="174"/>
      <c r="H214" s="194"/>
      <c r="I214" s="194"/>
    </row>
    <row r="215" spans="1:9" ht="12.75">
      <c r="A215" s="194"/>
      <c r="B215" s="174"/>
      <c r="C215" s="194"/>
      <c r="D215" s="194"/>
      <c r="E215" s="197"/>
      <c r="F215" s="194"/>
      <c r="G215" s="174"/>
      <c r="H215" s="194"/>
      <c r="I215" s="194"/>
    </row>
    <row r="216" spans="1:9" ht="12.75">
      <c r="A216" s="194"/>
      <c r="B216" s="174"/>
      <c r="C216" s="194"/>
      <c r="D216" s="194"/>
      <c r="E216" s="197"/>
      <c r="F216" s="194"/>
      <c r="G216" s="174"/>
      <c r="H216" s="194"/>
      <c r="I216" s="194"/>
    </row>
    <row r="217" spans="1:9" ht="12.75">
      <c r="A217" s="194"/>
      <c r="B217" s="174"/>
      <c r="C217" s="194"/>
      <c r="D217" s="194"/>
      <c r="E217" s="197"/>
      <c r="F217" s="194"/>
      <c r="G217" s="174"/>
      <c r="H217" s="194"/>
      <c r="I217" s="194"/>
    </row>
    <row r="218" spans="1:9" ht="12.75">
      <c r="A218" s="194"/>
      <c r="B218" s="174"/>
      <c r="C218" s="194"/>
      <c r="D218" s="194"/>
      <c r="E218" s="197"/>
      <c r="F218" s="194"/>
      <c r="G218" s="174"/>
      <c r="H218" s="194"/>
      <c r="I218" s="194"/>
    </row>
    <row r="219" spans="1:9" ht="12.75">
      <c r="A219" s="194"/>
      <c r="B219" s="174"/>
      <c r="C219" s="194"/>
      <c r="D219" s="194"/>
      <c r="E219" s="197"/>
      <c r="F219" s="194"/>
      <c r="G219" s="174"/>
      <c r="H219" s="194"/>
      <c r="I219" s="194"/>
    </row>
    <row r="220" spans="1:9" ht="12.75">
      <c r="A220" s="194"/>
      <c r="B220" s="174"/>
      <c r="C220" s="194"/>
      <c r="D220" s="194"/>
      <c r="E220" s="197"/>
      <c r="F220" s="194"/>
      <c r="G220" s="174"/>
      <c r="H220" s="194"/>
      <c r="I220" s="194"/>
    </row>
    <row r="221" spans="1:9" ht="12.75">
      <c r="A221" s="194"/>
      <c r="B221" s="174"/>
      <c r="C221" s="194"/>
      <c r="D221" s="194"/>
      <c r="E221" s="197"/>
      <c r="F221" s="194"/>
      <c r="G221" s="174"/>
      <c r="H221" s="194"/>
      <c r="I221" s="194"/>
    </row>
    <row r="222" spans="1:9" ht="12.75">
      <c r="A222" s="194"/>
      <c r="B222" s="174"/>
      <c r="C222" s="194"/>
      <c r="D222" s="194"/>
      <c r="E222" s="197"/>
      <c r="F222" s="194"/>
      <c r="G222" s="174"/>
      <c r="H222" s="194"/>
      <c r="I222" s="194"/>
    </row>
    <row r="223" spans="1:9" ht="12.75">
      <c r="A223" s="194"/>
      <c r="B223" s="174"/>
      <c r="C223" s="194"/>
      <c r="D223" s="194"/>
      <c r="E223" s="197"/>
      <c r="F223" s="194"/>
      <c r="G223" s="174"/>
      <c r="H223" s="194"/>
      <c r="I223" s="194"/>
    </row>
    <row r="224" spans="1:9" ht="12.75">
      <c r="A224" s="194"/>
      <c r="B224" s="174"/>
      <c r="C224" s="194"/>
      <c r="D224" s="194"/>
      <c r="E224" s="197"/>
      <c r="F224" s="194"/>
      <c r="G224" s="174"/>
      <c r="H224" s="194"/>
      <c r="I224" s="194"/>
    </row>
    <row r="225" spans="1:9" ht="12.75">
      <c r="A225" s="194"/>
      <c r="B225" s="174"/>
      <c r="C225" s="194"/>
      <c r="D225" s="194"/>
      <c r="E225" s="197"/>
      <c r="F225" s="194"/>
      <c r="G225" s="174"/>
      <c r="H225" s="194"/>
      <c r="I225" s="194"/>
    </row>
    <row r="226" spans="1:9" ht="12.75">
      <c r="A226" s="194"/>
      <c r="B226" s="174"/>
      <c r="C226" s="194"/>
      <c r="D226" s="194"/>
      <c r="E226" s="197"/>
      <c r="F226" s="194"/>
      <c r="G226" s="174"/>
      <c r="H226" s="194"/>
      <c r="I226" s="194"/>
    </row>
    <row r="227" spans="1:9" ht="12.75">
      <c r="A227" s="194"/>
      <c r="B227" s="174"/>
      <c r="C227" s="194"/>
      <c r="D227" s="194"/>
      <c r="E227" s="197"/>
      <c r="F227" s="194"/>
      <c r="G227" s="174"/>
      <c r="H227" s="194"/>
      <c r="I227" s="194"/>
    </row>
    <row r="228" spans="1:9" ht="12.75">
      <c r="A228" s="194"/>
      <c r="B228" s="174"/>
      <c r="C228" s="194"/>
      <c r="D228" s="194"/>
      <c r="E228" s="197"/>
      <c r="F228" s="194"/>
      <c r="G228" s="174"/>
      <c r="H228" s="194"/>
      <c r="I228" s="194"/>
    </row>
    <row r="229" spans="1:9" ht="12.75">
      <c r="A229" s="194"/>
      <c r="B229" s="174"/>
      <c r="C229" s="194"/>
      <c r="D229" s="194"/>
      <c r="E229" s="197"/>
      <c r="F229" s="194"/>
      <c r="G229" s="174"/>
      <c r="H229" s="194"/>
      <c r="I229" s="194"/>
    </row>
    <row r="230" spans="1:9" ht="12.75">
      <c r="A230" s="194"/>
      <c r="B230" s="174"/>
      <c r="C230" s="194"/>
      <c r="D230" s="194"/>
      <c r="E230" s="197"/>
      <c r="F230" s="194"/>
      <c r="G230" s="174"/>
      <c r="H230" s="194"/>
      <c r="I230" s="194"/>
    </row>
    <row r="231" spans="1:9" ht="12.75">
      <c r="A231" s="194"/>
      <c r="B231" s="174"/>
      <c r="C231" s="194"/>
      <c r="D231" s="194"/>
      <c r="E231" s="197"/>
      <c r="F231" s="194"/>
      <c r="G231" s="174"/>
      <c r="H231" s="194"/>
      <c r="I231" s="194"/>
    </row>
    <row r="232" spans="1:9" ht="12.75">
      <c r="A232" s="194"/>
      <c r="B232" s="174"/>
      <c r="C232" s="194"/>
      <c r="D232" s="194"/>
      <c r="E232" s="197"/>
      <c r="F232" s="194"/>
      <c r="G232" s="174"/>
      <c r="H232" s="194"/>
      <c r="I232" s="194"/>
    </row>
    <row r="233" spans="1:9" ht="12.75">
      <c r="A233" s="194"/>
      <c r="B233" s="174"/>
      <c r="C233" s="194"/>
      <c r="D233" s="194"/>
      <c r="E233" s="197"/>
      <c r="F233" s="194"/>
      <c r="G233" s="174"/>
      <c r="H233" s="194"/>
      <c r="I233" s="194"/>
    </row>
    <row r="234" spans="1:9" ht="12.75">
      <c r="A234" s="194"/>
      <c r="B234" s="174"/>
      <c r="C234" s="194"/>
      <c r="D234" s="194"/>
      <c r="E234" s="197"/>
      <c r="F234" s="194"/>
      <c r="G234" s="174"/>
      <c r="H234" s="194"/>
      <c r="I234" s="194"/>
    </row>
    <row r="235" spans="1:9" ht="12.75">
      <c r="A235" s="194"/>
      <c r="B235" s="174"/>
      <c r="C235" s="194"/>
      <c r="D235" s="194"/>
      <c r="E235" s="197"/>
      <c r="F235" s="194"/>
      <c r="G235" s="174"/>
      <c r="H235" s="194"/>
      <c r="I235" s="194"/>
    </row>
    <row r="236" spans="1:9" ht="12.75">
      <c r="A236" s="194"/>
      <c r="B236" s="174"/>
      <c r="C236" s="194"/>
      <c r="D236" s="194"/>
      <c r="E236" s="197"/>
      <c r="F236" s="194"/>
      <c r="G236" s="174"/>
      <c r="H236" s="194"/>
      <c r="I236" s="194"/>
    </row>
    <row r="237" spans="1:9" ht="12.75">
      <c r="A237" s="194"/>
      <c r="B237" s="174"/>
      <c r="C237" s="194"/>
      <c r="D237" s="194"/>
      <c r="E237" s="197"/>
      <c r="F237" s="194"/>
      <c r="G237" s="174"/>
      <c r="H237" s="194"/>
      <c r="I237" s="194"/>
    </row>
    <row r="238" spans="1:9" ht="12.75">
      <c r="A238" s="194"/>
      <c r="B238" s="174"/>
      <c r="C238" s="194"/>
      <c r="D238" s="194"/>
      <c r="E238" s="197"/>
      <c r="F238" s="194"/>
      <c r="G238" s="174"/>
      <c r="H238" s="194"/>
      <c r="I238" s="194"/>
    </row>
    <row r="239" spans="1:9" ht="12.75">
      <c r="A239" s="194"/>
      <c r="B239" s="174"/>
      <c r="C239" s="194"/>
      <c r="D239" s="194"/>
      <c r="E239" s="197"/>
      <c r="F239" s="194"/>
      <c r="G239" s="174"/>
      <c r="H239" s="194"/>
      <c r="I239" s="194"/>
    </row>
    <row r="240" spans="1:9" ht="12.75">
      <c r="A240" s="194"/>
      <c r="B240" s="174"/>
      <c r="C240" s="194"/>
      <c r="D240" s="194"/>
      <c r="E240" s="197"/>
      <c r="F240" s="194"/>
      <c r="G240" s="174"/>
      <c r="H240" s="194"/>
      <c r="I240" s="194"/>
    </row>
    <row r="241" spans="1:9" ht="12.75">
      <c r="A241" s="194"/>
      <c r="B241" s="174"/>
      <c r="C241" s="194"/>
      <c r="D241" s="194"/>
      <c r="E241" s="197"/>
      <c r="F241" s="194"/>
      <c r="G241" s="174"/>
      <c r="H241" s="194"/>
      <c r="I241" s="194"/>
    </row>
    <row r="242" spans="1:9" ht="12.75">
      <c r="A242" s="194"/>
      <c r="B242" s="174"/>
      <c r="C242" s="194"/>
      <c r="D242" s="194"/>
      <c r="E242" s="197"/>
      <c r="F242" s="194"/>
      <c r="G242" s="174"/>
      <c r="H242" s="194"/>
      <c r="I242" s="194"/>
    </row>
    <row r="243" spans="1:9" ht="12.75">
      <c r="A243" s="194"/>
      <c r="B243" s="174"/>
      <c r="C243" s="194"/>
      <c r="D243" s="194"/>
      <c r="E243" s="197"/>
      <c r="F243" s="194"/>
      <c r="G243" s="174"/>
      <c r="H243" s="194"/>
      <c r="I243" s="194"/>
    </row>
    <row r="244" spans="1:9" ht="12.75">
      <c r="A244" s="194"/>
      <c r="B244" s="174"/>
      <c r="C244" s="194"/>
      <c r="D244" s="194"/>
      <c r="E244" s="197"/>
      <c r="F244" s="194"/>
      <c r="G244" s="174"/>
      <c r="H244" s="194"/>
      <c r="I244" s="194"/>
    </row>
    <row r="245" spans="1:9" ht="12.75">
      <c r="A245" s="194"/>
      <c r="B245" s="174"/>
      <c r="C245" s="194"/>
      <c r="D245" s="194"/>
      <c r="E245" s="197"/>
      <c r="F245" s="194"/>
      <c r="G245" s="174"/>
      <c r="H245" s="194"/>
      <c r="I245" s="194"/>
    </row>
    <row r="246" spans="1:9" ht="12.75">
      <c r="A246" s="194"/>
      <c r="B246" s="174"/>
      <c r="C246" s="194"/>
      <c r="D246" s="194"/>
      <c r="E246" s="197"/>
      <c r="F246" s="194"/>
      <c r="G246" s="174"/>
      <c r="H246" s="194"/>
      <c r="I246" s="194"/>
    </row>
    <row r="247" spans="1:9" ht="12.75">
      <c r="A247" s="194"/>
      <c r="B247" s="174"/>
      <c r="C247" s="194"/>
      <c r="D247" s="194"/>
      <c r="E247" s="197"/>
      <c r="F247" s="194"/>
      <c r="G247" s="174"/>
      <c r="H247" s="194"/>
      <c r="I247" s="194"/>
    </row>
    <row r="248" spans="1:9" ht="12.75">
      <c r="A248" s="194"/>
      <c r="B248" s="174"/>
      <c r="C248" s="194"/>
      <c r="D248" s="194"/>
      <c r="E248" s="197"/>
      <c r="F248" s="194"/>
      <c r="G248" s="174"/>
      <c r="H248" s="194"/>
      <c r="I248" s="194"/>
    </row>
    <row r="249" spans="1:9" ht="12.75">
      <c r="A249" s="194"/>
      <c r="B249" s="174"/>
      <c r="C249" s="194"/>
      <c r="D249" s="194"/>
      <c r="E249" s="197"/>
      <c r="F249" s="194"/>
      <c r="G249" s="174"/>
      <c r="H249" s="194"/>
      <c r="I249" s="194"/>
    </row>
    <row r="250" spans="1:9" ht="12.75">
      <c r="A250" s="194"/>
      <c r="B250" s="174"/>
      <c r="C250" s="194"/>
      <c r="D250" s="194"/>
      <c r="E250" s="197"/>
      <c r="F250" s="194"/>
      <c r="G250" s="174"/>
      <c r="H250" s="194"/>
      <c r="I250" s="194"/>
    </row>
    <row r="251" spans="1:9" ht="12.75">
      <c r="A251" s="194"/>
      <c r="B251" s="174"/>
      <c r="C251" s="194"/>
      <c r="D251" s="194"/>
      <c r="E251" s="197"/>
      <c r="F251" s="194"/>
      <c r="G251" s="174"/>
      <c r="H251" s="194"/>
      <c r="I251" s="194"/>
    </row>
    <row r="252" spans="1:9" ht="12.75">
      <c r="A252" s="194"/>
      <c r="B252" s="174"/>
      <c r="C252" s="194"/>
      <c r="D252" s="194"/>
      <c r="E252" s="197"/>
      <c r="F252" s="194"/>
      <c r="G252" s="174"/>
      <c r="H252" s="194"/>
      <c r="I252" s="194"/>
    </row>
    <row r="253" spans="1:9" ht="12.75">
      <c r="A253" s="194"/>
      <c r="B253" s="174"/>
      <c r="C253" s="194"/>
      <c r="D253" s="194"/>
      <c r="E253" s="197"/>
      <c r="F253" s="194"/>
      <c r="G253" s="174"/>
      <c r="H253" s="194"/>
      <c r="I253" s="194"/>
    </row>
    <row r="254" spans="1:9" ht="12.75">
      <c r="A254" s="194"/>
      <c r="B254" s="174"/>
      <c r="C254" s="194"/>
      <c r="D254" s="194"/>
      <c r="E254" s="197"/>
      <c r="F254" s="194"/>
      <c r="G254" s="174"/>
      <c r="H254" s="194"/>
      <c r="I254" s="194"/>
    </row>
    <row r="255" spans="1:9" ht="12.75">
      <c r="A255" s="194"/>
      <c r="B255" s="174"/>
      <c r="C255" s="194"/>
      <c r="D255" s="194"/>
      <c r="E255" s="197"/>
      <c r="F255" s="194"/>
      <c r="G255" s="174"/>
      <c r="H255" s="194"/>
      <c r="I255" s="194"/>
    </row>
    <row r="256" spans="1:9" ht="12.75">
      <c r="A256" s="194"/>
      <c r="B256" s="174"/>
      <c r="C256" s="194"/>
      <c r="D256" s="194"/>
      <c r="E256" s="197"/>
      <c r="F256" s="194"/>
      <c r="G256" s="174"/>
      <c r="H256" s="194"/>
      <c r="I256" s="194"/>
    </row>
    <row r="257" spans="1:9" ht="12.75">
      <c r="A257" s="194"/>
      <c r="B257" s="174"/>
      <c r="C257" s="194"/>
      <c r="D257" s="194"/>
      <c r="E257" s="197"/>
      <c r="F257" s="194"/>
      <c r="G257" s="174"/>
      <c r="H257" s="194"/>
      <c r="I257" s="194"/>
    </row>
    <row r="258" spans="1:9" ht="12.75">
      <c r="A258" s="194"/>
      <c r="B258" s="174"/>
      <c r="C258" s="194"/>
      <c r="D258" s="194"/>
      <c r="E258" s="197"/>
      <c r="F258" s="194"/>
      <c r="G258" s="174"/>
      <c r="H258" s="194"/>
      <c r="I258" s="194"/>
    </row>
    <row r="259" spans="1:9" ht="12.75">
      <c r="A259" s="194"/>
      <c r="B259" s="174"/>
      <c r="C259" s="194"/>
      <c r="D259" s="194"/>
      <c r="E259" s="197"/>
      <c r="F259" s="194"/>
      <c r="G259" s="174"/>
      <c r="H259" s="194"/>
      <c r="I259" s="194"/>
    </row>
    <row r="260" spans="1:9" ht="12.75">
      <c r="A260" s="194"/>
      <c r="B260" s="174"/>
      <c r="C260" s="194"/>
      <c r="D260" s="194"/>
      <c r="E260" s="197"/>
      <c r="F260" s="194"/>
      <c r="G260" s="174"/>
      <c r="H260" s="194"/>
      <c r="I260" s="194"/>
    </row>
    <row r="261" spans="1:9" ht="12.75">
      <c r="A261" s="194"/>
      <c r="B261" s="174"/>
      <c r="C261" s="194"/>
      <c r="D261" s="194"/>
      <c r="E261" s="197"/>
      <c r="F261" s="194"/>
      <c r="G261" s="174"/>
      <c r="H261" s="194"/>
      <c r="I261" s="194"/>
    </row>
    <row r="262" spans="1:9" ht="12.75">
      <c r="A262" s="194"/>
      <c r="B262" s="174"/>
      <c r="C262" s="194"/>
      <c r="D262" s="194"/>
      <c r="E262" s="197"/>
      <c r="F262" s="194"/>
      <c r="G262" s="174"/>
      <c r="H262" s="194"/>
      <c r="I262" s="194"/>
    </row>
    <row r="263" spans="1:9" ht="12.75">
      <c r="A263" s="194"/>
      <c r="B263" s="174"/>
      <c r="C263" s="194"/>
      <c r="D263" s="194"/>
      <c r="E263" s="197"/>
      <c r="F263" s="194"/>
      <c r="G263" s="174"/>
      <c r="H263" s="194"/>
      <c r="I263" s="194"/>
    </row>
    <row r="264" spans="1:9" ht="12.75">
      <c r="A264" s="194"/>
      <c r="B264" s="174"/>
      <c r="C264" s="194"/>
      <c r="D264" s="194"/>
      <c r="E264" s="197"/>
      <c r="F264" s="194"/>
      <c r="G264" s="174"/>
      <c r="H264" s="194"/>
      <c r="I264" s="194"/>
    </row>
    <row r="265" spans="1:9" ht="12.75">
      <c r="A265" s="194"/>
      <c r="B265" s="174"/>
      <c r="C265" s="194"/>
      <c r="D265" s="194"/>
      <c r="E265" s="197"/>
      <c r="F265" s="194"/>
      <c r="G265" s="174"/>
      <c r="H265" s="194"/>
      <c r="I265" s="194"/>
    </row>
    <row r="266" spans="1:9" ht="12.75">
      <c r="A266" s="194"/>
      <c r="B266" s="174"/>
      <c r="C266" s="194"/>
      <c r="D266" s="194"/>
      <c r="E266" s="197"/>
      <c r="F266" s="194"/>
      <c r="G266" s="174"/>
      <c r="H266" s="194"/>
      <c r="I266" s="194"/>
    </row>
    <row r="267" spans="1:9" ht="12.75">
      <c r="A267" s="194"/>
      <c r="B267" s="174"/>
      <c r="C267" s="194"/>
      <c r="D267" s="194"/>
      <c r="E267" s="197"/>
      <c r="F267" s="194"/>
      <c r="G267" s="174"/>
      <c r="H267" s="194"/>
      <c r="I267" s="194"/>
    </row>
    <row r="268" spans="1:9" ht="12.75">
      <c r="A268" s="194"/>
      <c r="B268" s="174"/>
      <c r="C268" s="194"/>
      <c r="D268" s="194"/>
      <c r="E268" s="197"/>
      <c r="F268" s="194"/>
      <c r="G268" s="174"/>
      <c r="H268" s="194"/>
      <c r="I268" s="194"/>
    </row>
  </sheetData>
  <printOptions/>
  <pageMargins left="1.02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M142"/>
  <sheetViews>
    <sheetView workbookViewId="0" topLeftCell="A30">
      <selection activeCell="A36" sqref="A36"/>
    </sheetView>
  </sheetViews>
  <sheetFormatPr defaultColWidth="9.140625" defaultRowHeight="15" customHeight="1"/>
  <cols>
    <col min="1" max="1" width="54.00390625" style="340" customWidth="1"/>
    <col min="2" max="2" width="13.140625" style="340" customWidth="1"/>
    <col min="3" max="4" width="13.28125" style="340" customWidth="1"/>
    <col min="5" max="5" width="20.421875" style="340" customWidth="1"/>
    <col min="6" max="6" width="20.421875" style="382" customWidth="1"/>
    <col min="7" max="16384" width="20.421875" style="340" customWidth="1"/>
  </cols>
  <sheetData>
    <row r="2" ht="27" customHeight="1"/>
    <row r="3" ht="24.75" customHeight="1">
      <c r="D3" s="420" t="s">
        <v>122</v>
      </c>
    </row>
    <row r="4" spans="1:4" ht="15" customHeight="1">
      <c r="A4" s="421" t="s">
        <v>123</v>
      </c>
      <c r="B4" s="421"/>
      <c r="C4" s="421"/>
      <c r="D4" s="421"/>
    </row>
    <row r="5" spans="1:4" ht="15" customHeight="1">
      <c r="A5" s="421" t="s">
        <v>124</v>
      </c>
      <c r="B5" s="421"/>
      <c r="C5" s="421"/>
      <c r="D5" s="421"/>
    </row>
    <row r="6" ht="18.75" customHeight="1"/>
    <row r="7" spans="1:4" ht="21" customHeight="1">
      <c r="A7" s="422" t="s">
        <v>125</v>
      </c>
      <c r="B7" s="423"/>
      <c r="C7" s="423"/>
      <c r="D7" s="424" t="s">
        <v>126</v>
      </c>
    </row>
    <row r="8" spans="1:4" ht="49.5" customHeight="1">
      <c r="A8" s="425" t="s">
        <v>162</v>
      </c>
      <c r="B8" s="426" t="s">
        <v>127</v>
      </c>
      <c r="C8" s="427" t="s">
        <v>128</v>
      </c>
      <c r="D8" s="428" t="s">
        <v>165</v>
      </c>
    </row>
    <row r="9" spans="1:4" ht="15.75" hidden="1">
      <c r="A9" s="422" t="s">
        <v>125</v>
      </c>
      <c r="B9" s="423"/>
      <c r="C9" s="423"/>
      <c r="D9" s="429"/>
    </row>
    <row r="10" spans="1:4" ht="25.5" customHeight="1">
      <c r="A10" s="430" t="s">
        <v>2113</v>
      </c>
      <c r="B10" s="431">
        <v>27977</v>
      </c>
      <c r="C10" s="431"/>
      <c r="D10" s="431">
        <v>27920</v>
      </c>
    </row>
    <row r="11" spans="1:4" ht="22.5" customHeight="1">
      <c r="A11" s="430" t="s">
        <v>2108</v>
      </c>
      <c r="B11" s="431">
        <v>7000</v>
      </c>
      <c r="C11" s="431"/>
      <c r="D11" s="431">
        <v>7000</v>
      </c>
    </row>
    <row r="12" spans="1:4" ht="21.75" customHeight="1">
      <c r="A12" s="432" t="s">
        <v>2105</v>
      </c>
      <c r="B12" s="433">
        <v>282407</v>
      </c>
      <c r="C12" s="434">
        <v>17041</v>
      </c>
      <c r="D12" s="433">
        <v>257017</v>
      </c>
    </row>
    <row r="13" spans="1:4" ht="15" customHeight="1">
      <c r="A13" s="432" t="s">
        <v>129</v>
      </c>
      <c r="B13" s="431"/>
      <c r="C13" s="434"/>
      <c r="D13" s="435"/>
    </row>
    <row r="14" spans="1:6" s="370" customFormat="1" ht="15" customHeight="1">
      <c r="A14" s="436" t="s">
        <v>130</v>
      </c>
      <c r="B14" s="434">
        <v>28190</v>
      </c>
      <c r="C14" s="434"/>
      <c r="D14" s="437">
        <v>28190</v>
      </c>
      <c r="E14" s="438"/>
      <c r="F14" s="439"/>
    </row>
    <row r="15" spans="1:6" s="370" customFormat="1" ht="15" customHeight="1">
      <c r="A15" s="436" t="s">
        <v>131</v>
      </c>
      <c r="B15" s="434">
        <v>13900</v>
      </c>
      <c r="C15" s="434"/>
      <c r="D15" s="437">
        <v>13900</v>
      </c>
      <c r="E15" s="438"/>
      <c r="F15" s="439"/>
    </row>
    <row r="16" spans="1:6" s="370" customFormat="1" ht="15" customHeight="1">
      <c r="A16" s="436" t="s">
        <v>132</v>
      </c>
      <c r="B16" s="434">
        <v>28156</v>
      </c>
      <c r="C16" s="434"/>
      <c r="D16" s="437">
        <v>28156</v>
      </c>
      <c r="E16" s="438"/>
      <c r="F16" s="439"/>
    </row>
    <row r="17" spans="1:6" s="370" customFormat="1" ht="15" customHeight="1">
      <c r="A17" s="436" t="s">
        <v>133</v>
      </c>
      <c r="B17" s="434">
        <v>40000</v>
      </c>
      <c r="C17" s="434"/>
      <c r="D17" s="437">
        <v>40000</v>
      </c>
      <c r="E17" s="438"/>
      <c r="F17" s="439"/>
    </row>
    <row r="18" spans="1:6" s="370" customFormat="1" ht="15" customHeight="1">
      <c r="A18" s="436" t="s">
        <v>133</v>
      </c>
      <c r="B18" s="434">
        <v>6360</v>
      </c>
      <c r="C18" s="434"/>
      <c r="D18" s="437">
        <v>6360</v>
      </c>
      <c r="E18" s="438"/>
      <c r="F18" s="439"/>
    </row>
    <row r="19" spans="1:6" s="370" customFormat="1" ht="15" customHeight="1">
      <c r="A19" s="436" t="s">
        <v>134</v>
      </c>
      <c r="B19" s="434">
        <v>7818</v>
      </c>
      <c r="C19" s="434"/>
      <c r="D19" s="437">
        <v>7818</v>
      </c>
      <c r="E19" s="438"/>
      <c r="F19" s="439"/>
    </row>
    <row r="20" spans="1:6" s="370" customFormat="1" ht="15" customHeight="1">
      <c r="A20" s="436" t="s">
        <v>134</v>
      </c>
      <c r="B20" s="434">
        <v>4913</v>
      </c>
      <c r="C20" s="434"/>
      <c r="D20" s="437">
        <v>4913</v>
      </c>
      <c r="E20" s="438"/>
      <c r="F20" s="439"/>
    </row>
    <row r="21" spans="1:6" s="370" customFormat="1" ht="15" customHeight="1">
      <c r="A21" s="436" t="s">
        <v>131</v>
      </c>
      <c r="B21" s="434">
        <v>6000</v>
      </c>
      <c r="C21" s="434"/>
      <c r="D21" s="437">
        <v>6000</v>
      </c>
      <c r="E21" s="438"/>
      <c r="F21" s="439"/>
    </row>
    <row r="22" spans="1:5" ht="23.25" customHeight="1">
      <c r="A22" s="430" t="s">
        <v>2119</v>
      </c>
      <c r="B22" s="431">
        <v>22521</v>
      </c>
      <c r="C22" s="434"/>
      <c r="D22" s="431">
        <v>22521</v>
      </c>
      <c r="E22" s="440"/>
    </row>
    <row r="23" spans="1:4" ht="21" customHeight="1">
      <c r="A23" s="430" t="s">
        <v>1305</v>
      </c>
      <c r="B23" s="431">
        <v>17618</v>
      </c>
      <c r="C23" s="434"/>
      <c r="D23" s="431">
        <v>17618</v>
      </c>
    </row>
    <row r="24" spans="1:4" ht="20.25" customHeight="1">
      <c r="A24" s="430" t="s">
        <v>2115</v>
      </c>
      <c r="B24" s="431">
        <v>59570</v>
      </c>
      <c r="C24" s="434"/>
      <c r="D24" s="431">
        <v>59259</v>
      </c>
    </row>
    <row r="25" spans="1:4" ht="20.25" customHeight="1">
      <c r="A25" s="430" t="s">
        <v>135</v>
      </c>
      <c r="B25" s="431">
        <v>2039</v>
      </c>
      <c r="C25" s="434"/>
      <c r="D25" s="431">
        <v>2035</v>
      </c>
    </row>
    <row r="26" spans="1:4" ht="21" customHeight="1">
      <c r="A26" s="430" t="s">
        <v>690</v>
      </c>
      <c r="B26" s="431">
        <v>201735</v>
      </c>
      <c r="C26" s="434">
        <v>131346</v>
      </c>
      <c r="D26" s="431">
        <v>70388</v>
      </c>
    </row>
    <row r="27" spans="1:4" ht="19.5" customHeight="1">
      <c r="A27" s="430" t="s">
        <v>1230</v>
      </c>
      <c r="B27" s="431">
        <v>1959</v>
      </c>
      <c r="C27" s="434"/>
      <c r="D27" s="431">
        <v>1958</v>
      </c>
    </row>
    <row r="28" spans="1:4" ht="20.25" customHeight="1">
      <c r="A28" s="430" t="s">
        <v>2095</v>
      </c>
      <c r="B28" s="431">
        <v>95000</v>
      </c>
      <c r="C28" s="431"/>
      <c r="D28" s="431">
        <v>89963</v>
      </c>
    </row>
    <row r="29" spans="1:4" ht="19.5" customHeight="1">
      <c r="A29" s="430" t="s">
        <v>136</v>
      </c>
      <c r="B29" s="431">
        <v>52706</v>
      </c>
      <c r="C29" s="431"/>
      <c r="D29" s="431">
        <v>52706</v>
      </c>
    </row>
    <row r="30" spans="1:4" ht="20.25" customHeight="1">
      <c r="A30" s="430" t="s">
        <v>2127</v>
      </c>
      <c r="B30" s="431">
        <v>17163</v>
      </c>
      <c r="C30" s="431"/>
      <c r="D30" s="431">
        <v>17163</v>
      </c>
    </row>
    <row r="31" spans="1:4" ht="18.75" customHeight="1">
      <c r="A31" s="430" t="s">
        <v>137</v>
      </c>
      <c r="B31" s="431">
        <v>200248</v>
      </c>
      <c r="C31" s="431"/>
      <c r="D31" s="431">
        <v>200244</v>
      </c>
    </row>
    <row r="32" spans="1:4" ht="21" customHeight="1">
      <c r="A32" s="441" t="s">
        <v>1717</v>
      </c>
      <c r="B32" s="442">
        <f>SUM(B10,B11,B12,B22:B31)</f>
        <v>987943</v>
      </c>
      <c r="C32" s="442"/>
      <c r="D32" s="442">
        <f>SUM(D10,D11,D12,D22:D31)</f>
        <v>825792</v>
      </c>
    </row>
    <row r="33" spans="1:6" s="370" customFormat="1" ht="9" customHeight="1">
      <c r="A33" s="436"/>
      <c r="B33" s="434"/>
      <c r="C33" s="434"/>
      <c r="D33" s="437"/>
      <c r="F33" s="439"/>
    </row>
    <row r="34" spans="1:6" s="370" customFormat="1" ht="15.75">
      <c r="A34" s="436" t="s">
        <v>138</v>
      </c>
      <c r="B34" s="434"/>
      <c r="C34" s="434">
        <f>C12+C26</f>
        <v>148387</v>
      </c>
      <c r="D34" s="437"/>
      <c r="F34" s="439"/>
    </row>
    <row r="35" spans="1:6" s="370" customFormat="1" ht="22.5" customHeight="1">
      <c r="A35" s="443" t="s">
        <v>139</v>
      </c>
      <c r="B35" s="442">
        <v>826182</v>
      </c>
      <c r="C35" s="442"/>
      <c r="D35" s="437"/>
      <c r="F35" s="439"/>
    </row>
    <row r="36" spans="1:6" s="370" customFormat="1" ht="15.75">
      <c r="A36" s="443"/>
      <c r="B36" s="442"/>
      <c r="C36" s="442"/>
      <c r="D36" s="437"/>
      <c r="F36" s="439"/>
    </row>
    <row r="37" spans="1:4" ht="6.75" customHeight="1">
      <c r="A37" s="443"/>
      <c r="B37" s="444"/>
      <c r="C37" s="444"/>
      <c r="D37" s="445"/>
    </row>
    <row r="38" spans="1:4" ht="15" customHeight="1" hidden="1">
      <c r="A38" s="443"/>
      <c r="B38" s="446"/>
      <c r="C38" s="446"/>
      <c r="D38" s="447" t="s">
        <v>199</v>
      </c>
    </row>
    <row r="39" spans="1:4" ht="25.5" customHeight="1" hidden="1">
      <c r="A39" s="448" t="s">
        <v>162</v>
      </c>
      <c r="B39" s="449" t="s">
        <v>140</v>
      </c>
      <c r="C39" s="450"/>
      <c r="D39" s="451" t="s">
        <v>141</v>
      </c>
    </row>
    <row r="40" spans="1:4" ht="0.75" customHeight="1" hidden="1">
      <c r="A40" s="452"/>
      <c r="B40" s="453"/>
      <c r="C40" s="454"/>
      <c r="D40" s="455"/>
    </row>
    <row r="41" spans="1:247" s="457" customFormat="1" ht="18" customHeight="1">
      <c r="A41" s="422" t="s">
        <v>142</v>
      </c>
      <c r="B41" s="445"/>
      <c r="C41" s="447" t="s">
        <v>199</v>
      </c>
      <c r="D41" s="456"/>
      <c r="E41" s="340"/>
      <c r="F41" s="382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O41" s="340"/>
      <c r="CP41" s="340"/>
      <c r="CQ41" s="340"/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40"/>
      <c r="DR41" s="340"/>
      <c r="DS41" s="340"/>
      <c r="DT41" s="340"/>
      <c r="DU41" s="340"/>
      <c r="DV41" s="340"/>
      <c r="DW41" s="340"/>
      <c r="DX41" s="340"/>
      <c r="DY41" s="340"/>
      <c r="DZ41" s="340"/>
      <c r="EA41" s="340"/>
      <c r="EB41" s="340"/>
      <c r="EC41" s="340"/>
      <c r="ED41" s="340"/>
      <c r="EE41" s="340"/>
      <c r="EF41" s="340"/>
      <c r="EG41" s="340"/>
      <c r="EH41" s="340"/>
      <c r="EI41" s="340"/>
      <c r="EJ41" s="340"/>
      <c r="EK41" s="340"/>
      <c r="EL41" s="340"/>
      <c r="EM41" s="340"/>
      <c r="EN41" s="340"/>
      <c r="EO41" s="340"/>
      <c r="EP41" s="340"/>
      <c r="EQ41" s="340"/>
      <c r="ER41" s="340"/>
      <c r="ES41" s="340"/>
      <c r="ET41" s="340"/>
      <c r="EU41" s="340"/>
      <c r="EV41" s="340"/>
      <c r="EW41" s="340"/>
      <c r="EX41" s="340"/>
      <c r="EY41" s="340"/>
      <c r="EZ41" s="340"/>
      <c r="FA41" s="340"/>
      <c r="FB41" s="340"/>
      <c r="FC41" s="340"/>
      <c r="FD41" s="340"/>
      <c r="FE41" s="340"/>
      <c r="FF41" s="340"/>
      <c r="FG41" s="340"/>
      <c r="FH41" s="340"/>
      <c r="FI41" s="340"/>
      <c r="FJ41" s="340"/>
      <c r="FK41" s="340"/>
      <c r="FL41" s="340"/>
      <c r="FM41" s="340"/>
      <c r="FN41" s="340"/>
      <c r="FO41" s="340"/>
      <c r="FP41" s="340"/>
      <c r="FQ41" s="340"/>
      <c r="FR41" s="340"/>
      <c r="FS41" s="340"/>
      <c r="FT41" s="340"/>
      <c r="FU41" s="340"/>
      <c r="FV41" s="340"/>
      <c r="FW41" s="340"/>
      <c r="FX41" s="340"/>
      <c r="FY41" s="340"/>
      <c r="FZ41" s="340"/>
      <c r="GA41" s="340"/>
      <c r="GB41" s="340"/>
      <c r="GC41" s="340"/>
      <c r="GD41" s="340"/>
      <c r="GE41" s="340"/>
      <c r="GF41" s="340"/>
      <c r="GG41" s="340"/>
      <c r="GH41" s="340"/>
      <c r="GI41" s="340"/>
      <c r="GJ41" s="340"/>
      <c r="GK41" s="340"/>
      <c r="GL41" s="340"/>
      <c r="GM41" s="340"/>
      <c r="GN41" s="340"/>
      <c r="GO41" s="340"/>
      <c r="GP41" s="340"/>
      <c r="GQ41" s="340"/>
      <c r="GR41" s="340"/>
      <c r="GS41" s="340"/>
      <c r="GT41" s="340"/>
      <c r="GU41" s="340"/>
      <c r="GV41" s="340"/>
      <c r="GW41" s="340"/>
      <c r="GX41" s="340"/>
      <c r="GY41" s="340"/>
      <c r="GZ41" s="340"/>
      <c r="HA41" s="340"/>
      <c r="HB41" s="340"/>
      <c r="HC41" s="340"/>
      <c r="HD41" s="340"/>
      <c r="HE41" s="340"/>
      <c r="HF41" s="340"/>
      <c r="HG41" s="340"/>
      <c r="HH41" s="340"/>
      <c r="HI41" s="340"/>
      <c r="HJ41" s="340"/>
      <c r="HK41" s="340"/>
      <c r="HL41" s="340"/>
      <c r="HM41" s="340"/>
      <c r="HN41" s="340"/>
      <c r="HO41" s="340"/>
      <c r="HP41" s="340"/>
      <c r="HQ41" s="340"/>
      <c r="HR41" s="340"/>
      <c r="HS41" s="340"/>
      <c r="HT41" s="340"/>
      <c r="HU41" s="340"/>
      <c r="HV41" s="340"/>
      <c r="HW41" s="340"/>
      <c r="HX41" s="340"/>
      <c r="HY41" s="340"/>
      <c r="HZ41" s="340"/>
      <c r="IA41" s="340"/>
      <c r="IB41" s="340"/>
      <c r="IC41" s="340"/>
      <c r="ID41" s="340"/>
      <c r="IE41" s="340"/>
      <c r="IF41" s="340"/>
      <c r="IG41" s="340"/>
      <c r="IH41" s="340"/>
      <c r="II41" s="340"/>
      <c r="IJ41" s="340"/>
      <c r="IK41" s="340"/>
      <c r="IL41" s="340"/>
      <c r="IM41" s="340"/>
    </row>
    <row r="42" spans="1:4" ht="25.5" customHeight="1">
      <c r="A42" s="425" t="s">
        <v>162</v>
      </c>
      <c r="B42" s="458" t="s">
        <v>140</v>
      </c>
      <c r="C42" s="459" t="s">
        <v>141</v>
      </c>
      <c r="D42" s="460"/>
    </row>
    <row r="43" spans="1:247" s="457" customFormat="1" ht="33" customHeight="1" hidden="1">
      <c r="A43" s="461"/>
      <c r="B43" s="445"/>
      <c r="C43" s="445"/>
      <c r="D43" s="445"/>
      <c r="E43" s="340"/>
      <c r="F43" s="382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0"/>
      <c r="DE43" s="340"/>
      <c r="DF43" s="340"/>
      <c r="DG43" s="340"/>
      <c r="DH43" s="340"/>
      <c r="DI43" s="340"/>
      <c r="DJ43" s="340"/>
      <c r="DK43" s="340"/>
      <c r="DL43" s="340"/>
      <c r="DM43" s="340"/>
      <c r="DN43" s="340"/>
      <c r="DO43" s="340"/>
      <c r="DP43" s="340"/>
      <c r="DQ43" s="340"/>
      <c r="DR43" s="340"/>
      <c r="DS43" s="340"/>
      <c r="DT43" s="340"/>
      <c r="DU43" s="340"/>
      <c r="DV43" s="340"/>
      <c r="DW43" s="340"/>
      <c r="DX43" s="340"/>
      <c r="DY43" s="340"/>
      <c r="DZ43" s="340"/>
      <c r="EA43" s="340"/>
      <c r="EB43" s="340"/>
      <c r="EC43" s="340"/>
      <c r="ED43" s="340"/>
      <c r="EE43" s="340"/>
      <c r="EF43" s="340"/>
      <c r="EG43" s="340"/>
      <c r="EH43" s="340"/>
      <c r="EI43" s="340"/>
      <c r="EJ43" s="340"/>
      <c r="EK43" s="340"/>
      <c r="EL43" s="340"/>
      <c r="EM43" s="340"/>
      <c r="EN43" s="340"/>
      <c r="EO43" s="340"/>
      <c r="EP43" s="340"/>
      <c r="EQ43" s="340"/>
      <c r="ER43" s="340"/>
      <c r="ES43" s="340"/>
      <c r="ET43" s="340"/>
      <c r="EU43" s="340"/>
      <c r="EV43" s="340"/>
      <c r="EW43" s="340"/>
      <c r="EX43" s="340"/>
      <c r="EY43" s="340"/>
      <c r="EZ43" s="340"/>
      <c r="FA43" s="340"/>
      <c r="FB43" s="340"/>
      <c r="FC43" s="340"/>
      <c r="FD43" s="340"/>
      <c r="FE43" s="340"/>
      <c r="FF43" s="340"/>
      <c r="FG43" s="340"/>
      <c r="FH43" s="340"/>
      <c r="FI43" s="340"/>
      <c r="FJ43" s="340"/>
      <c r="FK43" s="340"/>
      <c r="FL43" s="340"/>
      <c r="FM43" s="340"/>
      <c r="FN43" s="340"/>
      <c r="FO43" s="340"/>
      <c r="FP43" s="340"/>
      <c r="FQ43" s="340"/>
      <c r="FR43" s="340"/>
      <c r="FS43" s="340"/>
      <c r="FT43" s="340"/>
      <c r="FU43" s="340"/>
      <c r="FV43" s="340"/>
      <c r="FW43" s="340"/>
      <c r="FX43" s="340"/>
      <c r="FY43" s="340"/>
      <c r="FZ43" s="340"/>
      <c r="GA43" s="340"/>
      <c r="GB43" s="340"/>
      <c r="GC43" s="340"/>
      <c r="GD43" s="340"/>
      <c r="GE43" s="340"/>
      <c r="GF43" s="340"/>
      <c r="GG43" s="340"/>
      <c r="GH43" s="340"/>
      <c r="GI43" s="340"/>
      <c r="GJ43" s="340"/>
      <c r="GK43" s="340"/>
      <c r="GL43" s="340"/>
      <c r="GM43" s="340"/>
      <c r="GN43" s="340"/>
      <c r="GO43" s="340"/>
      <c r="GP43" s="340"/>
      <c r="GQ43" s="340"/>
      <c r="GR43" s="340"/>
      <c r="GS43" s="340"/>
      <c r="GT43" s="340"/>
      <c r="GU43" s="340"/>
      <c r="GV43" s="340"/>
      <c r="GW43" s="340"/>
      <c r="GX43" s="340"/>
      <c r="GY43" s="340"/>
      <c r="GZ43" s="340"/>
      <c r="HA43" s="340"/>
      <c r="HB43" s="340"/>
      <c r="HC43" s="340"/>
      <c r="HD43" s="340"/>
      <c r="HE43" s="340"/>
      <c r="HF43" s="340"/>
      <c r="HG43" s="340"/>
      <c r="HH43" s="340"/>
      <c r="HI43" s="340"/>
      <c r="HJ43" s="340"/>
      <c r="HK43" s="340"/>
      <c r="HL43" s="340"/>
      <c r="HM43" s="340"/>
      <c r="HN43" s="340"/>
      <c r="HO43" s="340"/>
      <c r="HP43" s="340"/>
      <c r="HQ43" s="340"/>
      <c r="HR43" s="340"/>
      <c r="HS43" s="340"/>
      <c r="HT43" s="340"/>
      <c r="HU43" s="340"/>
      <c r="HV43" s="340"/>
      <c r="HW43" s="340"/>
      <c r="HX43" s="340"/>
      <c r="HY43" s="340"/>
      <c r="HZ43" s="340"/>
      <c r="IA43" s="340"/>
      <c r="IB43" s="340"/>
      <c r="IC43" s="340"/>
      <c r="ID43" s="340"/>
      <c r="IE43" s="340"/>
      <c r="IF43" s="340"/>
      <c r="IG43" s="340"/>
      <c r="IH43" s="340"/>
      <c r="II43" s="340"/>
      <c r="IJ43" s="340"/>
      <c r="IK43" s="340"/>
      <c r="IL43" s="340"/>
      <c r="IM43" s="340"/>
    </row>
    <row r="44" spans="1:247" s="463" customFormat="1" ht="22.5" customHeight="1">
      <c r="A44" s="462" t="s">
        <v>143</v>
      </c>
      <c r="B44" s="446">
        <v>826182</v>
      </c>
      <c r="C44" s="446">
        <f>SUM(C45,C58)</f>
        <v>825792</v>
      </c>
      <c r="D44" s="446"/>
      <c r="E44" s="340"/>
      <c r="F44" s="382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/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/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40"/>
      <c r="DZ44" s="340"/>
      <c r="EA44" s="340"/>
      <c r="EB44" s="340"/>
      <c r="EC44" s="340"/>
      <c r="ED44" s="340"/>
      <c r="EE44" s="340"/>
      <c r="EF44" s="340"/>
      <c r="EG44" s="340"/>
      <c r="EH44" s="340"/>
      <c r="EI44" s="340"/>
      <c r="EJ44" s="340"/>
      <c r="EK44" s="340"/>
      <c r="EL44" s="340"/>
      <c r="EM44" s="340"/>
      <c r="EN44" s="340"/>
      <c r="EO44" s="340"/>
      <c r="EP44" s="340"/>
      <c r="EQ44" s="340"/>
      <c r="ER44" s="340"/>
      <c r="ES44" s="340"/>
      <c r="ET44" s="340"/>
      <c r="EU44" s="340"/>
      <c r="EV44" s="340"/>
      <c r="EW44" s="340"/>
      <c r="EX44" s="340"/>
      <c r="EY44" s="340"/>
      <c r="EZ44" s="340"/>
      <c r="FA44" s="340"/>
      <c r="FB44" s="340"/>
      <c r="FC44" s="340"/>
      <c r="FD44" s="340"/>
      <c r="FE44" s="340"/>
      <c r="FF44" s="340"/>
      <c r="FG44" s="340"/>
      <c r="FH44" s="340"/>
      <c r="FI44" s="340"/>
      <c r="FJ44" s="340"/>
      <c r="FK44" s="340"/>
      <c r="FL44" s="340"/>
      <c r="FM44" s="340"/>
      <c r="FN44" s="340"/>
      <c r="FO44" s="340"/>
      <c r="FP44" s="340"/>
      <c r="FQ44" s="340"/>
      <c r="FR44" s="340"/>
      <c r="FS44" s="340"/>
      <c r="FT44" s="340"/>
      <c r="FU44" s="340"/>
      <c r="FV44" s="340"/>
      <c r="FW44" s="340"/>
      <c r="FX44" s="340"/>
      <c r="FY44" s="340"/>
      <c r="FZ44" s="340"/>
      <c r="GA44" s="340"/>
      <c r="GB44" s="340"/>
      <c r="GC44" s="340"/>
      <c r="GD44" s="340"/>
      <c r="GE44" s="340"/>
      <c r="GF44" s="340"/>
      <c r="GG44" s="340"/>
      <c r="GH44" s="340"/>
      <c r="GI44" s="340"/>
      <c r="GJ44" s="340"/>
      <c r="GK44" s="340"/>
      <c r="GL44" s="340"/>
      <c r="GM44" s="340"/>
      <c r="GN44" s="340"/>
      <c r="GO44" s="340"/>
      <c r="GP44" s="340"/>
      <c r="GQ44" s="340"/>
      <c r="GR44" s="340"/>
      <c r="GS44" s="340"/>
      <c r="GT44" s="340"/>
      <c r="GU44" s="340"/>
      <c r="GV44" s="340"/>
      <c r="GW44" s="340"/>
      <c r="GX44" s="340"/>
      <c r="GY44" s="340"/>
      <c r="GZ44" s="340"/>
      <c r="HA44" s="340"/>
      <c r="HB44" s="340"/>
      <c r="HC44" s="340"/>
      <c r="HD44" s="340"/>
      <c r="HE44" s="340"/>
      <c r="HF44" s="340"/>
      <c r="HG44" s="340"/>
      <c r="HH44" s="340"/>
      <c r="HI44" s="340"/>
      <c r="HJ44" s="340"/>
      <c r="HK44" s="340"/>
      <c r="HL44" s="340"/>
      <c r="HM44" s="340"/>
      <c r="HN44" s="340"/>
      <c r="HO44" s="340"/>
      <c r="HP44" s="340"/>
      <c r="HQ44" s="340"/>
      <c r="HR44" s="340"/>
      <c r="HS44" s="340"/>
      <c r="HT44" s="340"/>
      <c r="HU44" s="340"/>
      <c r="HV44" s="340"/>
      <c r="HW44" s="340"/>
      <c r="HX44" s="340"/>
      <c r="HY44" s="340"/>
      <c r="HZ44" s="340"/>
      <c r="IA44" s="340"/>
      <c r="IB44" s="340"/>
      <c r="IC44" s="340"/>
      <c r="ID44" s="340"/>
      <c r="IE44" s="340"/>
      <c r="IF44" s="340"/>
      <c r="IG44" s="340"/>
      <c r="IH44" s="340"/>
      <c r="II44" s="340"/>
      <c r="IJ44" s="340"/>
      <c r="IK44" s="340"/>
      <c r="IL44" s="340"/>
      <c r="IM44" s="340"/>
    </row>
    <row r="45" spans="1:247" s="463" customFormat="1" ht="20.25" customHeight="1">
      <c r="A45" s="464" t="s">
        <v>144</v>
      </c>
      <c r="B45" s="445">
        <v>826182</v>
      </c>
      <c r="C45" s="446">
        <f>SUM(C46,C55)</f>
        <v>775919</v>
      </c>
      <c r="D45" s="446"/>
      <c r="E45" s="340"/>
      <c r="F45" s="382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0"/>
      <c r="BI45" s="340"/>
      <c r="BJ45" s="340"/>
      <c r="BK45" s="340"/>
      <c r="BL45" s="340"/>
      <c r="BM45" s="340"/>
      <c r="BN45" s="340"/>
      <c r="BO45" s="340"/>
      <c r="BP45" s="340"/>
      <c r="BQ45" s="340"/>
      <c r="BR45" s="340"/>
      <c r="BS45" s="340"/>
      <c r="BT45" s="340"/>
      <c r="BU45" s="340"/>
      <c r="BV45" s="340"/>
      <c r="BW45" s="340"/>
      <c r="BX45" s="340"/>
      <c r="BY45" s="340"/>
      <c r="BZ45" s="340"/>
      <c r="CA45" s="340"/>
      <c r="CB45" s="340"/>
      <c r="CC45" s="340"/>
      <c r="CD45" s="340"/>
      <c r="CE45" s="340"/>
      <c r="CF45" s="340"/>
      <c r="CG45" s="340"/>
      <c r="CH45" s="340"/>
      <c r="CI45" s="340"/>
      <c r="CJ45" s="340"/>
      <c r="CK45" s="340"/>
      <c r="CL45" s="340"/>
      <c r="CM45" s="340"/>
      <c r="CN45" s="340"/>
      <c r="CO45" s="340"/>
      <c r="CP45" s="340"/>
      <c r="CQ45" s="340"/>
      <c r="CR45" s="340"/>
      <c r="CS45" s="340"/>
      <c r="CT45" s="340"/>
      <c r="CU45" s="340"/>
      <c r="CV45" s="340"/>
      <c r="CW45" s="340"/>
      <c r="CX45" s="340"/>
      <c r="CY45" s="340"/>
      <c r="CZ45" s="340"/>
      <c r="DA45" s="340"/>
      <c r="DB45" s="340"/>
      <c r="DC45" s="340"/>
      <c r="DD45" s="340"/>
      <c r="DE45" s="340"/>
      <c r="DF45" s="340"/>
      <c r="DG45" s="340"/>
      <c r="DH45" s="340"/>
      <c r="DI45" s="340"/>
      <c r="DJ45" s="340"/>
      <c r="DK45" s="340"/>
      <c r="DL45" s="340"/>
      <c r="DM45" s="340"/>
      <c r="DN45" s="340"/>
      <c r="DO45" s="340"/>
      <c r="DP45" s="340"/>
      <c r="DQ45" s="340"/>
      <c r="DR45" s="340"/>
      <c r="DS45" s="340"/>
      <c r="DT45" s="340"/>
      <c r="DU45" s="340"/>
      <c r="DV45" s="340"/>
      <c r="DW45" s="340"/>
      <c r="DX45" s="340"/>
      <c r="DY45" s="340"/>
      <c r="DZ45" s="340"/>
      <c r="EA45" s="340"/>
      <c r="EB45" s="340"/>
      <c r="EC45" s="340"/>
      <c r="ED45" s="340"/>
      <c r="EE45" s="340"/>
      <c r="EF45" s="340"/>
      <c r="EG45" s="340"/>
      <c r="EH45" s="340"/>
      <c r="EI45" s="340"/>
      <c r="EJ45" s="340"/>
      <c r="EK45" s="340"/>
      <c r="EL45" s="340"/>
      <c r="EM45" s="340"/>
      <c r="EN45" s="340"/>
      <c r="EO45" s="340"/>
      <c r="EP45" s="340"/>
      <c r="EQ45" s="340"/>
      <c r="ER45" s="340"/>
      <c r="ES45" s="340"/>
      <c r="ET45" s="340"/>
      <c r="EU45" s="340"/>
      <c r="EV45" s="340"/>
      <c r="EW45" s="340"/>
      <c r="EX45" s="340"/>
      <c r="EY45" s="340"/>
      <c r="EZ45" s="340"/>
      <c r="FA45" s="340"/>
      <c r="FB45" s="340"/>
      <c r="FC45" s="340"/>
      <c r="FD45" s="340"/>
      <c r="FE45" s="340"/>
      <c r="FF45" s="340"/>
      <c r="FG45" s="340"/>
      <c r="FH45" s="340"/>
      <c r="FI45" s="340"/>
      <c r="FJ45" s="340"/>
      <c r="FK45" s="340"/>
      <c r="FL45" s="340"/>
      <c r="FM45" s="340"/>
      <c r="FN45" s="340"/>
      <c r="FO45" s="340"/>
      <c r="FP45" s="340"/>
      <c r="FQ45" s="340"/>
      <c r="FR45" s="340"/>
      <c r="FS45" s="340"/>
      <c r="FT45" s="340"/>
      <c r="FU45" s="340"/>
      <c r="FV45" s="340"/>
      <c r="FW45" s="340"/>
      <c r="FX45" s="340"/>
      <c r="FY45" s="340"/>
      <c r="FZ45" s="340"/>
      <c r="GA45" s="340"/>
      <c r="GB45" s="340"/>
      <c r="GC45" s="340"/>
      <c r="GD45" s="340"/>
      <c r="GE45" s="340"/>
      <c r="GF45" s="340"/>
      <c r="GG45" s="340"/>
      <c r="GH45" s="340"/>
      <c r="GI45" s="340"/>
      <c r="GJ45" s="340"/>
      <c r="GK45" s="340"/>
      <c r="GL45" s="340"/>
      <c r="GM45" s="340"/>
      <c r="GN45" s="340"/>
      <c r="GO45" s="340"/>
      <c r="GP45" s="340"/>
      <c r="GQ45" s="340"/>
      <c r="GR45" s="340"/>
      <c r="GS45" s="340"/>
      <c r="GT45" s="340"/>
      <c r="GU45" s="340"/>
      <c r="GV45" s="340"/>
      <c r="GW45" s="340"/>
      <c r="GX45" s="340"/>
      <c r="GY45" s="340"/>
      <c r="GZ45" s="340"/>
      <c r="HA45" s="340"/>
      <c r="HB45" s="340"/>
      <c r="HC45" s="340"/>
      <c r="HD45" s="340"/>
      <c r="HE45" s="340"/>
      <c r="HF45" s="340"/>
      <c r="HG45" s="340"/>
      <c r="HH45" s="340"/>
      <c r="HI45" s="340"/>
      <c r="HJ45" s="340"/>
      <c r="HK45" s="340"/>
      <c r="HL45" s="340"/>
      <c r="HM45" s="340"/>
      <c r="HN45" s="340"/>
      <c r="HO45" s="340"/>
      <c r="HP45" s="340"/>
      <c r="HQ45" s="340"/>
      <c r="HR45" s="340"/>
      <c r="HS45" s="340"/>
      <c r="HT45" s="340"/>
      <c r="HU45" s="340"/>
      <c r="HV45" s="340"/>
      <c r="HW45" s="340"/>
      <c r="HX45" s="340"/>
      <c r="HY45" s="340"/>
      <c r="HZ45" s="340"/>
      <c r="IA45" s="340"/>
      <c r="IB45" s="340"/>
      <c r="IC45" s="340"/>
      <c r="ID45" s="340"/>
      <c r="IE45" s="340"/>
      <c r="IF45" s="340"/>
      <c r="IG45" s="340"/>
      <c r="IH45" s="340"/>
      <c r="II45" s="340"/>
      <c r="IJ45" s="340"/>
      <c r="IK45" s="340"/>
      <c r="IL45" s="340"/>
      <c r="IM45" s="340"/>
    </row>
    <row r="46" spans="1:247" s="463" customFormat="1" ht="22.5" customHeight="1">
      <c r="A46" s="432" t="s">
        <v>145</v>
      </c>
      <c r="B46" s="445">
        <v>826182</v>
      </c>
      <c r="C46" s="445">
        <f>SUM(C47:C54)</f>
        <v>726606</v>
      </c>
      <c r="D46" s="445"/>
      <c r="E46" s="340"/>
      <c r="F46" s="382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  <c r="CH46" s="340"/>
      <c r="CI46" s="340"/>
      <c r="CJ46" s="340"/>
      <c r="CK46" s="340"/>
      <c r="CL46" s="340"/>
      <c r="CM46" s="340"/>
      <c r="CN46" s="340"/>
      <c r="CO46" s="340"/>
      <c r="CP46" s="340"/>
      <c r="CQ46" s="340"/>
      <c r="CR46" s="340"/>
      <c r="CS46" s="340"/>
      <c r="CT46" s="340"/>
      <c r="CU46" s="340"/>
      <c r="CV46" s="340"/>
      <c r="CW46" s="340"/>
      <c r="CX46" s="340"/>
      <c r="CY46" s="340"/>
      <c r="CZ46" s="340"/>
      <c r="DA46" s="340"/>
      <c r="DB46" s="340"/>
      <c r="DC46" s="340"/>
      <c r="DD46" s="340"/>
      <c r="DE46" s="340"/>
      <c r="DF46" s="340"/>
      <c r="DG46" s="340"/>
      <c r="DH46" s="340"/>
      <c r="DI46" s="340"/>
      <c r="DJ46" s="340"/>
      <c r="DK46" s="340"/>
      <c r="DL46" s="340"/>
      <c r="DM46" s="340"/>
      <c r="DN46" s="340"/>
      <c r="DO46" s="340"/>
      <c r="DP46" s="340"/>
      <c r="DQ46" s="340"/>
      <c r="DR46" s="340"/>
      <c r="DS46" s="340"/>
      <c r="DT46" s="340"/>
      <c r="DU46" s="340"/>
      <c r="DV46" s="340"/>
      <c r="DW46" s="340"/>
      <c r="DX46" s="340"/>
      <c r="DY46" s="340"/>
      <c r="DZ46" s="340"/>
      <c r="EA46" s="340"/>
      <c r="EB46" s="340"/>
      <c r="EC46" s="340"/>
      <c r="ED46" s="340"/>
      <c r="EE46" s="340"/>
      <c r="EF46" s="340"/>
      <c r="EG46" s="340"/>
      <c r="EH46" s="340"/>
      <c r="EI46" s="340"/>
      <c r="EJ46" s="340"/>
      <c r="EK46" s="340"/>
      <c r="EL46" s="340"/>
      <c r="EM46" s="340"/>
      <c r="EN46" s="340"/>
      <c r="EO46" s="340"/>
      <c r="EP46" s="340"/>
      <c r="EQ46" s="340"/>
      <c r="ER46" s="340"/>
      <c r="ES46" s="340"/>
      <c r="ET46" s="340"/>
      <c r="EU46" s="340"/>
      <c r="EV46" s="340"/>
      <c r="EW46" s="340"/>
      <c r="EX46" s="340"/>
      <c r="EY46" s="340"/>
      <c r="EZ46" s="340"/>
      <c r="FA46" s="340"/>
      <c r="FB46" s="340"/>
      <c r="FC46" s="340"/>
      <c r="FD46" s="340"/>
      <c r="FE46" s="340"/>
      <c r="FF46" s="340"/>
      <c r="FG46" s="340"/>
      <c r="FH46" s="340"/>
      <c r="FI46" s="340"/>
      <c r="FJ46" s="340"/>
      <c r="FK46" s="340"/>
      <c r="FL46" s="340"/>
      <c r="FM46" s="340"/>
      <c r="FN46" s="340"/>
      <c r="FO46" s="340"/>
      <c r="FP46" s="340"/>
      <c r="FQ46" s="340"/>
      <c r="FR46" s="340"/>
      <c r="FS46" s="340"/>
      <c r="FT46" s="340"/>
      <c r="FU46" s="340"/>
      <c r="FV46" s="340"/>
      <c r="FW46" s="340"/>
      <c r="FX46" s="340"/>
      <c r="FY46" s="340"/>
      <c r="FZ46" s="340"/>
      <c r="GA46" s="340"/>
      <c r="GB46" s="340"/>
      <c r="GC46" s="340"/>
      <c r="GD46" s="340"/>
      <c r="GE46" s="340"/>
      <c r="GF46" s="340"/>
      <c r="GG46" s="340"/>
      <c r="GH46" s="340"/>
      <c r="GI46" s="340"/>
      <c r="GJ46" s="340"/>
      <c r="GK46" s="340"/>
      <c r="GL46" s="340"/>
      <c r="GM46" s="340"/>
      <c r="GN46" s="340"/>
      <c r="GO46" s="340"/>
      <c r="GP46" s="340"/>
      <c r="GQ46" s="340"/>
      <c r="GR46" s="340"/>
      <c r="GS46" s="340"/>
      <c r="GT46" s="340"/>
      <c r="GU46" s="340"/>
      <c r="GV46" s="340"/>
      <c r="GW46" s="340"/>
      <c r="GX46" s="340"/>
      <c r="GY46" s="340"/>
      <c r="GZ46" s="340"/>
      <c r="HA46" s="340"/>
      <c r="HB46" s="340"/>
      <c r="HC46" s="340"/>
      <c r="HD46" s="340"/>
      <c r="HE46" s="340"/>
      <c r="HF46" s="340"/>
      <c r="HG46" s="340"/>
      <c r="HH46" s="340"/>
      <c r="HI46" s="340"/>
      <c r="HJ46" s="340"/>
      <c r="HK46" s="340"/>
      <c r="HL46" s="340"/>
      <c r="HM46" s="340"/>
      <c r="HN46" s="340"/>
      <c r="HO46" s="340"/>
      <c r="HP46" s="340"/>
      <c r="HQ46" s="340"/>
      <c r="HR46" s="340"/>
      <c r="HS46" s="340"/>
      <c r="HT46" s="340"/>
      <c r="HU46" s="340"/>
      <c r="HV46" s="340"/>
      <c r="HW46" s="340"/>
      <c r="HX46" s="340"/>
      <c r="HY46" s="340"/>
      <c r="HZ46" s="340"/>
      <c r="IA46" s="340"/>
      <c r="IB46" s="340"/>
      <c r="IC46" s="340"/>
      <c r="ID46" s="340"/>
      <c r="IE46" s="340"/>
      <c r="IF46" s="340"/>
      <c r="IG46" s="340"/>
      <c r="IH46" s="340"/>
      <c r="II46" s="340"/>
      <c r="IJ46" s="340"/>
      <c r="IK46" s="340"/>
      <c r="IL46" s="340"/>
      <c r="IM46" s="340"/>
    </row>
    <row r="47" spans="1:247" s="468" customFormat="1" ht="15" customHeight="1">
      <c r="A47" s="436" t="s">
        <v>146</v>
      </c>
      <c r="B47" s="465"/>
      <c r="C47" s="465">
        <v>175876</v>
      </c>
      <c r="D47" s="465"/>
      <c r="E47" s="466"/>
      <c r="F47" s="467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/>
      <c r="DZ47" s="466"/>
      <c r="EA47" s="466"/>
      <c r="EB47" s="466"/>
      <c r="EC47" s="466"/>
      <c r="ED47" s="466"/>
      <c r="EE47" s="466"/>
      <c r="EF47" s="466"/>
      <c r="EG47" s="466"/>
      <c r="EH47" s="466"/>
      <c r="EI47" s="466"/>
      <c r="EJ47" s="466"/>
      <c r="EK47" s="466"/>
      <c r="EL47" s="466"/>
      <c r="EM47" s="466"/>
      <c r="EN47" s="466"/>
      <c r="EO47" s="466"/>
      <c r="EP47" s="466"/>
      <c r="EQ47" s="466"/>
      <c r="ER47" s="466"/>
      <c r="ES47" s="466"/>
      <c r="ET47" s="466"/>
      <c r="EU47" s="466"/>
      <c r="EV47" s="466"/>
      <c r="EW47" s="466"/>
      <c r="EX47" s="466"/>
      <c r="EY47" s="466"/>
      <c r="EZ47" s="466"/>
      <c r="FA47" s="466"/>
      <c r="FB47" s="466"/>
      <c r="FC47" s="466"/>
      <c r="FD47" s="466"/>
      <c r="FE47" s="466"/>
      <c r="FF47" s="466"/>
      <c r="FG47" s="466"/>
      <c r="FH47" s="466"/>
      <c r="FI47" s="466"/>
      <c r="FJ47" s="466"/>
      <c r="FK47" s="466"/>
      <c r="FL47" s="466"/>
      <c r="FM47" s="466"/>
      <c r="FN47" s="466"/>
      <c r="FO47" s="466"/>
      <c r="FP47" s="466"/>
      <c r="FQ47" s="466"/>
      <c r="FR47" s="466"/>
      <c r="FS47" s="466"/>
      <c r="FT47" s="466"/>
      <c r="FU47" s="466"/>
      <c r="FV47" s="466"/>
      <c r="FW47" s="466"/>
      <c r="FX47" s="466"/>
      <c r="FY47" s="466"/>
      <c r="FZ47" s="466"/>
      <c r="GA47" s="466"/>
      <c r="GB47" s="466"/>
      <c r="GC47" s="466"/>
      <c r="GD47" s="466"/>
      <c r="GE47" s="466"/>
      <c r="GF47" s="466"/>
      <c r="GG47" s="466"/>
      <c r="GH47" s="466"/>
      <c r="GI47" s="466"/>
      <c r="GJ47" s="466"/>
      <c r="GK47" s="466"/>
      <c r="GL47" s="466"/>
      <c r="GM47" s="466"/>
      <c r="GN47" s="466"/>
      <c r="GO47" s="466"/>
      <c r="GP47" s="466"/>
      <c r="GQ47" s="466"/>
      <c r="GR47" s="466"/>
      <c r="GS47" s="466"/>
      <c r="GT47" s="466"/>
      <c r="GU47" s="466"/>
      <c r="GV47" s="466"/>
      <c r="GW47" s="466"/>
      <c r="GX47" s="466"/>
      <c r="GY47" s="466"/>
      <c r="GZ47" s="466"/>
      <c r="HA47" s="466"/>
      <c r="HB47" s="466"/>
      <c r="HC47" s="466"/>
      <c r="HD47" s="466"/>
      <c r="HE47" s="466"/>
      <c r="HF47" s="466"/>
      <c r="HG47" s="466"/>
      <c r="HH47" s="466"/>
      <c r="HI47" s="466"/>
      <c r="HJ47" s="466"/>
      <c r="HK47" s="466"/>
      <c r="HL47" s="466"/>
      <c r="HM47" s="466"/>
      <c r="HN47" s="466"/>
      <c r="HO47" s="466"/>
      <c r="HP47" s="466"/>
      <c r="HQ47" s="466"/>
      <c r="HR47" s="466"/>
      <c r="HS47" s="466"/>
      <c r="HT47" s="466"/>
      <c r="HU47" s="466"/>
      <c r="HV47" s="466"/>
      <c r="HW47" s="466"/>
      <c r="HX47" s="466"/>
      <c r="HY47" s="466"/>
      <c r="HZ47" s="466"/>
      <c r="IA47" s="466"/>
      <c r="IB47" s="466"/>
      <c r="IC47" s="466"/>
      <c r="ID47" s="466"/>
      <c r="IE47" s="466"/>
      <c r="IF47" s="466"/>
      <c r="IG47" s="466"/>
      <c r="IH47" s="466"/>
      <c r="II47" s="466"/>
      <c r="IJ47" s="466"/>
      <c r="IK47" s="466"/>
      <c r="IL47" s="466"/>
      <c r="IM47" s="466"/>
    </row>
    <row r="48" spans="1:247" s="470" customFormat="1" ht="15" customHeight="1">
      <c r="A48" s="469" t="s">
        <v>147</v>
      </c>
      <c r="B48" s="465"/>
      <c r="C48" s="465">
        <v>46551</v>
      </c>
      <c r="D48" s="465"/>
      <c r="E48" s="466"/>
      <c r="F48" s="467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6"/>
      <c r="DJ48" s="466"/>
      <c r="DK48" s="466"/>
      <c r="DL48" s="466"/>
      <c r="DM48" s="466"/>
      <c r="DN48" s="466"/>
      <c r="DO48" s="466"/>
      <c r="DP48" s="466"/>
      <c r="DQ48" s="466"/>
      <c r="DR48" s="466"/>
      <c r="DS48" s="466"/>
      <c r="DT48" s="466"/>
      <c r="DU48" s="466"/>
      <c r="DV48" s="466"/>
      <c r="DW48" s="466"/>
      <c r="DX48" s="466"/>
      <c r="DY48" s="466"/>
      <c r="DZ48" s="466"/>
      <c r="EA48" s="466"/>
      <c r="EB48" s="466"/>
      <c r="EC48" s="466"/>
      <c r="ED48" s="466"/>
      <c r="EE48" s="466"/>
      <c r="EF48" s="466"/>
      <c r="EG48" s="466"/>
      <c r="EH48" s="466"/>
      <c r="EI48" s="466"/>
      <c r="EJ48" s="466"/>
      <c r="EK48" s="466"/>
      <c r="EL48" s="466"/>
      <c r="EM48" s="466"/>
      <c r="EN48" s="466"/>
      <c r="EO48" s="466"/>
      <c r="EP48" s="466"/>
      <c r="EQ48" s="466"/>
      <c r="ER48" s="466"/>
      <c r="ES48" s="466"/>
      <c r="ET48" s="466"/>
      <c r="EU48" s="466"/>
      <c r="EV48" s="466"/>
      <c r="EW48" s="466"/>
      <c r="EX48" s="466"/>
      <c r="EY48" s="466"/>
      <c r="EZ48" s="466"/>
      <c r="FA48" s="466"/>
      <c r="FB48" s="466"/>
      <c r="FC48" s="466"/>
      <c r="FD48" s="466"/>
      <c r="FE48" s="466"/>
      <c r="FF48" s="466"/>
      <c r="FG48" s="466"/>
      <c r="FH48" s="466"/>
      <c r="FI48" s="466"/>
      <c r="FJ48" s="466"/>
      <c r="FK48" s="466"/>
      <c r="FL48" s="466"/>
      <c r="FM48" s="466"/>
      <c r="FN48" s="466"/>
      <c r="FO48" s="466"/>
      <c r="FP48" s="466"/>
      <c r="FQ48" s="466"/>
      <c r="FR48" s="466"/>
      <c r="FS48" s="466"/>
      <c r="FT48" s="466"/>
      <c r="FU48" s="466"/>
      <c r="FV48" s="466"/>
      <c r="FW48" s="466"/>
      <c r="FX48" s="466"/>
      <c r="FY48" s="466"/>
      <c r="FZ48" s="466"/>
      <c r="GA48" s="466"/>
      <c r="GB48" s="466"/>
      <c r="GC48" s="466"/>
      <c r="GD48" s="466"/>
      <c r="GE48" s="466"/>
      <c r="GF48" s="466"/>
      <c r="GG48" s="466"/>
      <c r="GH48" s="466"/>
      <c r="GI48" s="466"/>
      <c r="GJ48" s="466"/>
      <c r="GK48" s="466"/>
      <c r="GL48" s="466"/>
      <c r="GM48" s="466"/>
      <c r="GN48" s="466"/>
      <c r="GO48" s="466"/>
      <c r="GP48" s="466"/>
      <c r="GQ48" s="466"/>
      <c r="GR48" s="466"/>
      <c r="GS48" s="466"/>
      <c r="GT48" s="466"/>
      <c r="GU48" s="466"/>
      <c r="GV48" s="466"/>
      <c r="GW48" s="466"/>
      <c r="GX48" s="466"/>
      <c r="GY48" s="466"/>
      <c r="GZ48" s="466"/>
      <c r="HA48" s="466"/>
      <c r="HB48" s="466"/>
      <c r="HC48" s="466"/>
      <c r="HD48" s="466"/>
      <c r="HE48" s="466"/>
      <c r="HF48" s="466"/>
      <c r="HG48" s="466"/>
      <c r="HH48" s="466"/>
      <c r="HI48" s="466"/>
      <c r="HJ48" s="466"/>
      <c r="HK48" s="466"/>
      <c r="HL48" s="466"/>
      <c r="HM48" s="466"/>
      <c r="HN48" s="466"/>
      <c r="HO48" s="466"/>
      <c r="HP48" s="466"/>
      <c r="HQ48" s="466"/>
      <c r="HR48" s="466"/>
      <c r="HS48" s="466"/>
      <c r="HT48" s="466"/>
      <c r="HU48" s="466"/>
      <c r="HV48" s="466"/>
      <c r="HW48" s="466"/>
      <c r="HX48" s="466"/>
      <c r="HY48" s="466"/>
      <c r="HZ48" s="466"/>
      <c r="IA48" s="466"/>
      <c r="IB48" s="466"/>
      <c r="IC48" s="466"/>
      <c r="ID48" s="466"/>
      <c r="IE48" s="466"/>
      <c r="IF48" s="466"/>
      <c r="IG48" s="466"/>
      <c r="IH48" s="466"/>
      <c r="II48" s="466"/>
      <c r="IJ48" s="466"/>
      <c r="IK48" s="466"/>
      <c r="IL48" s="466"/>
      <c r="IM48" s="466"/>
    </row>
    <row r="49" spans="1:247" s="470" customFormat="1" ht="15" customHeight="1">
      <c r="A49" s="436" t="s">
        <v>148</v>
      </c>
      <c r="B49" s="465"/>
      <c r="C49" s="465">
        <v>64696</v>
      </c>
      <c r="D49" s="465"/>
      <c r="E49" s="466"/>
      <c r="F49" s="467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6"/>
      <c r="DJ49" s="466"/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B49" s="466"/>
      <c r="EC49" s="466"/>
      <c r="ED49" s="466"/>
      <c r="EE49" s="466"/>
      <c r="EF49" s="466"/>
      <c r="EG49" s="466"/>
      <c r="EH49" s="466"/>
      <c r="EI49" s="466"/>
      <c r="EJ49" s="466"/>
      <c r="EK49" s="466"/>
      <c r="EL49" s="466"/>
      <c r="EM49" s="466"/>
      <c r="EN49" s="466"/>
      <c r="EO49" s="466"/>
      <c r="EP49" s="466"/>
      <c r="EQ49" s="466"/>
      <c r="ER49" s="466"/>
      <c r="ES49" s="466"/>
      <c r="ET49" s="466"/>
      <c r="EU49" s="466"/>
      <c r="EV49" s="466"/>
      <c r="EW49" s="466"/>
      <c r="EX49" s="466"/>
      <c r="EY49" s="466"/>
      <c r="EZ49" s="466"/>
      <c r="FA49" s="466"/>
      <c r="FB49" s="466"/>
      <c r="FC49" s="466"/>
      <c r="FD49" s="466"/>
      <c r="FE49" s="466"/>
      <c r="FF49" s="466"/>
      <c r="FG49" s="466"/>
      <c r="FH49" s="466"/>
      <c r="FI49" s="466"/>
      <c r="FJ49" s="466"/>
      <c r="FK49" s="466"/>
      <c r="FL49" s="466"/>
      <c r="FM49" s="466"/>
      <c r="FN49" s="466"/>
      <c r="FO49" s="466"/>
      <c r="FP49" s="466"/>
      <c r="FQ49" s="466"/>
      <c r="FR49" s="466"/>
      <c r="FS49" s="466"/>
      <c r="FT49" s="466"/>
      <c r="FU49" s="466"/>
      <c r="FV49" s="466"/>
      <c r="FW49" s="466"/>
      <c r="FX49" s="466"/>
      <c r="FY49" s="466"/>
      <c r="FZ49" s="466"/>
      <c r="GA49" s="466"/>
      <c r="GB49" s="466"/>
      <c r="GC49" s="466"/>
      <c r="GD49" s="466"/>
      <c r="GE49" s="466"/>
      <c r="GF49" s="466"/>
      <c r="GG49" s="466"/>
      <c r="GH49" s="466"/>
      <c r="GI49" s="466"/>
      <c r="GJ49" s="466"/>
      <c r="GK49" s="466"/>
      <c r="GL49" s="466"/>
      <c r="GM49" s="466"/>
      <c r="GN49" s="466"/>
      <c r="GO49" s="466"/>
      <c r="GP49" s="466"/>
      <c r="GQ49" s="466"/>
      <c r="GR49" s="466"/>
      <c r="GS49" s="466"/>
      <c r="GT49" s="466"/>
      <c r="GU49" s="466"/>
      <c r="GV49" s="466"/>
      <c r="GW49" s="466"/>
      <c r="GX49" s="466"/>
      <c r="GY49" s="466"/>
      <c r="GZ49" s="466"/>
      <c r="HA49" s="466"/>
      <c r="HB49" s="466"/>
      <c r="HC49" s="466"/>
      <c r="HD49" s="466"/>
      <c r="HE49" s="466"/>
      <c r="HF49" s="466"/>
      <c r="HG49" s="466"/>
      <c r="HH49" s="466"/>
      <c r="HI49" s="466"/>
      <c r="HJ49" s="466"/>
      <c r="HK49" s="466"/>
      <c r="HL49" s="466"/>
      <c r="HM49" s="466"/>
      <c r="HN49" s="466"/>
      <c r="HO49" s="466"/>
      <c r="HP49" s="466"/>
      <c r="HQ49" s="466"/>
      <c r="HR49" s="466"/>
      <c r="HS49" s="466"/>
      <c r="HT49" s="466"/>
      <c r="HU49" s="466"/>
      <c r="HV49" s="466"/>
      <c r="HW49" s="466"/>
      <c r="HX49" s="466"/>
      <c r="HY49" s="466"/>
      <c r="HZ49" s="466"/>
      <c r="IA49" s="466"/>
      <c r="IB49" s="466"/>
      <c r="IC49" s="466"/>
      <c r="ID49" s="466"/>
      <c r="IE49" s="466"/>
      <c r="IF49" s="466"/>
      <c r="IG49" s="466"/>
      <c r="IH49" s="466"/>
      <c r="II49" s="466"/>
      <c r="IJ49" s="466"/>
      <c r="IK49" s="466"/>
      <c r="IL49" s="466"/>
      <c r="IM49" s="466"/>
    </row>
    <row r="50" spans="1:247" s="470" customFormat="1" ht="15" customHeight="1">
      <c r="A50" s="436" t="s">
        <v>149</v>
      </c>
      <c r="B50" s="465"/>
      <c r="C50" s="465">
        <v>339316</v>
      </c>
      <c r="D50" s="465"/>
      <c r="E50" s="466"/>
      <c r="F50" s="467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6"/>
      <c r="DJ50" s="466"/>
      <c r="DK50" s="466"/>
      <c r="DL50" s="466"/>
      <c r="DM50" s="466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DY50" s="466"/>
      <c r="DZ50" s="466"/>
      <c r="EA50" s="466"/>
      <c r="EB50" s="466"/>
      <c r="EC50" s="466"/>
      <c r="ED50" s="466"/>
      <c r="EE50" s="466"/>
      <c r="EF50" s="466"/>
      <c r="EG50" s="466"/>
      <c r="EH50" s="466"/>
      <c r="EI50" s="466"/>
      <c r="EJ50" s="466"/>
      <c r="EK50" s="466"/>
      <c r="EL50" s="466"/>
      <c r="EM50" s="466"/>
      <c r="EN50" s="466"/>
      <c r="EO50" s="466"/>
      <c r="EP50" s="466"/>
      <c r="EQ50" s="466"/>
      <c r="ER50" s="466"/>
      <c r="ES50" s="466"/>
      <c r="ET50" s="466"/>
      <c r="EU50" s="466"/>
      <c r="EV50" s="466"/>
      <c r="EW50" s="466"/>
      <c r="EX50" s="466"/>
      <c r="EY50" s="466"/>
      <c r="EZ50" s="466"/>
      <c r="FA50" s="466"/>
      <c r="FB50" s="466"/>
      <c r="FC50" s="466"/>
      <c r="FD50" s="466"/>
      <c r="FE50" s="466"/>
      <c r="FF50" s="466"/>
      <c r="FG50" s="466"/>
      <c r="FH50" s="466"/>
      <c r="FI50" s="466"/>
      <c r="FJ50" s="466"/>
      <c r="FK50" s="466"/>
      <c r="FL50" s="466"/>
      <c r="FM50" s="466"/>
      <c r="FN50" s="466"/>
      <c r="FO50" s="466"/>
      <c r="FP50" s="466"/>
      <c r="FQ50" s="466"/>
      <c r="FR50" s="466"/>
      <c r="FS50" s="466"/>
      <c r="FT50" s="466"/>
      <c r="FU50" s="466"/>
      <c r="FV50" s="466"/>
      <c r="FW50" s="466"/>
      <c r="FX50" s="466"/>
      <c r="FY50" s="466"/>
      <c r="FZ50" s="466"/>
      <c r="GA50" s="466"/>
      <c r="GB50" s="466"/>
      <c r="GC50" s="466"/>
      <c r="GD50" s="466"/>
      <c r="GE50" s="466"/>
      <c r="GF50" s="466"/>
      <c r="GG50" s="466"/>
      <c r="GH50" s="466"/>
      <c r="GI50" s="466"/>
      <c r="GJ50" s="466"/>
      <c r="GK50" s="466"/>
      <c r="GL50" s="466"/>
      <c r="GM50" s="466"/>
      <c r="GN50" s="466"/>
      <c r="GO50" s="466"/>
      <c r="GP50" s="466"/>
      <c r="GQ50" s="466"/>
      <c r="GR50" s="466"/>
      <c r="GS50" s="466"/>
      <c r="GT50" s="466"/>
      <c r="GU50" s="466"/>
      <c r="GV50" s="466"/>
      <c r="GW50" s="466"/>
      <c r="GX50" s="466"/>
      <c r="GY50" s="466"/>
      <c r="GZ50" s="466"/>
      <c r="HA50" s="466"/>
      <c r="HB50" s="466"/>
      <c r="HC50" s="466"/>
      <c r="HD50" s="466"/>
      <c r="HE50" s="466"/>
      <c r="HF50" s="466"/>
      <c r="HG50" s="466"/>
      <c r="HH50" s="466"/>
      <c r="HI50" s="466"/>
      <c r="HJ50" s="466"/>
      <c r="HK50" s="466"/>
      <c r="HL50" s="466"/>
      <c r="HM50" s="466"/>
      <c r="HN50" s="466"/>
      <c r="HO50" s="466"/>
      <c r="HP50" s="466"/>
      <c r="HQ50" s="466"/>
      <c r="HR50" s="466"/>
      <c r="HS50" s="466"/>
      <c r="HT50" s="466"/>
      <c r="HU50" s="466"/>
      <c r="HV50" s="466"/>
      <c r="HW50" s="466"/>
      <c r="HX50" s="466"/>
      <c r="HY50" s="466"/>
      <c r="HZ50" s="466"/>
      <c r="IA50" s="466"/>
      <c r="IB50" s="466"/>
      <c r="IC50" s="466"/>
      <c r="ID50" s="466"/>
      <c r="IE50" s="466"/>
      <c r="IF50" s="466"/>
      <c r="IG50" s="466"/>
      <c r="IH50" s="466"/>
      <c r="II50" s="466"/>
      <c r="IJ50" s="466"/>
      <c r="IK50" s="466"/>
      <c r="IL50" s="466"/>
      <c r="IM50" s="466"/>
    </row>
    <row r="51" spans="1:247" s="470" customFormat="1" ht="15" customHeight="1">
      <c r="A51" s="471" t="s">
        <v>150</v>
      </c>
      <c r="B51" s="465"/>
      <c r="C51" s="465"/>
      <c r="D51" s="465"/>
      <c r="E51" s="466"/>
      <c r="F51" s="467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6"/>
      <c r="BI51" s="466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6"/>
      <c r="DX51" s="466"/>
      <c r="DY51" s="466"/>
      <c r="DZ51" s="466"/>
      <c r="EA51" s="466"/>
      <c r="EB51" s="466"/>
      <c r="EC51" s="466"/>
      <c r="ED51" s="466"/>
      <c r="EE51" s="466"/>
      <c r="EF51" s="466"/>
      <c r="EG51" s="466"/>
      <c r="EH51" s="466"/>
      <c r="EI51" s="466"/>
      <c r="EJ51" s="466"/>
      <c r="EK51" s="466"/>
      <c r="EL51" s="466"/>
      <c r="EM51" s="466"/>
      <c r="EN51" s="466"/>
      <c r="EO51" s="466"/>
      <c r="EP51" s="466"/>
      <c r="EQ51" s="466"/>
      <c r="ER51" s="466"/>
      <c r="ES51" s="466"/>
      <c r="ET51" s="466"/>
      <c r="EU51" s="466"/>
      <c r="EV51" s="466"/>
      <c r="EW51" s="466"/>
      <c r="EX51" s="466"/>
      <c r="EY51" s="466"/>
      <c r="EZ51" s="466"/>
      <c r="FA51" s="466"/>
      <c r="FB51" s="466"/>
      <c r="FC51" s="466"/>
      <c r="FD51" s="466"/>
      <c r="FE51" s="466"/>
      <c r="FF51" s="466"/>
      <c r="FG51" s="466"/>
      <c r="FH51" s="466"/>
      <c r="FI51" s="466"/>
      <c r="FJ51" s="466"/>
      <c r="FK51" s="466"/>
      <c r="FL51" s="466"/>
      <c r="FM51" s="466"/>
      <c r="FN51" s="466"/>
      <c r="FO51" s="466"/>
      <c r="FP51" s="466"/>
      <c r="FQ51" s="466"/>
      <c r="FR51" s="466"/>
      <c r="FS51" s="466"/>
      <c r="FT51" s="466"/>
      <c r="FU51" s="466"/>
      <c r="FV51" s="466"/>
      <c r="FW51" s="466"/>
      <c r="FX51" s="466"/>
      <c r="FY51" s="466"/>
      <c r="FZ51" s="466"/>
      <c r="GA51" s="466"/>
      <c r="GB51" s="466"/>
      <c r="GC51" s="466"/>
      <c r="GD51" s="466"/>
      <c r="GE51" s="466"/>
      <c r="GF51" s="466"/>
      <c r="GG51" s="466"/>
      <c r="GH51" s="466"/>
      <c r="GI51" s="466"/>
      <c r="GJ51" s="466"/>
      <c r="GK51" s="466"/>
      <c r="GL51" s="466"/>
      <c r="GM51" s="466"/>
      <c r="GN51" s="466"/>
      <c r="GO51" s="466"/>
      <c r="GP51" s="466"/>
      <c r="GQ51" s="466"/>
      <c r="GR51" s="466"/>
      <c r="GS51" s="466"/>
      <c r="GT51" s="466"/>
      <c r="GU51" s="466"/>
      <c r="GV51" s="466"/>
      <c r="GW51" s="466"/>
      <c r="GX51" s="466"/>
      <c r="GY51" s="466"/>
      <c r="GZ51" s="466"/>
      <c r="HA51" s="466"/>
      <c r="HB51" s="466"/>
      <c r="HC51" s="466"/>
      <c r="HD51" s="466"/>
      <c r="HE51" s="466"/>
      <c r="HF51" s="466"/>
      <c r="HG51" s="466"/>
      <c r="HH51" s="466"/>
      <c r="HI51" s="466"/>
      <c r="HJ51" s="466"/>
      <c r="HK51" s="466"/>
      <c r="HL51" s="466"/>
      <c r="HM51" s="466"/>
      <c r="HN51" s="466"/>
      <c r="HO51" s="466"/>
      <c r="HP51" s="466"/>
      <c r="HQ51" s="466"/>
      <c r="HR51" s="466"/>
      <c r="HS51" s="466"/>
      <c r="HT51" s="466"/>
      <c r="HU51" s="466"/>
      <c r="HV51" s="466"/>
      <c r="HW51" s="466"/>
      <c r="HX51" s="466"/>
      <c r="HY51" s="466"/>
      <c r="HZ51" s="466"/>
      <c r="IA51" s="466"/>
      <c r="IB51" s="466"/>
      <c r="IC51" s="466"/>
      <c r="ID51" s="466"/>
      <c r="IE51" s="466"/>
      <c r="IF51" s="466"/>
      <c r="IG51" s="466"/>
      <c r="IH51" s="466"/>
      <c r="II51" s="466"/>
      <c r="IJ51" s="466"/>
      <c r="IK51" s="466"/>
      <c r="IL51" s="466"/>
      <c r="IM51" s="466"/>
    </row>
    <row r="52" spans="1:247" s="470" customFormat="1" ht="15.75">
      <c r="A52" s="471" t="s">
        <v>151</v>
      </c>
      <c r="B52" s="465"/>
      <c r="C52" s="465">
        <v>100167</v>
      </c>
      <c r="D52" s="465"/>
      <c r="E52" s="466"/>
      <c r="F52" s="467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  <c r="DC52" s="466"/>
      <c r="DD52" s="466"/>
      <c r="DE52" s="466"/>
      <c r="DF52" s="466"/>
      <c r="DG52" s="466"/>
      <c r="DH52" s="466"/>
      <c r="DI52" s="466"/>
      <c r="DJ52" s="466"/>
      <c r="DK52" s="466"/>
      <c r="DL52" s="466"/>
      <c r="DM52" s="466"/>
      <c r="DN52" s="466"/>
      <c r="DO52" s="466"/>
      <c r="DP52" s="466"/>
      <c r="DQ52" s="466"/>
      <c r="DR52" s="466"/>
      <c r="DS52" s="466"/>
      <c r="DT52" s="466"/>
      <c r="DU52" s="466"/>
      <c r="DV52" s="466"/>
      <c r="DW52" s="466"/>
      <c r="DX52" s="466"/>
      <c r="DY52" s="466"/>
      <c r="DZ52" s="466"/>
      <c r="EA52" s="466"/>
      <c r="EB52" s="466"/>
      <c r="EC52" s="466"/>
      <c r="ED52" s="466"/>
      <c r="EE52" s="466"/>
      <c r="EF52" s="466"/>
      <c r="EG52" s="466"/>
      <c r="EH52" s="466"/>
      <c r="EI52" s="466"/>
      <c r="EJ52" s="466"/>
      <c r="EK52" s="466"/>
      <c r="EL52" s="466"/>
      <c r="EM52" s="466"/>
      <c r="EN52" s="466"/>
      <c r="EO52" s="466"/>
      <c r="EP52" s="466"/>
      <c r="EQ52" s="466"/>
      <c r="ER52" s="466"/>
      <c r="ES52" s="466"/>
      <c r="ET52" s="466"/>
      <c r="EU52" s="466"/>
      <c r="EV52" s="466"/>
      <c r="EW52" s="466"/>
      <c r="EX52" s="466"/>
      <c r="EY52" s="466"/>
      <c r="EZ52" s="466"/>
      <c r="FA52" s="466"/>
      <c r="FB52" s="466"/>
      <c r="FC52" s="466"/>
      <c r="FD52" s="466"/>
      <c r="FE52" s="466"/>
      <c r="FF52" s="466"/>
      <c r="FG52" s="466"/>
      <c r="FH52" s="466"/>
      <c r="FI52" s="466"/>
      <c r="FJ52" s="466"/>
      <c r="FK52" s="466"/>
      <c r="FL52" s="466"/>
      <c r="FM52" s="466"/>
      <c r="FN52" s="466"/>
      <c r="FO52" s="466"/>
      <c r="FP52" s="466"/>
      <c r="FQ52" s="466"/>
      <c r="FR52" s="466"/>
      <c r="FS52" s="466"/>
      <c r="FT52" s="466"/>
      <c r="FU52" s="466"/>
      <c r="FV52" s="466"/>
      <c r="FW52" s="466"/>
      <c r="FX52" s="466"/>
      <c r="FY52" s="466"/>
      <c r="FZ52" s="466"/>
      <c r="GA52" s="466"/>
      <c r="GB52" s="466"/>
      <c r="GC52" s="466"/>
      <c r="GD52" s="466"/>
      <c r="GE52" s="466"/>
      <c r="GF52" s="466"/>
      <c r="GG52" s="466"/>
      <c r="GH52" s="466"/>
      <c r="GI52" s="466"/>
      <c r="GJ52" s="466"/>
      <c r="GK52" s="466"/>
      <c r="GL52" s="466"/>
      <c r="GM52" s="466"/>
      <c r="GN52" s="466"/>
      <c r="GO52" s="466"/>
      <c r="GP52" s="466"/>
      <c r="GQ52" s="466"/>
      <c r="GR52" s="466"/>
      <c r="GS52" s="466"/>
      <c r="GT52" s="466"/>
      <c r="GU52" s="466"/>
      <c r="GV52" s="466"/>
      <c r="GW52" s="466"/>
      <c r="GX52" s="466"/>
      <c r="GY52" s="466"/>
      <c r="GZ52" s="466"/>
      <c r="HA52" s="466"/>
      <c r="HB52" s="466"/>
      <c r="HC52" s="466"/>
      <c r="HD52" s="466"/>
      <c r="HE52" s="466"/>
      <c r="HF52" s="466"/>
      <c r="HG52" s="466"/>
      <c r="HH52" s="466"/>
      <c r="HI52" s="466"/>
      <c r="HJ52" s="466"/>
      <c r="HK52" s="466"/>
      <c r="HL52" s="466"/>
      <c r="HM52" s="466"/>
      <c r="HN52" s="466"/>
      <c r="HO52" s="466"/>
      <c r="HP52" s="466"/>
      <c r="HQ52" s="466"/>
      <c r="HR52" s="466"/>
      <c r="HS52" s="466"/>
      <c r="HT52" s="466"/>
      <c r="HU52" s="466"/>
      <c r="HV52" s="466"/>
      <c r="HW52" s="466"/>
      <c r="HX52" s="466"/>
      <c r="HY52" s="466"/>
      <c r="HZ52" s="466"/>
      <c r="IA52" s="466"/>
      <c r="IB52" s="466"/>
      <c r="IC52" s="466"/>
      <c r="ID52" s="466"/>
      <c r="IE52" s="466"/>
      <c r="IF52" s="466"/>
      <c r="IG52" s="466"/>
      <c r="IH52" s="466"/>
      <c r="II52" s="466"/>
      <c r="IJ52" s="466"/>
      <c r="IK52" s="466"/>
      <c r="IL52" s="466"/>
      <c r="IM52" s="466"/>
    </row>
    <row r="53" spans="1:247" s="470" customFormat="1" ht="15" customHeight="1" hidden="1">
      <c r="A53" s="436" t="s">
        <v>152</v>
      </c>
      <c r="B53" s="465"/>
      <c r="C53" s="465"/>
      <c r="D53" s="465"/>
      <c r="E53" s="466"/>
      <c r="F53" s="467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6"/>
      <c r="DA53" s="466"/>
      <c r="DB53" s="466"/>
      <c r="DC53" s="466"/>
      <c r="DD53" s="466"/>
      <c r="DE53" s="466"/>
      <c r="DF53" s="466"/>
      <c r="DG53" s="466"/>
      <c r="DH53" s="466"/>
      <c r="DI53" s="466"/>
      <c r="DJ53" s="466"/>
      <c r="DK53" s="466"/>
      <c r="DL53" s="466"/>
      <c r="DM53" s="466"/>
      <c r="DN53" s="466"/>
      <c r="DO53" s="466"/>
      <c r="DP53" s="466"/>
      <c r="DQ53" s="466"/>
      <c r="DR53" s="466"/>
      <c r="DS53" s="466"/>
      <c r="DT53" s="466"/>
      <c r="DU53" s="466"/>
      <c r="DV53" s="466"/>
      <c r="DW53" s="466"/>
      <c r="DX53" s="466"/>
      <c r="DY53" s="466"/>
      <c r="DZ53" s="466"/>
      <c r="EA53" s="466"/>
      <c r="EB53" s="466"/>
      <c r="EC53" s="466"/>
      <c r="ED53" s="466"/>
      <c r="EE53" s="466"/>
      <c r="EF53" s="466"/>
      <c r="EG53" s="466"/>
      <c r="EH53" s="466"/>
      <c r="EI53" s="466"/>
      <c r="EJ53" s="466"/>
      <c r="EK53" s="466"/>
      <c r="EL53" s="466"/>
      <c r="EM53" s="466"/>
      <c r="EN53" s="466"/>
      <c r="EO53" s="466"/>
      <c r="EP53" s="466"/>
      <c r="EQ53" s="466"/>
      <c r="ER53" s="466"/>
      <c r="ES53" s="466"/>
      <c r="ET53" s="466"/>
      <c r="EU53" s="466"/>
      <c r="EV53" s="466"/>
      <c r="EW53" s="466"/>
      <c r="EX53" s="466"/>
      <c r="EY53" s="466"/>
      <c r="EZ53" s="466"/>
      <c r="FA53" s="466"/>
      <c r="FB53" s="466"/>
      <c r="FC53" s="466"/>
      <c r="FD53" s="466"/>
      <c r="FE53" s="466"/>
      <c r="FF53" s="466"/>
      <c r="FG53" s="466"/>
      <c r="FH53" s="466"/>
      <c r="FI53" s="466"/>
      <c r="FJ53" s="466"/>
      <c r="FK53" s="466"/>
      <c r="FL53" s="466"/>
      <c r="FM53" s="466"/>
      <c r="FN53" s="466"/>
      <c r="FO53" s="466"/>
      <c r="FP53" s="466"/>
      <c r="FQ53" s="466"/>
      <c r="FR53" s="466"/>
      <c r="FS53" s="466"/>
      <c r="FT53" s="466"/>
      <c r="FU53" s="466"/>
      <c r="FV53" s="466"/>
      <c r="FW53" s="466"/>
      <c r="FX53" s="466"/>
      <c r="FY53" s="466"/>
      <c r="FZ53" s="466"/>
      <c r="GA53" s="466"/>
      <c r="GB53" s="466"/>
      <c r="GC53" s="466"/>
      <c r="GD53" s="466"/>
      <c r="GE53" s="466"/>
      <c r="GF53" s="466"/>
      <c r="GG53" s="466"/>
      <c r="GH53" s="466"/>
      <c r="GI53" s="466"/>
      <c r="GJ53" s="466"/>
      <c r="GK53" s="466"/>
      <c r="GL53" s="466"/>
      <c r="GM53" s="466"/>
      <c r="GN53" s="466"/>
      <c r="GO53" s="466"/>
      <c r="GP53" s="466"/>
      <c r="GQ53" s="466"/>
      <c r="GR53" s="466"/>
      <c r="GS53" s="466"/>
      <c r="GT53" s="466"/>
      <c r="GU53" s="466"/>
      <c r="GV53" s="466"/>
      <c r="GW53" s="466"/>
      <c r="GX53" s="466"/>
      <c r="GY53" s="466"/>
      <c r="GZ53" s="466"/>
      <c r="HA53" s="466"/>
      <c r="HB53" s="466"/>
      <c r="HC53" s="466"/>
      <c r="HD53" s="466"/>
      <c r="HE53" s="466"/>
      <c r="HF53" s="466"/>
      <c r="HG53" s="466"/>
      <c r="HH53" s="466"/>
      <c r="HI53" s="466"/>
      <c r="HJ53" s="466"/>
      <c r="HK53" s="466"/>
      <c r="HL53" s="466"/>
      <c r="HM53" s="466"/>
      <c r="HN53" s="466"/>
      <c r="HO53" s="466"/>
      <c r="HP53" s="466"/>
      <c r="HQ53" s="466"/>
      <c r="HR53" s="466"/>
      <c r="HS53" s="466"/>
      <c r="HT53" s="466"/>
      <c r="HU53" s="466"/>
      <c r="HV53" s="466"/>
      <c r="HW53" s="466"/>
      <c r="HX53" s="466"/>
      <c r="HY53" s="466"/>
      <c r="HZ53" s="466"/>
      <c r="IA53" s="466"/>
      <c r="IB53" s="466"/>
      <c r="IC53" s="466"/>
      <c r="ID53" s="466"/>
      <c r="IE53" s="466"/>
      <c r="IF53" s="466"/>
      <c r="IG53" s="466"/>
      <c r="IH53" s="466"/>
      <c r="II53" s="466"/>
      <c r="IJ53" s="466"/>
      <c r="IK53" s="466"/>
      <c r="IL53" s="466"/>
      <c r="IM53" s="466"/>
    </row>
    <row r="54" spans="1:247" s="470" customFormat="1" ht="15" customHeight="1" hidden="1">
      <c r="A54" s="436" t="s">
        <v>153</v>
      </c>
      <c r="B54" s="465"/>
      <c r="C54" s="465"/>
      <c r="D54" s="465"/>
      <c r="E54" s="466"/>
      <c r="F54" s="467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6"/>
      <c r="CK54" s="466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66"/>
      <c r="CY54" s="466"/>
      <c r="CZ54" s="466"/>
      <c r="DA54" s="466"/>
      <c r="DB54" s="466"/>
      <c r="DC54" s="466"/>
      <c r="DD54" s="466"/>
      <c r="DE54" s="466"/>
      <c r="DF54" s="466"/>
      <c r="DG54" s="466"/>
      <c r="DH54" s="466"/>
      <c r="DI54" s="466"/>
      <c r="DJ54" s="466"/>
      <c r="DK54" s="466"/>
      <c r="DL54" s="466"/>
      <c r="DM54" s="466"/>
      <c r="DN54" s="466"/>
      <c r="DO54" s="466"/>
      <c r="DP54" s="466"/>
      <c r="DQ54" s="466"/>
      <c r="DR54" s="466"/>
      <c r="DS54" s="466"/>
      <c r="DT54" s="466"/>
      <c r="DU54" s="466"/>
      <c r="DV54" s="466"/>
      <c r="DW54" s="466"/>
      <c r="DX54" s="466"/>
      <c r="DY54" s="466"/>
      <c r="DZ54" s="466"/>
      <c r="EA54" s="466"/>
      <c r="EB54" s="466"/>
      <c r="EC54" s="466"/>
      <c r="ED54" s="466"/>
      <c r="EE54" s="466"/>
      <c r="EF54" s="466"/>
      <c r="EG54" s="466"/>
      <c r="EH54" s="466"/>
      <c r="EI54" s="466"/>
      <c r="EJ54" s="466"/>
      <c r="EK54" s="466"/>
      <c r="EL54" s="466"/>
      <c r="EM54" s="466"/>
      <c r="EN54" s="466"/>
      <c r="EO54" s="466"/>
      <c r="EP54" s="466"/>
      <c r="EQ54" s="466"/>
      <c r="ER54" s="466"/>
      <c r="ES54" s="466"/>
      <c r="ET54" s="466"/>
      <c r="EU54" s="466"/>
      <c r="EV54" s="466"/>
      <c r="EW54" s="466"/>
      <c r="EX54" s="466"/>
      <c r="EY54" s="466"/>
      <c r="EZ54" s="466"/>
      <c r="FA54" s="466"/>
      <c r="FB54" s="466"/>
      <c r="FC54" s="466"/>
      <c r="FD54" s="466"/>
      <c r="FE54" s="466"/>
      <c r="FF54" s="466"/>
      <c r="FG54" s="466"/>
      <c r="FH54" s="466"/>
      <c r="FI54" s="466"/>
      <c r="FJ54" s="466"/>
      <c r="FK54" s="466"/>
      <c r="FL54" s="466"/>
      <c r="FM54" s="466"/>
      <c r="FN54" s="466"/>
      <c r="FO54" s="466"/>
      <c r="FP54" s="466"/>
      <c r="FQ54" s="466"/>
      <c r="FR54" s="466"/>
      <c r="FS54" s="466"/>
      <c r="FT54" s="466"/>
      <c r="FU54" s="466"/>
      <c r="FV54" s="466"/>
      <c r="FW54" s="466"/>
      <c r="FX54" s="466"/>
      <c r="FY54" s="466"/>
      <c r="FZ54" s="466"/>
      <c r="GA54" s="466"/>
      <c r="GB54" s="466"/>
      <c r="GC54" s="466"/>
      <c r="GD54" s="466"/>
      <c r="GE54" s="466"/>
      <c r="GF54" s="466"/>
      <c r="GG54" s="466"/>
      <c r="GH54" s="466"/>
      <c r="GI54" s="466"/>
      <c r="GJ54" s="466"/>
      <c r="GK54" s="466"/>
      <c r="GL54" s="466"/>
      <c r="GM54" s="466"/>
      <c r="GN54" s="466"/>
      <c r="GO54" s="466"/>
      <c r="GP54" s="466"/>
      <c r="GQ54" s="466"/>
      <c r="GR54" s="466"/>
      <c r="GS54" s="466"/>
      <c r="GT54" s="466"/>
      <c r="GU54" s="466"/>
      <c r="GV54" s="466"/>
      <c r="GW54" s="466"/>
      <c r="GX54" s="466"/>
      <c r="GY54" s="466"/>
      <c r="GZ54" s="466"/>
      <c r="HA54" s="466"/>
      <c r="HB54" s="466"/>
      <c r="HC54" s="466"/>
      <c r="HD54" s="466"/>
      <c r="HE54" s="466"/>
      <c r="HF54" s="466"/>
      <c r="HG54" s="466"/>
      <c r="HH54" s="466"/>
      <c r="HI54" s="466"/>
      <c r="HJ54" s="466"/>
      <c r="HK54" s="466"/>
      <c r="HL54" s="466"/>
      <c r="HM54" s="466"/>
      <c r="HN54" s="466"/>
      <c r="HO54" s="466"/>
      <c r="HP54" s="466"/>
      <c r="HQ54" s="466"/>
      <c r="HR54" s="466"/>
      <c r="HS54" s="466"/>
      <c r="HT54" s="466"/>
      <c r="HU54" s="466"/>
      <c r="HV54" s="466"/>
      <c r="HW54" s="466"/>
      <c r="HX54" s="466"/>
      <c r="HY54" s="466"/>
      <c r="HZ54" s="466"/>
      <c r="IA54" s="466"/>
      <c r="IB54" s="466"/>
      <c r="IC54" s="466"/>
      <c r="ID54" s="466"/>
      <c r="IE54" s="466"/>
      <c r="IF54" s="466"/>
      <c r="IG54" s="466"/>
      <c r="IH54" s="466"/>
      <c r="II54" s="466"/>
      <c r="IJ54" s="466"/>
      <c r="IK54" s="466"/>
      <c r="IL54" s="466"/>
      <c r="IM54" s="466"/>
    </row>
    <row r="55" spans="1:247" s="472" customFormat="1" ht="21.75" customHeight="1">
      <c r="A55" s="432" t="s">
        <v>154</v>
      </c>
      <c r="B55" s="445"/>
      <c r="C55" s="445">
        <v>49313</v>
      </c>
      <c r="D55" s="445"/>
      <c r="E55" s="340"/>
      <c r="F55" s="382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0"/>
      <c r="CX55" s="340"/>
      <c r="CY55" s="340"/>
      <c r="CZ55" s="340"/>
      <c r="DA55" s="340"/>
      <c r="DB55" s="340"/>
      <c r="DC55" s="340"/>
      <c r="DD55" s="340"/>
      <c r="DE55" s="340"/>
      <c r="DF55" s="340"/>
      <c r="DG55" s="340"/>
      <c r="DH55" s="340"/>
      <c r="DI55" s="340"/>
      <c r="DJ55" s="340"/>
      <c r="DK55" s="340"/>
      <c r="DL55" s="340"/>
      <c r="DM55" s="340"/>
      <c r="DN55" s="340"/>
      <c r="DO55" s="340"/>
      <c r="DP55" s="340"/>
      <c r="DQ55" s="340"/>
      <c r="DR55" s="340"/>
      <c r="DS55" s="340"/>
      <c r="DT55" s="340"/>
      <c r="DU55" s="340"/>
      <c r="DV55" s="340"/>
      <c r="DW55" s="340"/>
      <c r="DX55" s="340"/>
      <c r="DY55" s="340"/>
      <c r="DZ55" s="340"/>
      <c r="EA55" s="340"/>
      <c r="EB55" s="340"/>
      <c r="EC55" s="340"/>
      <c r="ED55" s="340"/>
      <c r="EE55" s="340"/>
      <c r="EF55" s="340"/>
      <c r="EG55" s="340"/>
      <c r="EH55" s="340"/>
      <c r="EI55" s="340"/>
      <c r="EJ55" s="340"/>
      <c r="EK55" s="340"/>
      <c r="EL55" s="340"/>
      <c r="EM55" s="340"/>
      <c r="EN55" s="340"/>
      <c r="EO55" s="340"/>
      <c r="EP55" s="340"/>
      <c r="EQ55" s="340"/>
      <c r="ER55" s="340"/>
      <c r="ES55" s="340"/>
      <c r="ET55" s="340"/>
      <c r="EU55" s="340"/>
      <c r="EV55" s="340"/>
      <c r="EW55" s="340"/>
      <c r="EX55" s="340"/>
      <c r="EY55" s="340"/>
      <c r="EZ55" s="340"/>
      <c r="FA55" s="340"/>
      <c r="FB55" s="340"/>
      <c r="FC55" s="340"/>
      <c r="FD55" s="340"/>
      <c r="FE55" s="340"/>
      <c r="FF55" s="340"/>
      <c r="FG55" s="340"/>
      <c r="FH55" s="340"/>
      <c r="FI55" s="340"/>
      <c r="FJ55" s="340"/>
      <c r="FK55" s="340"/>
      <c r="FL55" s="340"/>
      <c r="FM55" s="340"/>
      <c r="FN55" s="340"/>
      <c r="FO55" s="340"/>
      <c r="FP55" s="340"/>
      <c r="FQ55" s="340"/>
      <c r="FR55" s="340"/>
      <c r="FS55" s="340"/>
      <c r="FT55" s="340"/>
      <c r="FU55" s="340"/>
      <c r="FV55" s="340"/>
      <c r="FW55" s="340"/>
      <c r="FX55" s="340"/>
      <c r="FY55" s="340"/>
      <c r="FZ55" s="340"/>
      <c r="GA55" s="340"/>
      <c r="GB55" s="340"/>
      <c r="GC55" s="340"/>
      <c r="GD55" s="340"/>
      <c r="GE55" s="340"/>
      <c r="GF55" s="340"/>
      <c r="GG55" s="340"/>
      <c r="GH55" s="340"/>
      <c r="GI55" s="340"/>
      <c r="GJ55" s="340"/>
      <c r="GK55" s="340"/>
      <c r="GL55" s="340"/>
      <c r="GM55" s="340"/>
      <c r="GN55" s="340"/>
      <c r="GO55" s="340"/>
      <c r="GP55" s="340"/>
      <c r="GQ55" s="340"/>
      <c r="GR55" s="340"/>
      <c r="GS55" s="340"/>
      <c r="GT55" s="340"/>
      <c r="GU55" s="340"/>
      <c r="GV55" s="340"/>
      <c r="GW55" s="340"/>
      <c r="GX55" s="340"/>
      <c r="GY55" s="340"/>
      <c r="GZ55" s="340"/>
      <c r="HA55" s="340"/>
      <c r="HB55" s="340"/>
      <c r="HC55" s="340"/>
      <c r="HD55" s="340"/>
      <c r="HE55" s="340"/>
      <c r="HF55" s="340"/>
      <c r="HG55" s="340"/>
      <c r="HH55" s="340"/>
      <c r="HI55" s="340"/>
      <c r="HJ55" s="340"/>
      <c r="HK55" s="340"/>
      <c r="HL55" s="340"/>
      <c r="HM55" s="340"/>
      <c r="HN55" s="340"/>
      <c r="HO55" s="340"/>
      <c r="HP55" s="340"/>
      <c r="HQ55" s="340"/>
      <c r="HR55" s="340"/>
      <c r="HS55" s="340"/>
      <c r="HT55" s="340"/>
      <c r="HU55" s="340"/>
      <c r="HV55" s="340"/>
      <c r="HW55" s="340"/>
      <c r="HX55" s="340"/>
      <c r="HY55" s="340"/>
      <c r="HZ55" s="340"/>
      <c r="IA55" s="340"/>
      <c r="IB55" s="340"/>
      <c r="IC55" s="340"/>
      <c r="ID55" s="340"/>
      <c r="IE55" s="340"/>
      <c r="IF55" s="340"/>
      <c r="IG55" s="340"/>
      <c r="IH55" s="340"/>
      <c r="II55" s="340"/>
      <c r="IJ55" s="340"/>
      <c r="IK55" s="340"/>
      <c r="IL55" s="340"/>
      <c r="IM55" s="340"/>
    </row>
    <row r="56" spans="1:247" s="473" customFormat="1" ht="15" customHeight="1">
      <c r="A56" s="436" t="s">
        <v>155</v>
      </c>
      <c r="B56" s="465"/>
      <c r="C56" s="465">
        <v>8913</v>
      </c>
      <c r="D56" s="465"/>
      <c r="E56" s="340"/>
      <c r="F56" s="382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/>
      <c r="DC56" s="340"/>
      <c r="DD56" s="340"/>
      <c r="DE56" s="340"/>
      <c r="DF56" s="340"/>
      <c r="DG56" s="340"/>
      <c r="DH56" s="340"/>
      <c r="DI56" s="340"/>
      <c r="DJ56" s="340"/>
      <c r="DK56" s="340"/>
      <c r="DL56" s="340"/>
      <c r="DM56" s="340"/>
      <c r="DN56" s="340"/>
      <c r="DO56" s="340"/>
      <c r="DP56" s="340"/>
      <c r="DQ56" s="340"/>
      <c r="DR56" s="340"/>
      <c r="DS56" s="340"/>
      <c r="DT56" s="340"/>
      <c r="DU56" s="340"/>
      <c r="DV56" s="340"/>
      <c r="DW56" s="340"/>
      <c r="DX56" s="340"/>
      <c r="DY56" s="340"/>
      <c r="DZ56" s="340"/>
      <c r="EA56" s="340"/>
      <c r="EB56" s="340"/>
      <c r="EC56" s="340"/>
      <c r="ED56" s="340"/>
      <c r="EE56" s="340"/>
      <c r="EF56" s="340"/>
      <c r="EG56" s="340"/>
      <c r="EH56" s="340"/>
      <c r="EI56" s="340"/>
      <c r="EJ56" s="340"/>
      <c r="EK56" s="340"/>
      <c r="EL56" s="340"/>
      <c r="EM56" s="340"/>
      <c r="EN56" s="340"/>
      <c r="EO56" s="340"/>
      <c r="EP56" s="340"/>
      <c r="EQ56" s="340"/>
      <c r="ER56" s="340"/>
      <c r="ES56" s="340"/>
      <c r="ET56" s="340"/>
      <c r="EU56" s="340"/>
      <c r="EV56" s="340"/>
      <c r="EW56" s="340"/>
      <c r="EX56" s="340"/>
      <c r="EY56" s="340"/>
      <c r="EZ56" s="340"/>
      <c r="FA56" s="340"/>
      <c r="FB56" s="340"/>
      <c r="FC56" s="340"/>
      <c r="FD56" s="340"/>
      <c r="FE56" s="340"/>
      <c r="FF56" s="340"/>
      <c r="FG56" s="340"/>
      <c r="FH56" s="340"/>
      <c r="FI56" s="340"/>
      <c r="FJ56" s="340"/>
      <c r="FK56" s="340"/>
      <c r="FL56" s="340"/>
      <c r="FM56" s="340"/>
      <c r="FN56" s="340"/>
      <c r="FO56" s="340"/>
      <c r="FP56" s="340"/>
      <c r="FQ56" s="340"/>
      <c r="FR56" s="340"/>
      <c r="FS56" s="340"/>
      <c r="FT56" s="340"/>
      <c r="FU56" s="340"/>
      <c r="FV56" s="340"/>
      <c r="FW56" s="340"/>
      <c r="FX56" s="340"/>
      <c r="FY56" s="340"/>
      <c r="FZ56" s="340"/>
      <c r="GA56" s="340"/>
      <c r="GB56" s="340"/>
      <c r="GC56" s="340"/>
      <c r="GD56" s="340"/>
      <c r="GE56" s="340"/>
      <c r="GF56" s="340"/>
      <c r="GG56" s="340"/>
      <c r="GH56" s="340"/>
      <c r="GI56" s="340"/>
      <c r="GJ56" s="340"/>
      <c r="GK56" s="340"/>
      <c r="GL56" s="340"/>
      <c r="GM56" s="340"/>
      <c r="GN56" s="340"/>
      <c r="GO56" s="340"/>
      <c r="GP56" s="340"/>
      <c r="GQ56" s="340"/>
      <c r="GR56" s="340"/>
      <c r="GS56" s="340"/>
      <c r="GT56" s="340"/>
      <c r="GU56" s="340"/>
      <c r="GV56" s="340"/>
      <c r="GW56" s="340"/>
      <c r="GX56" s="340"/>
      <c r="GY56" s="340"/>
      <c r="GZ56" s="340"/>
      <c r="HA56" s="340"/>
      <c r="HB56" s="340"/>
      <c r="HC56" s="340"/>
      <c r="HD56" s="340"/>
      <c r="HE56" s="340"/>
      <c r="HF56" s="340"/>
      <c r="HG56" s="340"/>
      <c r="HH56" s="340"/>
      <c r="HI56" s="340"/>
      <c r="HJ56" s="340"/>
      <c r="HK56" s="340"/>
      <c r="HL56" s="340"/>
      <c r="HM56" s="370"/>
      <c r="HN56" s="370"/>
      <c r="HO56" s="370"/>
      <c r="HP56" s="370"/>
      <c r="HQ56" s="370"/>
      <c r="HR56" s="370"/>
      <c r="HS56" s="370"/>
      <c r="HT56" s="370"/>
      <c r="HU56" s="370"/>
      <c r="HV56" s="370"/>
      <c r="HW56" s="370"/>
      <c r="HX56" s="370"/>
      <c r="HY56" s="370"/>
      <c r="HZ56" s="370"/>
      <c r="IA56" s="370"/>
      <c r="IB56" s="370"/>
      <c r="IC56" s="370"/>
      <c r="ID56" s="370"/>
      <c r="IE56" s="370"/>
      <c r="IF56" s="370"/>
      <c r="IG56" s="370"/>
      <c r="IH56" s="370"/>
      <c r="II56" s="370"/>
      <c r="IJ56" s="370"/>
      <c r="IK56" s="370"/>
      <c r="IL56" s="370"/>
      <c r="IM56" s="370"/>
    </row>
    <row r="57" spans="1:247" s="473" customFormat="1" ht="15" customHeight="1" hidden="1">
      <c r="A57" s="436" t="s">
        <v>156</v>
      </c>
      <c r="B57" s="465"/>
      <c r="C57" s="465"/>
      <c r="D57" s="465"/>
      <c r="E57" s="340"/>
      <c r="F57" s="382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340"/>
      <c r="DP57" s="340"/>
      <c r="DQ57" s="340"/>
      <c r="DR57" s="340"/>
      <c r="DS57" s="340"/>
      <c r="DT57" s="340"/>
      <c r="DU57" s="340"/>
      <c r="DV57" s="340"/>
      <c r="DW57" s="340"/>
      <c r="DX57" s="340"/>
      <c r="DY57" s="340"/>
      <c r="DZ57" s="340"/>
      <c r="EA57" s="340"/>
      <c r="EB57" s="340"/>
      <c r="EC57" s="340"/>
      <c r="ED57" s="340"/>
      <c r="EE57" s="340"/>
      <c r="EF57" s="340"/>
      <c r="EG57" s="340"/>
      <c r="EH57" s="340"/>
      <c r="EI57" s="340"/>
      <c r="EJ57" s="340"/>
      <c r="EK57" s="340"/>
      <c r="EL57" s="340"/>
      <c r="EM57" s="340"/>
      <c r="EN57" s="340"/>
      <c r="EO57" s="340"/>
      <c r="EP57" s="340"/>
      <c r="EQ57" s="340"/>
      <c r="ER57" s="340"/>
      <c r="ES57" s="340"/>
      <c r="ET57" s="340"/>
      <c r="EU57" s="340"/>
      <c r="EV57" s="340"/>
      <c r="EW57" s="340"/>
      <c r="EX57" s="340"/>
      <c r="EY57" s="340"/>
      <c r="EZ57" s="340"/>
      <c r="FA57" s="340"/>
      <c r="FB57" s="340"/>
      <c r="FC57" s="340"/>
      <c r="FD57" s="340"/>
      <c r="FE57" s="340"/>
      <c r="FF57" s="340"/>
      <c r="FG57" s="340"/>
      <c r="FH57" s="340"/>
      <c r="FI57" s="340"/>
      <c r="FJ57" s="340"/>
      <c r="FK57" s="340"/>
      <c r="FL57" s="340"/>
      <c r="FM57" s="340"/>
      <c r="FN57" s="340"/>
      <c r="FO57" s="340"/>
      <c r="FP57" s="340"/>
      <c r="FQ57" s="340"/>
      <c r="FR57" s="340"/>
      <c r="FS57" s="340"/>
      <c r="FT57" s="340"/>
      <c r="FU57" s="340"/>
      <c r="FV57" s="340"/>
      <c r="FW57" s="340"/>
      <c r="FX57" s="340"/>
      <c r="FY57" s="340"/>
      <c r="FZ57" s="340"/>
      <c r="GA57" s="340"/>
      <c r="GB57" s="340"/>
      <c r="GC57" s="340"/>
      <c r="GD57" s="340"/>
      <c r="GE57" s="340"/>
      <c r="GF57" s="340"/>
      <c r="GG57" s="340"/>
      <c r="GH57" s="340"/>
      <c r="GI57" s="340"/>
      <c r="GJ57" s="340"/>
      <c r="GK57" s="340"/>
      <c r="GL57" s="340"/>
      <c r="GM57" s="340"/>
      <c r="GN57" s="340"/>
      <c r="GO57" s="340"/>
      <c r="GP57" s="340"/>
      <c r="GQ57" s="340"/>
      <c r="GR57" s="340"/>
      <c r="GS57" s="340"/>
      <c r="GT57" s="340"/>
      <c r="GU57" s="340"/>
      <c r="GV57" s="340"/>
      <c r="GW57" s="340"/>
      <c r="GX57" s="340"/>
      <c r="GY57" s="340"/>
      <c r="GZ57" s="340"/>
      <c r="HA57" s="340"/>
      <c r="HB57" s="340"/>
      <c r="HC57" s="340"/>
      <c r="HD57" s="340"/>
      <c r="HE57" s="340"/>
      <c r="HF57" s="340"/>
      <c r="HG57" s="340"/>
      <c r="HH57" s="340"/>
      <c r="HI57" s="340"/>
      <c r="HJ57" s="340"/>
      <c r="HK57" s="340"/>
      <c r="HL57" s="340"/>
      <c r="HM57" s="370"/>
      <c r="HN57" s="370"/>
      <c r="HO57" s="370"/>
      <c r="HP57" s="370"/>
      <c r="HQ57" s="370"/>
      <c r="HR57" s="370"/>
      <c r="HS57" s="370"/>
      <c r="HT57" s="370"/>
      <c r="HU57" s="370"/>
      <c r="HV57" s="370"/>
      <c r="HW57" s="370"/>
      <c r="HX57" s="370"/>
      <c r="HY57" s="370"/>
      <c r="HZ57" s="370"/>
      <c r="IA57" s="370"/>
      <c r="IB57" s="370"/>
      <c r="IC57" s="370"/>
      <c r="ID57" s="370"/>
      <c r="IE57" s="370"/>
      <c r="IF57" s="370"/>
      <c r="IG57" s="370"/>
      <c r="IH57" s="370"/>
      <c r="II57" s="370"/>
      <c r="IJ57" s="370"/>
      <c r="IK57" s="370"/>
      <c r="IL57" s="370"/>
      <c r="IM57" s="370"/>
    </row>
    <row r="58" spans="1:247" s="463" customFormat="1" ht="24" customHeight="1">
      <c r="A58" s="443" t="s">
        <v>175</v>
      </c>
      <c r="B58" s="445"/>
      <c r="C58" s="446">
        <v>49873</v>
      </c>
      <c r="D58" s="446"/>
      <c r="E58" s="340"/>
      <c r="F58" s="382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0"/>
      <c r="EY58" s="340"/>
      <c r="EZ58" s="340"/>
      <c r="FA58" s="340"/>
      <c r="FB58" s="340"/>
      <c r="FC58" s="340"/>
      <c r="FD58" s="340"/>
      <c r="FE58" s="340"/>
      <c r="FF58" s="340"/>
      <c r="FG58" s="340"/>
      <c r="FH58" s="340"/>
      <c r="FI58" s="340"/>
      <c r="FJ58" s="340"/>
      <c r="FK58" s="340"/>
      <c r="FL58" s="340"/>
      <c r="FM58" s="340"/>
      <c r="FN58" s="340"/>
      <c r="FO58" s="340"/>
      <c r="FP58" s="340"/>
      <c r="FQ58" s="340"/>
      <c r="FR58" s="340"/>
      <c r="FS58" s="340"/>
      <c r="FT58" s="340"/>
      <c r="FU58" s="340"/>
      <c r="FV58" s="340"/>
      <c r="FW58" s="340"/>
      <c r="FX58" s="340"/>
      <c r="FY58" s="340"/>
      <c r="FZ58" s="340"/>
      <c r="GA58" s="340"/>
      <c r="GB58" s="340"/>
      <c r="GC58" s="340"/>
      <c r="GD58" s="340"/>
      <c r="GE58" s="340"/>
      <c r="GF58" s="340"/>
      <c r="GG58" s="340"/>
      <c r="GH58" s="340"/>
      <c r="GI58" s="340"/>
      <c r="GJ58" s="340"/>
      <c r="GK58" s="340"/>
      <c r="GL58" s="340"/>
      <c r="GM58" s="340"/>
      <c r="GN58" s="340"/>
      <c r="GO58" s="340"/>
      <c r="GP58" s="340"/>
      <c r="GQ58" s="340"/>
      <c r="GR58" s="340"/>
      <c r="GS58" s="340"/>
      <c r="GT58" s="340"/>
      <c r="GU58" s="340"/>
      <c r="GV58" s="340"/>
      <c r="GW58" s="340"/>
      <c r="GX58" s="340"/>
      <c r="GY58" s="340"/>
      <c r="GZ58" s="340"/>
      <c r="HA58" s="340"/>
      <c r="HB58" s="340"/>
      <c r="HC58" s="340"/>
      <c r="HD58" s="340"/>
      <c r="HE58" s="340"/>
      <c r="HF58" s="340"/>
      <c r="HG58" s="340"/>
      <c r="HH58" s="340"/>
      <c r="HI58" s="340"/>
      <c r="HJ58" s="340"/>
      <c r="HK58" s="340"/>
      <c r="HL58" s="340"/>
      <c r="HM58" s="340"/>
      <c r="HN58" s="340"/>
      <c r="HO58" s="340"/>
      <c r="HP58" s="340"/>
      <c r="HQ58" s="340"/>
      <c r="HR58" s="340"/>
      <c r="HS58" s="340"/>
      <c r="HT58" s="340"/>
      <c r="HU58" s="340"/>
      <c r="HV58" s="340"/>
      <c r="HW58" s="340"/>
      <c r="HX58" s="340"/>
      <c r="HY58" s="340"/>
      <c r="HZ58" s="340"/>
      <c r="IA58" s="340"/>
      <c r="IB58" s="340"/>
      <c r="IC58" s="340"/>
      <c r="ID58" s="340"/>
      <c r="IE58" s="340"/>
      <c r="IF58" s="340"/>
      <c r="IG58" s="340"/>
      <c r="IH58" s="340"/>
      <c r="II58" s="340"/>
      <c r="IJ58" s="340"/>
      <c r="IK58" s="340"/>
      <c r="IL58" s="340"/>
      <c r="IM58" s="340"/>
    </row>
    <row r="59" spans="1:247" s="470" customFormat="1" ht="15" customHeight="1">
      <c r="A59" s="436" t="s">
        <v>157</v>
      </c>
      <c r="B59" s="465"/>
      <c r="C59" s="465">
        <v>49873</v>
      </c>
      <c r="D59" s="465"/>
      <c r="E59" s="466"/>
      <c r="F59" s="467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6"/>
      <c r="AW59" s="466"/>
      <c r="AX59" s="466"/>
      <c r="AY59" s="466"/>
      <c r="AZ59" s="466"/>
      <c r="BA59" s="466"/>
      <c r="BB59" s="466"/>
      <c r="BC59" s="466"/>
      <c r="BD59" s="466"/>
      <c r="BE59" s="466"/>
      <c r="BF59" s="466"/>
      <c r="BG59" s="466"/>
      <c r="BH59" s="466"/>
      <c r="BI59" s="466"/>
      <c r="BJ59" s="466"/>
      <c r="BK59" s="466"/>
      <c r="BL59" s="466"/>
      <c r="BM59" s="466"/>
      <c r="BN59" s="466"/>
      <c r="BO59" s="466"/>
      <c r="BP59" s="466"/>
      <c r="BQ59" s="466"/>
      <c r="BR59" s="466"/>
      <c r="BS59" s="466"/>
      <c r="BT59" s="466"/>
      <c r="BU59" s="466"/>
      <c r="BV59" s="466"/>
      <c r="BW59" s="466"/>
      <c r="BX59" s="466"/>
      <c r="BY59" s="466"/>
      <c r="BZ59" s="466"/>
      <c r="CA59" s="466"/>
      <c r="CB59" s="466"/>
      <c r="CC59" s="466"/>
      <c r="CD59" s="466"/>
      <c r="CE59" s="466"/>
      <c r="CF59" s="466"/>
      <c r="CG59" s="466"/>
      <c r="CH59" s="466"/>
      <c r="CI59" s="466"/>
      <c r="CJ59" s="466"/>
      <c r="CK59" s="466"/>
      <c r="CL59" s="466"/>
      <c r="CM59" s="466"/>
      <c r="CN59" s="466"/>
      <c r="CO59" s="466"/>
      <c r="CP59" s="466"/>
      <c r="CQ59" s="466"/>
      <c r="CR59" s="466"/>
      <c r="CS59" s="466"/>
      <c r="CT59" s="466"/>
      <c r="CU59" s="466"/>
      <c r="CV59" s="466"/>
      <c r="CW59" s="466"/>
      <c r="CX59" s="466"/>
      <c r="CY59" s="466"/>
      <c r="CZ59" s="466"/>
      <c r="DA59" s="466"/>
      <c r="DB59" s="466"/>
      <c r="DC59" s="466"/>
      <c r="DD59" s="466"/>
      <c r="DE59" s="466"/>
      <c r="DF59" s="466"/>
      <c r="DG59" s="466"/>
      <c r="DH59" s="466"/>
      <c r="DI59" s="466"/>
      <c r="DJ59" s="466"/>
      <c r="DK59" s="466"/>
      <c r="DL59" s="466"/>
      <c r="DM59" s="466"/>
      <c r="DN59" s="466"/>
      <c r="DO59" s="466"/>
      <c r="DP59" s="466"/>
      <c r="DQ59" s="466"/>
      <c r="DR59" s="466"/>
      <c r="DS59" s="466"/>
      <c r="DT59" s="466"/>
      <c r="DU59" s="466"/>
      <c r="DV59" s="466"/>
      <c r="DW59" s="466"/>
      <c r="DX59" s="466"/>
      <c r="DY59" s="466"/>
      <c r="DZ59" s="466"/>
      <c r="EA59" s="466"/>
      <c r="EB59" s="466"/>
      <c r="EC59" s="466"/>
      <c r="ED59" s="466"/>
      <c r="EE59" s="466"/>
      <c r="EF59" s="466"/>
      <c r="EG59" s="466"/>
      <c r="EH59" s="466"/>
      <c r="EI59" s="466"/>
      <c r="EJ59" s="466"/>
      <c r="EK59" s="466"/>
      <c r="EL59" s="466"/>
      <c r="EM59" s="466"/>
      <c r="EN59" s="466"/>
      <c r="EO59" s="466"/>
      <c r="EP59" s="466"/>
      <c r="EQ59" s="466"/>
      <c r="ER59" s="466"/>
      <c r="ES59" s="466"/>
      <c r="ET59" s="466"/>
      <c r="EU59" s="466"/>
      <c r="EV59" s="466"/>
      <c r="EW59" s="466"/>
      <c r="EX59" s="466"/>
      <c r="EY59" s="466"/>
      <c r="EZ59" s="466"/>
      <c r="FA59" s="466"/>
      <c r="FB59" s="466"/>
      <c r="FC59" s="466"/>
      <c r="FD59" s="466"/>
      <c r="FE59" s="466"/>
      <c r="FF59" s="466"/>
      <c r="FG59" s="466"/>
      <c r="FH59" s="466"/>
      <c r="FI59" s="466"/>
      <c r="FJ59" s="466"/>
      <c r="FK59" s="466"/>
      <c r="FL59" s="466"/>
      <c r="FM59" s="466"/>
      <c r="FN59" s="466"/>
      <c r="FO59" s="466"/>
      <c r="FP59" s="466"/>
      <c r="FQ59" s="466"/>
      <c r="FR59" s="466"/>
      <c r="FS59" s="466"/>
      <c r="FT59" s="466"/>
      <c r="FU59" s="466"/>
      <c r="FV59" s="466"/>
      <c r="FW59" s="466"/>
      <c r="FX59" s="466"/>
      <c r="FY59" s="466"/>
      <c r="FZ59" s="466"/>
      <c r="GA59" s="466"/>
      <c r="GB59" s="466"/>
      <c r="GC59" s="466"/>
      <c r="GD59" s="466"/>
      <c r="GE59" s="466"/>
      <c r="GF59" s="466"/>
      <c r="GG59" s="466"/>
      <c r="GH59" s="466"/>
      <c r="GI59" s="466"/>
      <c r="GJ59" s="466"/>
      <c r="GK59" s="466"/>
      <c r="GL59" s="466"/>
      <c r="GM59" s="466"/>
      <c r="GN59" s="466"/>
      <c r="GO59" s="466"/>
      <c r="GP59" s="466"/>
      <c r="GQ59" s="466"/>
      <c r="GR59" s="466"/>
      <c r="GS59" s="466"/>
      <c r="GT59" s="466"/>
      <c r="GU59" s="466"/>
      <c r="GV59" s="466"/>
      <c r="GW59" s="466"/>
      <c r="GX59" s="466"/>
      <c r="GY59" s="466"/>
      <c r="GZ59" s="466"/>
      <c r="HA59" s="466"/>
      <c r="HB59" s="466"/>
      <c r="HC59" s="466"/>
      <c r="HD59" s="466"/>
      <c r="HE59" s="466"/>
      <c r="HF59" s="466"/>
      <c r="HG59" s="466"/>
      <c r="HH59" s="466"/>
      <c r="HI59" s="466"/>
      <c r="HJ59" s="466"/>
      <c r="HK59" s="466"/>
      <c r="HL59" s="466"/>
      <c r="HM59" s="466"/>
      <c r="HN59" s="466"/>
      <c r="HO59" s="466"/>
      <c r="HP59" s="466"/>
      <c r="HQ59" s="466"/>
      <c r="HR59" s="466"/>
      <c r="HS59" s="466"/>
      <c r="HT59" s="466"/>
      <c r="HU59" s="466"/>
      <c r="HV59" s="466"/>
      <c r="HW59" s="466"/>
      <c r="HX59" s="466"/>
      <c r="HY59" s="466"/>
      <c r="HZ59" s="466"/>
      <c r="IA59" s="466"/>
      <c r="IB59" s="466"/>
      <c r="IC59" s="466"/>
      <c r="ID59" s="466"/>
      <c r="IE59" s="466"/>
      <c r="IF59" s="466"/>
      <c r="IG59" s="466"/>
      <c r="IH59" s="466"/>
      <c r="II59" s="466"/>
      <c r="IJ59" s="466"/>
      <c r="IK59" s="466"/>
      <c r="IL59" s="466"/>
      <c r="IM59" s="466"/>
    </row>
    <row r="60" spans="1:247" s="463" customFormat="1" ht="15" customHeight="1">
      <c r="A60" s="436" t="s">
        <v>158</v>
      </c>
      <c r="B60" s="465"/>
      <c r="C60" s="465">
        <v>43873</v>
      </c>
      <c r="D60" s="465"/>
      <c r="E60" s="340"/>
      <c r="F60" s="382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0"/>
      <c r="BL60" s="340"/>
      <c r="BM60" s="340"/>
      <c r="BN60" s="340"/>
      <c r="BO60" s="340"/>
      <c r="BP60" s="340"/>
      <c r="BQ60" s="340"/>
      <c r="BR60" s="340"/>
      <c r="BS60" s="340"/>
      <c r="BT60" s="340"/>
      <c r="BU60" s="340"/>
      <c r="BV60" s="340"/>
      <c r="BW60" s="340"/>
      <c r="BX60" s="340"/>
      <c r="BY60" s="340"/>
      <c r="BZ60" s="340"/>
      <c r="CA60" s="340"/>
      <c r="CB60" s="340"/>
      <c r="CC60" s="340"/>
      <c r="CD60" s="340"/>
      <c r="CE60" s="340"/>
      <c r="CF60" s="340"/>
      <c r="CG60" s="340"/>
      <c r="CH60" s="340"/>
      <c r="CI60" s="340"/>
      <c r="CJ60" s="340"/>
      <c r="CK60" s="340"/>
      <c r="CL60" s="340"/>
      <c r="CM60" s="340"/>
      <c r="CN60" s="340"/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340"/>
      <c r="DB60" s="340"/>
      <c r="DC60" s="340"/>
      <c r="DD60" s="340"/>
      <c r="DE60" s="340"/>
      <c r="DF60" s="340"/>
      <c r="DG60" s="340"/>
      <c r="DH60" s="340"/>
      <c r="DI60" s="340"/>
      <c r="DJ60" s="340"/>
      <c r="DK60" s="340"/>
      <c r="DL60" s="340"/>
      <c r="DM60" s="340"/>
      <c r="DN60" s="340"/>
      <c r="DO60" s="340"/>
      <c r="DP60" s="340"/>
      <c r="DQ60" s="340"/>
      <c r="DR60" s="340"/>
      <c r="DS60" s="340"/>
      <c r="DT60" s="340"/>
      <c r="DU60" s="340"/>
      <c r="DV60" s="340"/>
      <c r="DW60" s="340"/>
      <c r="DX60" s="340"/>
      <c r="DY60" s="340"/>
      <c r="DZ60" s="340"/>
      <c r="EA60" s="340"/>
      <c r="EB60" s="340"/>
      <c r="EC60" s="340"/>
      <c r="ED60" s="340"/>
      <c r="EE60" s="340"/>
      <c r="EF60" s="340"/>
      <c r="EG60" s="340"/>
      <c r="EH60" s="340"/>
      <c r="EI60" s="340"/>
      <c r="EJ60" s="340"/>
      <c r="EK60" s="340"/>
      <c r="EL60" s="340"/>
      <c r="EM60" s="340"/>
      <c r="EN60" s="340"/>
      <c r="EO60" s="340"/>
      <c r="EP60" s="340"/>
      <c r="EQ60" s="340"/>
      <c r="ER60" s="340"/>
      <c r="ES60" s="340"/>
      <c r="ET60" s="340"/>
      <c r="EU60" s="340"/>
      <c r="EV60" s="340"/>
      <c r="EW60" s="340"/>
      <c r="EX60" s="340"/>
      <c r="EY60" s="340"/>
      <c r="EZ60" s="340"/>
      <c r="FA60" s="340"/>
      <c r="FB60" s="340"/>
      <c r="FC60" s="340"/>
      <c r="FD60" s="340"/>
      <c r="FE60" s="340"/>
      <c r="FF60" s="340"/>
      <c r="FG60" s="340"/>
      <c r="FH60" s="340"/>
      <c r="FI60" s="340"/>
      <c r="FJ60" s="340"/>
      <c r="FK60" s="340"/>
      <c r="FL60" s="340"/>
      <c r="FM60" s="340"/>
      <c r="FN60" s="340"/>
      <c r="FO60" s="340"/>
      <c r="FP60" s="340"/>
      <c r="FQ60" s="340"/>
      <c r="FR60" s="340"/>
      <c r="FS60" s="340"/>
      <c r="FT60" s="340"/>
      <c r="FU60" s="340"/>
      <c r="FV60" s="340"/>
      <c r="FW60" s="340"/>
      <c r="FX60" s="340"/>
      <c r="FY60" s="340"/>
      <c r="FZ60" s="340"/>
      <c r="GA60" s="340"/>
      <c r="GB60" s="340"/>
      <c r="GC60" s="340"/>
      <c r="GD60" s="340"/>
      <c r="GE60" s="340"/>
      <c r="GF60" s="340"/>
      <c r="GG60" s="340"/>
      <c r="GH60" s="340"/>
      <c r="GI60" s="340"/>
      <c r="GJ60" s="340"/>
      <c r="GK60" s="340"/>
      <c r="GL60" s="340"/>
      <c r="GM60" s="340"/>
      <c r="GN60" s="340"/>
      <c r="GO60" s="340"/>
      <c r="GP60" s="340"/>
      <c r="GQ60" s="340"/>
      <c r="GR60" s="340"/>
      <c r="GS60" s="340"/>
      <c r="GT60" s="340"/>
      <c r="GU60" s="340"/>
      <c r="GV60" s="340"/>
      <c r="GW60" s="340"/>
      <c r="GX60" s="340"/>
      <c r="GY60" s="340"/>
      <c r="GZ60" s="340"/>
      <c r="HA60" s="340"/>
      <c r="HB60" s="340"/>
      <c r="HC60" s="340"/>
      <c r="HD60" s="340"/>
      <c r="HE60" s="340"/>
      <c r="HF60" s="340"/>
      <c r="HG60" s="340"/>
      <c r="HH60" s="340"/>
      <c r="HI60" s="340"/>
      <c r="HJ60" s="340"/>
      <c r="HK60" s="340"/>
      <c r="HL60" s="340"/>
      <c r="HM60" s="340"/>
      <c r="HN60" s="340"/>
      <c r="HO60" s="340"/>
      <c r="HP60" s="340"/>
      <c r="HQ60" s="340"/>
      <c r="HR60" s="340"/>
      <c r="HS60" s="340"/>
      <c r="HT60" s="340"/>
      <c r="HU60" s="340"/>
      <c r="HV60" s="340"/>
      <c r="HW60" s="340"/>
      <c r="HX60" s="340"/>
      <c r="HY60" s="340"/>
      <c r="HZ60" s="340"/>
      <c r="IA60" s="340"/>
      <c r="IB60" s="340"/>
      <c r="IC60" s="340"/>
      <c r="ID60" s="340"/>
      <c r="IE60" s="340"/>
      <c r="IF60" s="340"/>
      <c r="IG60" s="340"/>
      <c r="IH60" s="340"/>
      <c r="II60" s="340"/>
      <c r="IJ60" s="340"/>
      <c r="IK60" s="340"/>
      <c r="IL60" s="340"/>
      <c r="IM60" s="340"/>
    </row>
    <row r="61" spans="1:247" s="463" customFormat="1" ht="15" customHeight="1">
      <c r="A61" s="436" t="s">
        <v>159</v>
      </c>
      <c r="B61" s="465"/>
      <c r="C61" s="465">
        <v>6000</v>
      </c>
      <c r="D61" s="465"/>
      <c r="E61" s="340"/>
      <c r="F61" s="382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340"/>
      <c r="BV61" s="340"/>
      <c r="BW61" s="340"/>
      <c r="BX61" s="340"/>
      <c r="BY61" s="340"/>
      <c r="BZ61" s="340"/>
      <c r="CA61" s="340"/>
      <c r="CB61" s="340"/>
      <c r="CC61" s="340"/>
      <c r="CD61" s="340"/>
      <c r="CE61" s="340"/>
      <c r="CF61" s="340"/>
      <c r="CG61" s="340"/>
      <c r="CH61" s="340"/>
      <c r="CI61" s="340"/>
      <c r="CJ61" s="340"/>
      <c r="CK61" s="340"/>
      <c r="CL61" s="340"/>
      <c r="CM61" s="340"/>
      <c r="CN61" s="340"/>
      <c r="CO61" s="340"/>
      <c r="CP61" s="340"/>
      <c r="CQ61" s="340"/>
      <c r="CR61" s="340"/>
      <c r="CS61" s="340"/>
      <c r="CT61" s="340"/>
      <c r="CU61" s="340"/>
      <c r="CV61" s="340"/>
      <c r="CW61" s="340"/>
      <c r="CX61" s="340"/>
      <c r="CY61" s="340"/>
      <c r="CZ61" s="340"/>
      <c r="DA61" s="340"/>
      <c r="DB61" s="340"/>
      <c r="DC61" s="340"/>
      <c r="DD61" s="340"/>
      <c r="DE61" s="340"/>
      <c r="DF61" s="340"/>
      <c r="DG61" s="340"/>
      <c r="DH61" s="340"/>
      <c r="DI61" s="340"/>
      <c r="DJ61" s="340"/>
      <c r="DK61" s="340"/>
      <c r="DL61" s="340"/>
      <c r="DM61" s="340"/>
      <c r="DN61" s="340"/>
      <c r="DO61" s="340"/>
      <c r="DP61" s="340"/>
      <c r="DQ61" s="340"/>
      <c r="DR61" s="340"/>
      <c r="DS61" s="340"/>
      <c r="DT61" s="340"/>
      <c r="DU61" s="340"/>
      <c r="DV61" s="340"/>
      <c r="DW61" s="340"/>
      <c r="DX61" s="340"/>
      <c r="DY61" s="340"/>
      <c r="DZ61" s="340"/>
      <c r="EA61" s="340"/>
      <c r="EB61" s="340"/>
      <c r="EC61" s="340"/>
      <c r="ED61" s="340"/>
      <c r="EE61" s="340"/>
      <c r="EF61" s="340"/>
      <c r="EG61" s="340"/>
      <c r="EH61" s="340"/>
      <c r="EI61" s="340"/>
      <c r="EJ61" s="340"/>
      <c r="EK61" s="340"/>
      <c r="EL61" s="340"/>
      <c r="EM61" s="340"/>
      <c r="EN61" s="340"/>
      <c r="EO61" s="340"/>
      <c r="EP61" s="340"/>
      <c r="EQ61" s="340"/>
      <c r="ER61" s="340"/>
      <c r="ES61" s="340"/>
      <c r="ET61" s="340"/>
      <c r="EU61" s="340"/>
      <c r="EV61" s="340"/>
      <c r="EW61" s="340"/>
      <c r="EX61" s="340"/>
      <c r="EY61" s="340"/>
      <c r="EZ61" s="340"/>
      <c r="FA61" s="340"/>
      <c r="FB61" s="340"/>
      <c r="FC61" s="340"/>
      <c r="FD61" s="340"/>
      <c r="FE61" s="340"/>
      <c r="FF61" s="340"/>
      <c r="FG61" s="340"/>
      <c r="FH61" s="340"/>
      <c r="FI61" s="340"/>
      <c r="FJ61" s="340"/>
      <c r="FK61" s="340"/>
      <c r="FL61" s="340"/>
      <c r="FM61" s="340"/>
      <c r="FN61" s="340"/>
      <c r="FO61" s="340"/>
      <c r="FP61" s="340"/>
      <c r="FQ61" s="340"/>
      <c r="FR61" s="340"/>
      <c r="FS61" s="340"/>
      <c r="FT61" s="340"/>
      <c r="FU61" s="340"/>
      <c r="FV61" s="340"/>
      <c r="FW61" s="340"/>
      <c r="FX61" s="340"/>
      <c r="FY61" s="340"/>
      <c r="FZ61" s="340"/>
      <c r="GA61" s="340"/>
      <c r="GB61" s="340"/>
      <c r="GC61" s="340"/>
      <c r="GD61" s="340"/>
      <c r="GE61" s="340"/>
      <c r="GF61" s="340"/>
      <c r="GG61" s="340"/>
      <c r="GH61" s="340"/>
      <c r="GI61" s="340"/>
      <c r="GJ61" s="340"/>
      <c r="GK61" s="340"/>
      <c r="GL61" s="340"/>
      <c r="GM61" s="340"/>
      <c r="GN61" s="340"/>
      <c r="GO61" s="340"/>
      <c r="GP61" s="340"/>
      <c r="GQ61" s="340"/>
      <c r="GR61" s="340"/>
      <c r="GS61" s="340"/>
      <c r="GT61" s="340"/>
      <c r="GU61" s="340"/>
      <c r="GV61" s="340"/>
      <c r="GW61" s="340"/>
      <c r="GX61" s="340"/>
      <c r="GY61" s="340"/>
      <c r="GZ61" s="340"/>
      <c r="HA61" s="340"/>
      <c r="HB61" s="340"/>
      <c r="HC61" s="340"/>
      <c r="HD61" s="340"/>
      <c r="HE61" s="340"/>
      <c r="HF61" s="340"/>
      <c r="HG61" s="340"/>
      <c r="HH61" s="340"/>
      <c r="HI61" s="340"/>
      <c r="HJ61" s="340"/>
      <c r="HK61" s="340"/>
      <c r="HL61" s="340"/>
      <c r="HM61" s="340"/>
      <c r="HN61" s="340"/>
      <c r="HO61" s="340"/>
      <c r="HP61" s="340"/>
      <c r="HQ61" s="340"/>
      <c r="HR61" s="340"/>
      <c r="HS61" s="340"/>
      <c r="HT61" s="340"/>
      <c r="HU61" s="340"/>
      <c r="HV61" s="340"/>
      <c r="HW61" s="340"/>
      <c r="HX61" s="340"/>
      <c r="HY61" s="340"/>
      <c r="HZ61" s="340"/>
      <c r="IA61" s="340"/>
      <c r="IB61" s="340"/>
      <c r="IC61" s="340"/>
      <c r="ID61" s="340"/>
      <c r="IE61" s="340"/>
      <c r="IF61" s="340"/>
      <c r="IG61" s="340"/>
      <c r="IH61" s="340"/>
      <c r="II61" s="340"/>
      <c r="IJ61" s="340"/>
      <c r="IK61" s="340"/>
      <c r="IL61" s="340"/>
      <c r="IM61" s="340"/>
    </row>
    <row r="62" spans="1:247" s="463" customFormat="1" ht="15.75">
      <c r="A62" s="436"/>
      <c r="B62" s="465"/>
      <c r="C62" s="465"/>
      <c r="D62" s="465"/>
      <c r="E62" s="340"/>
      <c r="F62" s="382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/>
      <c r="CF62" s="340"/>
      <c r="CG62" s="340"/>
      <c r="CH62" s="340"/>
      <c r="CI62" s="340"/>
      <c r="CJ62" s="340"/>
      <c r="CK62" s="340"/>
      <c r="CL62" s="340"/>
      <c r="CM62" s="340"/>
      <c r="CN62" s="340"/>
      <c r="CO62" s="340"/>
      <c r="CP62" s="340"/>
      <c r="CQ62" s="340"/>
      <c r="CR62" s="340"/>
      <c r="CS62" s="340"/>
      <c r="CT62" s="340"/>
      <c r="CU62" s="340"/>
      <c r="CV62" s="340"/>
      <c r="CW62" s="340"/>
      <c r="CX62" s="340"/>
      <c r="CY62" s="340"/>
      <c r="CZ62" s="340"/>
      <c r="DA62" s="340"/>
      <c r="DB62" s="340"/>
      <c r="DC62" s="340"/>
      <c r="DD62" s="340"/>
      <c r="DE62" s="340"/>
      <c r="DF62" s="340"/>
      <c r="DG62" s="340"/>
      <c r="DH62" s="340"/>
      <c r="DI62" s="340"/>
      <c r="DJ62" s="340"/>
      <c r="DK62" s="340"/>
      <c r="DL62" s="340"/>
      <c r="DM62" s="340"/>
      <c r="DN62" s="340"/>
      <c r="DO62" s="340"/>
      <c r="DP62" s="340"/>
      <c r="DQ62" s="340"/>
      <c r="DR62" s="340"/>
      <c r="DS62" s="340"/>
      <c r="DT62" s="340"/>
      <c r="DU62" s="340"/>
      <c r="DV62" s="340"/>
      <c r="DW62" s="340"/>
      <c r="DX62" s="340"/>
      <c r="DY62" s="340"/>
      <c r="DZ62" s="340"/>
      <c r="EA62" s="340"/>
      <c r="EB62" s="340"/>
      <c r="EC62" s="340"/>
      <c r="ED62" s="340"/>
      <c r="EE62" s="340"/>
      <c r="EF62" s="340"/>
      <c r="EG62" s="340"/>
      <c r="EH62" s="340"/>
      <c r="EI62" s="340"/>
      <c r="EJ62" s="340"/>
      <c r="EK62" s="340"/>
      <c r="EL62" s="340"/>
      <c r="EM62" s="340"/>
      <c r="EN62" s="340"/>
      <c r="EO62" s="340"/>
      <c r="EP62" s="340"/>
      <c r="EQ62" s="340"/>
      <c r="ER62" s="340"/>
      <c r="ES62" s="340"/>
      <c r="ET62" s="340"/>
      <c r="EU62" s="340"/>
      <c r="EV62" s="340"/>
      <c r="EW62" s="340"/>
      <c r="EX62" s="340"/>
      <c r="EY62" s="340"/>
      <c r="EZ62" s="340"/>
      <c r="FA62" s="340"/>
      <c r="FB62" s="340"/>
      <c r="FC62" s="340"/>
      <c r="FD62" s="340"/>
      <c r="FE62" s="340"/>
      <c r="FF62" s="340"/>
      <c r="FG62" s="340"/>
      <c r="FH62" s="340"/>
      <c r="FI62" s="340"/>
      <c r="FJ62" s="340"/>
      <c r="FK62" s="340"/>
      <c r="FL62" s="340"/>
      <c r="FM62" s="340"/>
      <c r="FN62" s="340"/>
      <c r="FO62" s="340"/>
      <c r="FP62" s="340"/>
      <c r="FQ62" s="340"/>
      <c r="FR62" s="340"/>
      <c r="FS62" s="340"/>
      <c r="FT62" s="340"/>
      <c r="FU62" s="340"/>
      <c r="FV62" s="340"/>
      <c r="FW62" s="340"/>
      <c r="FX62" s="340"/>
      <c r="FY62" s="340"/>
      <c r="FZ62" s="340"/>
      <c r="GA62" s="340"/>
      <c r="GB62" s="340"/>
      <c r="GC62" s="340"/>
      <c r="GD62" s="340"/>
      <c r="GE62" s="340"/>
      <c r="GF62" s="340"/>
      <c r="GG62" s="340"/>
      <c r="GH62" s="340"/>
      <c r="GI62" s="340"/>
      <c r="GJ62" s="340"/>
      <c r="GK62" s="340"/>
      <c r="GL62" s="340"/>
      <c r="GM62" s="340"/>
      <c r="GN62" s="340"/>
      <c r="GO62" s="340"/>
      <c r="GP62" s="340"/>
      <c r="GQ62" s="340"/>
      <c r="GR62" s="340"/>
      <c r="GS62" s="340"/>
      <c r="GT62" s="340"/>
      <c r="GU62" s="340"/>
      <c r="GV62" s="340"/>
      <c r="GW62" s="340"/>
      <c r="GX62" s="340"/>
      <c r="GY62" s="340"/>
      <c r="GZ62" s="340"/>
      <c r="HA62" s="340"/>
      <c r="HB62" s="340"/>
      <c r="HC62" s="340"/>
      <c r="HD62" s="340"/>
      <c r="HE62" s="340"/>
      <c r="HF62" s="340"/>
      <c r="HG62" s="340"/>
      <c r="HH62" s="340"/>
      <c r="HI62" s="340"/>
      <c r="HJ62" s="340"/>
      <c r="HK62" s="340"/>
      <c r="HL62" s="340"/>
      <c r="HM62" s="340"/>
      <c r="HN62" s="340"/>
      <c r="HO62" s="340"/>
      <c r="HP62" s="340"/>
      <c r="HQ62" s="340"/>
      <c r="HR62" s="340"/>
      <c r="HS62" s="340"/>
      <c r="HT62" s="340"/>
      <c r="HU62" s="340"/>
      <c r="HV62" s="340"/>
      <c r="HW62" s="340"/>
      <c r="HX62" s="340"/>
      <c r="HY62" s="340"/>
      <c r="HZ62" s="340"/>
      <c r="IA62" s="340"/>
      <c r="IB62" s="340"/>
      <c r="IC62" s="340"/>
      <c r="ID62" s="340"/>
      <c r="IE62" s="340"/>
      <c r="IF62" s="340"/>
      <c r="IG62" s="340"/>
      <c r="IH62" s="340"/>
      <c r="II62" s="340"/>
      <c r="IJ62" s="340"/>
      <c r="IK62" s="340"/>
      <c r="IL62" s="340"/>
      <c r="IM62" s="340"/>
    </row>
    <row r="63" spans="1:247" s="463" customFormat="1" ht="15" customHeight="1">
      <c r="A63" s="432"/>
      <c r="B63" s="435"/>
      <c r="C63" s="435"/>
      <c r="D63" s="474"/>
      <c r="E63" s="340"/>
      <c r="F63" s="382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0"/>
      <c r="CC63" s="340"/>
      <c r="CD63" s="340"/>
      <c r="CE63" s="340"/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/>
      <c r="DC63" s="340"/>
      <c r="DD63" s="340"/>
      <c r="DE63" s="340"/>
      <c r="DF63" s="340"/>
      <c r="DG63" s="340"/>
      <c r="DH63" s="340"/>
      <c r="DI63" s="340"/>
      <c r="DJ63" s="340"/>
      <c r="DK63" s="340"/>
      <c r="DL63" s="340"/>
      <c r="DM63" s="340"/>
      <c r="DN63" s="340"/>
      <c r="DO63" s="340"/>
      <c r="DP63" s="340"/>
      <c r="DQ63" s="340"/>
      <c r="DR63" s="340"/>
      <c r="DS63" s="340"/>
      <c r="DT63" s="340"/>
      <c r="DU63" s="340"/>
      <c r="DV63" s="340"/>
      <c r="DW63" s="340"/>
      <c r="DX63" s="340"/>
      <c r="DY63" s="340"/>
      <c r="DZ63" s="340"/>
      <c r="EA63" s="340"/>
      <c r="EB63" s="340"/>
      <c r="EC63" s="340"/>
      <c r="ED63" s="340"/>
      <c r="EE63" s="340"/>
      <c r="EF63" s="340"/>
      <c r="EG63" s="340"/>
      <c r="EH63" s="340"/>
      <c r="EI63" s="340"/>
      <c r="EJ63" s="340"/>
      <c r="EK63" s="340"/>
      <c r="EL63" s="340"/>
      <c r="EM63" s="340"/>
      <c r="EN63" s="340"/>
      <c r="EO63" s="340"/>
      <c r="EP63" s="340"/>
      <c r="EQ63" s="340"/>
      <c r="ER63" s="340"/>
      <c r="ES63" s="340"/>
      <c r="ET63" s="340"/>
      <c r="EU63" s="340"/>
      <c r="EV63" s="340"/>
      <c r="EW63" s="340"/>
      <c r="EX63" s="340"/>
      <c r="EY63" s="340"/>
      <c r="EZ63" s="340"/>
      <c r="FA63" s="340"/>
      <c r="FB63" s="340"/>
      <c r="FC63" s="340"/>
      <c r="FD63" s="340"/>
      <c r="FE63" s="340"/>
      <c r="FF63" s="340"/>
      <c r="FG63" s="340"/>
      <c r="FH63" s="340"/>
      <c r="FI63" s="340"/>
      <c r="FJ63" s="340"/>
      <c r="FK63" s="340"/>
      <c r="FL63" s="340"/>
      <c r="FM63" s="340"/>
      <c r="FN63" s="340"/>
      <c r="FO63" s="340"/>
      <c r="FP63" s="340"/>
      <c r="FQ63" s="340"/>
      <c r="FR63" s="340"/>
      <c r="FS63" s="340"/>
      <c r="FT63" s="340"/>
      <c r="FU63" s="340"/>
      <c r="FV63" s="340"/>
      <c r="FW63" s="340"/>
      <c r="FX63" s="340"/>
      <c r="FY63" s="340"/>
      <c r="FZ63" s="340"/>
      <c r="GA63" s="340"/>
      <c r="GB63" s="340"/>
      <c r="GC63" s="340"/>
      <c r="GD63" s="340"/>
      <c r="GE63" s="340"/>
      <c r="GF63" s="340"/>
      <c r="GG63" s="340"/>
      <c r="GH63" s="340"/>
      <c r="GI63" s="340"/>
      <c r="GJ63" s="340"/>
      <c r="GK63" s="340"/>
      <c r="GL63" s="340"/>
      <c r="GM63" s="340"/>
      <c r="GN63" s="340"/>
      <c r="GO63" s="340"/>
      <c r="GP63" s="340"/>
      <c r="GQ63" s="340"/>
      <c r="GR63" s="340"/>
      <c r="GS63" s="340"/>
      <c r="GT63" s="340"/>
      <c r="GU63" s="340"/>
      <c r="GV63" s="340"/>
      <c r="GW63" s="340"/>
      <c r="GX63" s="340"/>
      <c r="GY63" s="340"/>
      <c r="GZ63" s="340"/>
      <c r="HA63" s="340"/>
      <c r="HB63" s="340"/>
      <c r="HC63" s="340"/>
      <c r="HD63" s="340"/>
      <c r="HE63" s="340"/>
      <c r="HF63" s="340"/>
      <c r="HG63" s="340"/>
      <c r="HH63" s="340"/>
      <c r="HI63" s="340"/>
      <c r="HJ63" s="340"/>
      <c r="HK63" s="340"/>
      <c r="HL63" s="340"/>
      <c r="HM63" s="340"/>
      <c r="HN63" s="340"/>
      <c r="HO63" s="340"/>
      <c r="HP63" s="340"/>
      <c r="HQ63" s="340"/>
      <c r="HR63" s="340"/>
      <c r="HS63" s="340"/>
      <c r="HT63" s="340"/>
      <c r="HU63" s="340"/>
      <c r="HV63" s="340"/>
      <c r="HW63" s="340"/>
      <c r="HX63" s="340"/>
      <c r="HY63" s="340"/>
      <c r="HZ63" s="340"/>
      <c r="IA63" s="340"/>
      <c r="IB63" s="340"/>
      <c r="IC63" s="340"/>
      <c r="ID63" s="340"/>
      <c r="IE63" s="340"/>
      <c r="IF63" s="340"/>
      <c r="IG63" s="340"/>
      <c r="IH63" s="340"/>
      <c r="II63" s="340"/>
      <c r="IJ63" s="340"/>
      <c r="IK63" s="340"/>
      <c r="IL63" s="340"/>
      <c r="IM63" s="340"/>
    </row>
    <row r="64" spans="1:247" s="463" customFormat="1" ht="14.25" customHeight="1">
      <c r="A64" s="456"/>
      <c r="B64" s="445"/>
      <c r="C64" s="445"/>
      <c r="D64" s="445"/>
      <c r="E64" s="340"/>
      <c r="F64" s="382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340"/>
      <c r="BY64" s="340"/>
      <c r="BZ64" s="340"/>
      <c r="CA64" s="340"/>
      <c r="CB64" s="340"/>
      <c r="CC64" s="340"/>
      <c r="CD64" s="340"/>
      <c r="CE64" s="340"/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/>
      <c r="DC64" s="340"/>
      <c r="DD64" s="340"/>
      <c r="DE64" s="340"/>
      <c r="DF64" s="340"/>
      <c r="DG64" s="340"/>
      <c r="DH64" s="340"/>
      <c r="DI64" s="340"/>
      <c r="DJ64" s="340"/>
      <c r="DK64" s="340"/>
      <c r="DL64" s="340"/>
      <c r="DM64" s="340"/>
      <c r="DN64" s="340"/>
      <c r="DO64" s="340"/>
      <c r="DP64" s="340"/>
      <c r="DQ64" s="340"/>
      <c r="DR64" s="340"/>
      <c r="DS64" s="340"/>
      <c r="DT64" s="340"/>
      <c r="DU64" s="340"/>
      <c r="DV64" s="340"/>
      <c r="DW64" s="340"/>
      <c r="DX64" s="340"/>
      <c r="DY64" s="340"/>
      <c r="DZ64" s="340"/>
      <c r="EA64" s="340"/>
      <c r="EB64" s="340"/>
      <c r="EC64" s="340"/>
      <c r="ED64" s="340"/>
      <c r="EE64" s="340"/>
      <c r="EF64" s="340"/>
      <c r="EG64" s="340"/>
      <c r="EH64" s="340"/>
      <c r="EI64" s="340"/>
      <c r="EJ64" s="340"/>
      <c r="EK64" s="340"/>
      <c r="EL64" s="340"/>
      <c r="EM64" s="340"/>
      <c r="EN64" s="340"/>
      <c r="EO64" s="340"/>
      <c r="EP64" s="340"/>
      <c r="EQ64" s="340"/>
      <c r="ER64" s="340"/>
      <c r="ES64" s="340"/>
      <c r="ET64" s="340"/>
      <c r="EU64" s="340"/>
      <c r="EV64" s="340"/>
      <c r="EW64" s="340"/>
      <c r="EX64" s="340"/>
      <c r="EY64" s="340"/>
      <c r="EZ64" s="340"/>
      <c r="FA64" s="340"/>
      <c r="FB64" s="340"/>
      <c r="FC64" s="340"/>
      <c r="FD64" s="340"/>
      <c r="FE64" s="340"/>
      <c r="FF64" s="340"/>
      <c r="FG64" s="340"/>
      <c r="FH64" s="340"/>
      <c r="FI64" s="340"/>
      <c r="FJ64" s="340"/>
      <c r="FK64" s="340"/>
      <c r="FL64" s="340"/>
      <c r="FM64" s="340"/>
      <c r="FN64" s="340"/>
      <c r="FO64" s="340"/>
      <c r="FP64" s="340"/>
      <c r="FQ64" s="340"/>
      <c r="FR64" s="340"/>
      <c r="FS64" s="340"/>
      <c r="FT64" s="340"/>
      <c r="FU64" s="340"/>
      <c r="FV64" s="340"/>
      <c r="FW64" s="340"/>
      <c r="FX64" s="340"/>
      <c r="FY64" s="340"/>
      <c r="FZ64" s="340"/>
      <c r="GA64" s="340"/>
      <c r="GB64" s="340"/>
      <c r="GC64" s="340"/>
      <c r="GD64" s="340"/>
      <c r="GE64" s="340"/>
      <c r="GF64" s="340"/>
      <c r="GG64" s="340"/>
      <c r="GH64" s="340"/>
      <c r="GI64" s="340"/>
      <c r="GJ64" s="340"/>
      <c r="GK64" s="340"/>
      <c r="GL64" s="340"/>
      <c r="GM64" s="340"/>
      <c r="GN64" s="340"/>
      <c r="GO64" s="340"/>
      <c r="GP64" s="340"/>
      <c r="GQ64" s="340"/>
      <c r="GR64" s="340"/>
      <c r="GS64" s="340"/>
      <c r="GT64" s="340"/>
      <c r="GU64" s="340"/>
      <c r="GV64" s="340"/>
      <c r="GW64" s="340"/>
      <c r="GX64" s="340"/>
      <c r="GY64" s="340"/>
      <c r="GZ64" s="340"/>
      <c r="HA64" s="340"/>
      <c r="HB64" s="340"/>
      <c r="HC64" s="340"/>
      <c r="HD64" s="340"/>
      <c r="HE64" s="340"/>
      <c r="HF64" s="340"/>
      <c r="HG64" s="340"/>
      <c r="HH64" s="340"/>
      <c r="HI64" s="340"/>
      <c r="HJ64" s="340"/>
      <c r="HK64" s="340"/>
      <c r="HL64" s="340"/>
      <c r="HM64" s="340"/>
      <c r="HN64" s="340"/>
      <c r="HO64" s="340"/>
      <c r="HP64" s="340"/>
      <c r="HQ64" s="340"/>
      <c r="HR64" s="340"/>
      <c r="HS64" s="340"/>
      <c r="HT64" s="340"/>
      <c r="HU64" s="340"/>
      <c r="HV64" s="340"/>
      <c r="HW64" s="340"/>
      <c r="HX64" s="340"/>
      <c r="HY64" s="340"/>
      <c r="HZ64" s="340"/>
      <c r="IA64" s="340"/>
      <c r="IB64" s="340"/>
      <c r="IC64" s="340"/>
      <c r="ID64" s="340"/>
      <c r="IE64" s="340"/>
      <c r="IF64" s="340"/>
      <c r="IG64" s="340"/>
      <c r="IH64" s="340"/>
      <c r="II64" s="340"/>
      <c r="IJ64" s="340"/>
      <c r="IK64" s="340"/>
      <c r="IL64" s="340"/>
      <c r="IM64" s="340"/>
    </row>
    <row r="65" spans="1:3" ht="15" customHeight="1">
      <c r="A65" s="432" t="s">
        <v>160</v>
      </c>
      <c r="B65" s="432"/>
      <c r="C65" s="475" t="s">
        <v>265</v>
      </c>
    </row>
    <row r="66" spans="1:247" s="463" customFormat="1" ht="15.75">
      <c r="A66" s="432"/>
      <c r="B66" s="435"/>
      <c r="C66" s="435"/>
      <c r="D66" s="474"/>
      <c r="E66" s="340"/>
      <c r="F66" s="382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/>
      <c r="DC66" s="340"/>
      <c r="DD66" s="340"/>
      <c r="DE66" s="340"/>
      <c r="DF66" s="340"/>
      <c r="DG66" s="340"/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0"/>
      <c r="DU66" s="340"/>
      <c r="DV66" s="340"/>
      <c r="DW66" s="340"/>
      <c r="DX66" s="340"/>
      <c r="DY66" s="340"/>
      <c r="DZ66" s="340"/>
      <c r="EA66" s="340"/>
      <c r="EB66" s="340"/>
      <c r="EC66" s="340"/>
      <c r="ED66" s="340"/>
      <c r="EE66" s="340"/>
      <c r="EF66" s="340"/>
      <c r="EG66" s="340"/>
      <c r="EH66" s="340"/>
      <c r="EI66" s="340"/>
      <c r="EJ66" s="340"/>
      <c r="EK66" s="340"/>
      <c r="EL66" s="340"/>
      <c r="EM66" s="340"/>
      <c r="EN66" s="340"/>
      <c r="EO66" s="340"/>
      <c r="EP66" s="340"/>
      <c r="EQ66" s="340"/>
      <c r="ER66" s="340"/>
      <c r="ES66" s="340"/>
      <c r="ET66" s="340"/>
      <c r="EU66" s="340"/>
      <c r="EV66" s="340"/>
      <c r="EW66" s="340"/>
      <c r="EX66" s="340"/>
      <c r="EY66" s="340"/>
      <c r="EZ66" s="340"/>
      <c r="FA66" s="340"/>
      <c r="FB66" s="340"/>
      <c r="FC66" s="340"/>
      <c r="FD66" s="340"/>
      <c r="FE66" s="340"/>
      <c r="FF66" s="340"/>
      <c r="FG66" s="340"/>
      <c r="FH66" s="340"/>
      <c r="FI66" s="340"/>
      <c r="FJ66" s="340"/>
      <c r="FK66" s="340"/>
      <c r="FL66" s="340"/>
      <c r="FM66" s="340"/>
      <c r="FN66" s="340"/>
      <c r="FO66" s="340"/>
      <c r="FP66" s="340"/>
      <c r="FQ66" s="340"/>
      <c r="FR66" s="340"/>
      <c r="FS66" s="340"/>
      <c r="FT66" s="340"/>
      <c r="FU66" s="340"/>
      <c r="FV66" s="340"/>
      <c r="FW66" s="340"/>
      <c r="FX66" s="340"/>
      <c r="FY66" s="340"/>
      <c r="FZ66" s="340"/>
      <c r="GA66" s="340"/>
      <c r="GB66" s="340"/>
      <c r="GC66" s="340"/>
      <c r="GD66" s="340"/>
      <c r="GE66" s="340"/>
      <c r="GF66" s="340"/>
      <c r="GG66" s="340"/>
      <c r="GH66" s="340"/>
      <c r="GI66" s="340"/>
      <c r="GJ66" s="340"/>
      <c r="GK66" s="340"/>
      <c r="GL66" s="340"/>
      <c r="GM66" s="340"/>
      <c r="GN66" s="340"/>
      <c r="GO66" s="340"/>
      <c r="GP66" s="340"/>
      <c r="GQ66" s="340"/>
      <c r="GR66" s="340"/>
      <c r="GS66" s="340"/>
      <c r="GT66" s="340"/>
      <c r="GU66" s="340"/>
      <c r="GV66" s="340"/>
      <c r="GW66" s="340"/>
      <c r="GX66" s="340"/>
      <c r="GY66" s="340"/>
      <c r="GZ66" s="340"/>
      <c r="HA66" s="340"/>
      <c r="HB66" s="340"/>
      <c r="HC66" s="340"/>
      <c r="HD66" s="340"/>
      <c r="HE66" s="340"/>
      <c r="HF66" s="340"/>
      <c r="HG66" s="340"/>
      <c r="HH66" s="340"/>
      <c r="HI66" s="340"/>
      <c r="HJ66" s="340"/>
      <c r="HK66" s="340"/>
      <c r="HL66" s="340"/>
      <c r="HM66" s="340"/>
      <c r="HN66" s="340"/>
      <c r="HO66" s="340"/>
      <c r="HP66" s="340"/>
      <c r="HQ66" s="340"/>
      <c r="HR66" s="340"/>
      <c r="HS66" s="340"/>
      <c r="HT66" s="340"/>
      <c r="HU66" s="340"/>
      <c r="HV66" s="340"/>
      <c r="HW66" s="340"/>
      <c r="HX66" s="340"/>
      <c r="HY66" s="340"/>
      <c r="HZ66" s="340"/>
      <c r="IA66" s="340"/>
      <c r="IB66" s="340"/>
      <c r="IC66" s="340"/>
      <c r="ID66" s="340"/>
      <c r="IE66" s="340"/>
      <c r="IF66" s="340"/>
      <c r="IG66" s="340"/>
      <c r="IH66" s="340"/>
      <c r="II66" s="340"/>
      <c r="IJ66" s="340"/>
      <c r="IK66" s="340"/>
      <c r="IL66" s="340"/>
      <c r="IM66" s="340"/>
    </row>
    <row r="67" spans="1:247" s="463" customFormat="1" ht="15" customHeight="1">
      <c r="A67" s="382"/>
      <c r="B67" s="476"/>
      <c r="C67" s="476"/>
      <c r="D67" s="440"/>
      <c r="E67" s="340"/>
      <c r="F67" s="382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0"/>
      <c r="DE67" s="340"/>
      <c r="DF67" s="340"/>
      <c r="DG67" s="340"/>
      <c r="DH67" s="340"/>
      <c r="DI67" s="340"/>
      <c r="DJ67" s="340"/>
      <c r="DK67" s="340"/>
      <c r="DL67" s="340"/>
      <c r="DM67" s="340"/>
      <c r="DN67" s="340"/>
      <c r="DO67" s="340"/>
      <c r="DP67" s="340"/>
      <c r="DQ67" s="340"/>
      <c r="DR67" s="340"/>
      <c r="DS67" s="340"/>
      <c r="DT67" s="340"/>
      <c r="DU67" s="340"/>
      <c r="DV67" s="340"/>
      <c r="DW67" s="340"/>
      <c r="DX67" s="340"/>
      <c r="DY67" s="340"/>
      <c r="DZ67" s="340"/>
      <c r="EA67" s="340"/>
      <c r="EB67" s="340"/>
      <c r="EC67" s="340"/>
      <c r="ED67" s="340"/>
      <c r="EE67" s="340"/>
      <c r="EF67" s="340"/>
      <c r="EG67" s="340"/>
      <c r="EH67" s="340"/>
      <c r="EI67" s="340"/>
      <c r="EJ67" s="340"/>
      <c r="EK67" s="340"/>
      <c r="EL67" s="340"/>
      <c r="EM67" s="340"/>
      <c r="EN67" s="340"/>
      <c r="EO67" s="340"/>
      <c r="EP67" s="340"/>
      <c r="EQ67" s="340"/>
      <c r="ER67" s="340"/>
      <c r="ES67" s="340"/>
      <c r="ET67" s="340"/>
      <c r="EU67" s="340"/>
      <c r="EV67" s="340"/>
      <c r="EW67" s="340"/>
      <c r="EX67" s="340"/>
      <c r="EY67" s="340"/>
      <c r="EZ67" s="340"/>
      <c r="FA67" s="340"/>
      <c r="FB67" s="340"/>
      <c r="FC67" s="340"/>
      <c r="FD67" s="340"/>
      <c r="FE67" s="340"/>
      <c r="FF67" s="340"/>
      <c r="FG67" s="340"/>
      <c r="FH67" s="340"/>
      <c r="FI67" s="340"/>
      <c r="FJ67" s="340"/>
      <c r="FK67" s="340"/>
      <c r="FL67" s="340"/>
      <c r="FM67" s="340"/>
      <c r="FN67" s="340"/>
      <c r="FO67" s="340"/>
      <c r="FP67" s="340"/>
      <c r="FQ67" s="340"/>
      <c r="FR67" s="340"/>
      <c r="FS67" s="340"/>
      <c r="FT67" s="340"/>
      <c r="FU67" s="340"/>
      <c r="FV67" s="340"/>
      <c r="FW67" s="340"/>
      <c r="FX67" s="340"/>
      <c r="FY67" s="340"/>
      <c r="FZ67" s="340"/>
      <c r="GA67" s="340"/>
      <c r="GB67" s="340"/>
      <c r="GC67" s="340"/>
      <c r="GD67" s="340"/>
      <c r="GE67" s="340"/>
      <c r="GF67" s="340"/>
      <c r="GG67" s="340"/>
      <c r="GH67" s="340"/>
      <c r="GI67" s="340"/>
      <c r="GJ67" s="340"/>
      <c r="GK67" s="340"/>
      <c r="GL67" s="340"/>
      <c r="GM67" s="340"/>
      <c r="GN67" s="340"/>
      <c r="GO67" s="340"/>
      <c r="GP67" s="340"/>
      <c r="GQ67" s="340"/>
      <c r="GR67" s="340"/>
      <c r="GS67" s="340"/>
      <c r="GT67" s="340"/>
      <c r="GU67" s="340"/>
      <c r="GV67" s="340"/>
      <c r="GW67" s="340"/>
      <c r="GX67" s="340"/>
      <c r="GY67" s="340"/>
      <c r="GZ67" s="340"/>
      <c r="HA67" s="340"/>
      <c r="HB67" s="340"/>
      <c r="HC67" s="340"/>
      <c r="HD67" s="340"/>
      <c r="HE67" s="340"/>
      <c r="HF67" s="340"/>
      <c r="HG67" s="340"/>
      <c r="HH67" s="340"/>
      <c r="HI67" s="340"/>
      <c r="HJ67" s="340"/>
      <c r="HK67" s="340"/>
      <c r="HL67" s="340"/>
      <c r="HM67" s="340"/>
      <c r="HN67" s="340"/>
      <c r="HO67" s="340"/>
      <c r="HP67" s="340"/>
      <c r="HQ67" s="340"/>
      <c r="HR67" s="340"/>
      <c r="HS67" s="340"/>
      <c r="HT67" s="340"/>
      <c r="HU67" s="340"/>
      <c r="HV67" s="340"/>
      <c r="HW67" s="340"/>
      <c r="HX67" s="340"/>
      <c r="HY67" s="340"/>
      <c r="HZ67" s="340"/>
      <c r="IA67" s="340"/>
      <c r="IB67" s="340"/>
      <c r="IC67" s="340"/>
      <c r="ID67" s="340"/>
      <c r="IE67" s="340"/>
      <c r="IF67" s="340"/>
      <c r="IG67" s="340"/>
      <c r="IH67" s="340"/>
      <c r="II67" s="340"/>
      <c r="IJ67" s="340"/>
      <c r="IK67" s="340"/>
      <c r="IL67" s="340"/>
      <c r="IM67" s="340"/>
    </row>
    <row r="69" spans="1:247" s="463" customFormat="1" ht="15" customHeight="1">
      <c r="A69" s="345"/>
      <c r="B69" s="440"/>
      <c r="C69" s="440"/>
      <c r="D69" s="440"/>
      <c r="E69" s="340"/>
      <c r="F69" s="382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/>
      <c r="DC69" s="340"/>
      <c r="DD69" s="340"/>
      <c r="DE69" s="340"/>
      <c r="DF69" s="340"/>
      <c r="DG69" s="340"/>
      <c r="DH69" s="340"/>
      <c r="DI69" s="340"/>
      <c r="DJ69" s="340"/>
      <c r="DK69" s="340"/>
      <c r="DL69" s="340"/>
      <c r="DM69" s="340"/>
      <c r="DN69" s="340"/>
      <c r="DO69" s="340"/>
      <c r="DP69" s="340"/>
      <c r="DQ69" s="340"/>
      <c r="DR69" s="340"/>
      <c r="DS69" s="340"/>
      <c r="DT69" s="340"/>
      <c r="DU69" s="340"/>
      <c r="DV69" s="340"/>
      <c r="DW69" s="340"/>
      <c r="DX69" s="340"/>
      <c r="DY69" s="340"/>
      <c r="DZ69" s="340"/>
      <c r="EA69" s="340"/>
      <c r="EB69" s="340"/>
      <c r="EC69" s="340"/>
      <c r="ED69" s="340"/>
      <c r="EE69" s="340"/>
      <c r="EF69" s="340"/>
      <c r="EG69" s="340"/>
      <c r="EH69" s="340"/>
      <c r="EI69" s="340"/>
      <c r="EJ69" s="340"/>
      <c r="EK69" s="340"/>
      <c r="EL69" s="340"/>
      <c r="EM69" s="340"/>
      <c r="EN69" s="340"/>
      <c r="EO69" s="340"/>
      <c r="EP69" s="340"/>
      <c r="EQ69" s="340"/>
      <c r="ER69" s="340"/>
      <c r="ES69" s="340"/>
      <c r="ET69" s="340"/>
      <c r="EU69" s="340"/>
      <c r="EV69" s="340"/>
      <c r="EW69" s="340"/>
      <c r="EX69" s="340"/>
      <c r="EY69" s="340"/>
      <c r="EZ69" s="340"/>
      <c r="FA69" s="340"/>
      <c r="FB69" s="340"/>
      <c r="FC69" s="340"/>
      <c r="FD69" s="340"/>
      <c r="FE69" s="340"/>
      <c r="FF69" s="340"/>
      <c r="FG69" s="340"/>
      <c r="FH69" s="340"/>
      <c r="FI69" s="340"/>
      <c r="FJ69" s="340"/>
      <c r="FK69" s="340"/>
      <c r="FL69" s="340"/>
      <c r="FM69" s="340"/>
      <c r="FN69" s="340"/>
      <c r="FO69" s="340"/>
      <c r="FP69" s="340"/>
      <c r="FQ69" s="340"/>
      <c r="FR69" s="340"/>
      <c r="FS69" s="340"/>
      <c r="FT69" s="340"/>
      <c r="FU69" s="340"/>
      <c r="FV69" s="340"/>
      <c r="FW69" s="340"/>
      <c r="FX69" s="340"/>
      <c r="FY69" s="340"/>
      <c r="FZ69" s="340"/>
      <c r="GA69" s="340"/>
      <c r="GB69" s="340"/>
      <c r="GC69" s="340"/>
      <c r="GD69" s="340"/>
      <c r="GE69" s="340"/>
      <c r="GF69" s="340"/>
      <c r="GG69" s="340"/>
      <c r="GH69" s="340"/>
      <c r="GI69" s="340"/>
      <c r="GJ69" s="340"/>
      <c r="GK69" s="340"/>
      <c r="GL69" s="340"/>
      <c r="GM69" s="340"/>
      <c r="GN69" s="340"/>
      <c r="GO69" s="340"/>
      <c r="GP69" s="340"/>
      <c r="GQ69" s="340"/>
      <c r="GR69" s="340"/>
      <c r="GS69" s="340"/>
      <c r="GT69" s="340"/>
      <c r="GU69" s="340"/>
      <c r="GV69" s="340"/>
      <c r="GW69" s="340"/>
      <c r="GX69" s="340"/>
      <c r="GY69" s="340"/>
      <c r="GZ69" s="340"/>
      <c r="HA69" s="340"/>
      <c r="HB69" s="340"/>
      <c r="HC69" s="340"/>
      <c r="HD69" s="340"/>
      <c r="HE69" s="340"/>
      <c r="HF69" s="340"/>
      <c r="HG69" s="340"/>
      <c r="HH69" s="340"/>
      <c r="HI69" s="340"/>
      <c r="HJ69" s="340"/>
      <c r="HK69" s="340"/>
      <c r="HL69" s="340"/>
      <c r="HM69" s="340"/>
      <c r="HN69" s="340"/>
      <c r="HO69" s="340"/>
      <c r="HP69" s="340"/>
      <c r="HQ69" s="340"/>
      <c r="HR69" s="340"/>
      <c r="HS69" s="340"/>
      <c r="HT69" s="340"/>
      <c r="HU69" s="340"/>
      <c r="HV69" s="340"/>
      <c r="HW69" s="340"/>
      <c r="HX69" s="340"/>
      <c r="HY69" s="340"/>
      <c r="HZ69" s="340"/>
      <c r="IA69" s="340"/>
      <c r="IB69" s="340"/>
      <c r="IC69" s="340"/>
      <c r="ID69" s="340"/>
      <c r="IE69" s="340"/>
      <c r="IF69" s="340"/>
      <c r="IG69" s="340"/>
      <c r="IH69" s="340"/>
      <c r="II69" s="340"/>
      <c r="IJ69" s="340"/>
      <c r="IK69" s="340"/>
      <c r="IL69" s="340"/>
      <c r="IM69" s="340"/>
    </row>
    <row r="70" spans="1:247" s="463" customFormat="1" ht="15" customHeight="1">
      <c r="A70" s="345"/>
      <c r="B70" s="440"/>
      <c r="C70" s="440"/>
      <c r="D70" s="440"/>
      <c r="E70" s="340"/>
      <c r="F70" s="382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/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/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40"/>
      <c r="DO70" s="340"/>
      <c r="DP70" s="340"/>
      <c r="DQ70" s="340"/>
      <c r="DR70" s="340"/>
      <c r="DS70" s="340"/>
      <c r="DT70" s="340"/>
      <c r="DU70" s="340"/>
      <c r="DV70" s="340"/>
      <c r="DW70" s="340"/>
      <c r="DX70" s="340"/>
      <c r="DY70" s="340"/>
      <c r="DZ70" s="340"/>
      <c r="EA70" s="340"/>
      <c r="EB70" s="340"/>
      <c r="EC70" s="340"/>
      <c r="ED70" s="340"/>
      <c r="EE70" s="340"/>
      <c r="EF70" s="340"/>
      <c r="EG70" s="340"/>
      <c r="EH70" s="340"/>
      <c r="EI70" s="340"/>
      <c r="EJ70" s="340"/>
      <c r="EK70" s="340"/>
      <c r="EL70" s="340"/>
      <c r="EM70" s="340"/>
      <c r="EN70" s="340"/>
      <c r="EO70" s="340"/>
      <c r="EP70" s="340"/>
      <c r="EQ70" s="340"/>
      <c r="ER70" s="340"/>
      <c r="ES70" s="340"/>
      <c r="ET70" s="340"/>
      <c r="EU70" s="340"/>
      <c r="EV70" s="340"/>
      <c r="EW70" s="340"/>
      <c r="EX70" s="340"/>
      <c r="EY70" s="340"/>
      <c r="EZ70" s="340"/>
      <c r="FA70" s="340"/>
      <c r="FB70" s="340"/>
      <c r="FC70" s="340"/>
      <c r="FD70" s="340"/>
      <c r="FE70" s="340"/>
      <c r="FF70" s="340"/>
      <c r="FG70" s="340"/>
      <c r="FH70" s="340"/>
      <c r="FI70" s="340"/>
      <c r="FJ70" s="340"/>
      <c r="FK70" s="340"/>
      <c r="FL70" s="340"/>
      <c r="FM70" s="340"/>
      <c r="FN70" s="340"/>
      <c r="FO70" s="340"/>
      <c r="FP70" s="340"/>
      <c r="FQ70" s="340"/>
      <c r="FR70" s="340"/>
      <c r="FS70" s="340"/>
      <c r="FT70" s="340"/>
      <c r="FU70" s="340"/>
      <c r="FV70" s="340"/>
      <c r="FW70" s="340"/>
      <c r="FX70" s="340"/>
      <c r="FY70" s="340"/>
      <c r="FZ70" s="340"/>
      <c r="GA70" s="340"/>
      <c r="GB70" s="340"/>
      <c r="GC70" s="340"/>
      <c r="GD70" s="340"/>
      <c r="GE70" s="340"/>
      <c r="GF70" s="340"/>
      <c r="GG70" s="340"/>
      <c r="GH70" s="340"/>
      <c r="GI70" s="340"/>
      <c r="GJ70" s="340"/>
      <c r="GK70" s="340"/>
      <c r="GL70" s="340"/>
      <c r="GM70" s="340"/>
      <c r="GN70" s="340"/>
      <c r="GO70" s="340"/>
      <c r="GP70" s="340"/>
      <c r="GQ70" s="340"/>
      <c r="GR70" s="340"/>
      <c r="GS70" s="340"/>
      <c r="GT70" s="340"/>
      <c r="GU70" s="340"/>
      <c r="GV70" s="340"/>
      <c r="GW70" s="340"/>
      <c r="GX70" s="340"/>
      <c r="GY70" s="340"/>
      <c r="GZ70" s="340"/>
      <c r="HA70" s="340"/>
      <c r="HB70" s="340"/>
      <c r="HC70" s="340"/>
      <c r="HD70" s="340"/>
      <c r="HE70" s="340"/>
      <c r="HF70" s="340"/>
      <c r="HG70" s="340"/>
      <c r="HH70" s="340"/>
      <c r="HI70" s="340"/>
      <c r="HJ70" s="340"/>
      <c r="HK70" s="340"/>
      <c r="HL70" s="340"/>
      <c r="HM70" s="340"/>
      <c r="HN70" s="340"/>
      <c r="HO70" s="340"/>
      <c r="HP70" s="340"/>
      <c r="HQ70" s="340"/>
      <c r="HR70" s="340"/>
      <c r="HS70" s="340"/>
      <c r="HT70" s="340"/>
      <c r="HU70" s="340"/>
      <c r="HV70" s="340"/>
      <c r="HW70" s="340"/>
      <c r="HX70" s="340"/>
      <c r="HY70" s="340"/>
      <c r="HZ70" s="340"/>
      <c r="IA70" s="340"/>
      <c r="IB70" s="340"/>
      <c r="IC70" s="340"/>
      <c r="ID70" s="340"/>
      <c r="IE70" s="340"/>
      <c r="IF70" s="340"/>
      <c r="IG70" s="340"/>
      <c r="IH70" s="340"/>
      <c r="II70" s="340"/>
      <c r="IJ70" s="340"/>
      <c r="IK70" s="340"/>
      <c r="IL70" s="340"/>
      <c r="IM70" s="340"/>
    </row>
    <row r="71" spans="2:4" ht="15" customHeight="1">
      <c r="B71" s="440"/>
      <c r="C71" s="440"/>
      <c r="D71" s="440"/>
    </row>
    <row r="72" spans="2:4" ht="15" customHeight="1">
      <c r="B72" s="440"/>
      <c r="C72" s="440"/>
      <c r="D72" s="440"/>
    </row>
    <row r="73" spans="2:4" ht="15" customHeight="1">
      <c r="B73" s="440"/>
      <c r="C73" s="440"/>
      <c r="D73" s="440"/>
    </row>
    <row r="74" spans="2:4" ht="15" customHeight="1">
      <c r="B74" s="440"/>
      <c r="C74" s="440"/>
      <c r="D74" s="440"/>
    </row>
    <row r="75" spans="2:4" ht="15" customHeight="1">
      <c r="B75" s="440"/>
      <c r="C75" s="440"/>
      <c r="D75" s="440"/>
    </row>
    <row r="76" spans="2:4" ht="15" customHeight="1">
      <c r="B76" s="440"/>
      <c r="C76" s="440"/>
      <c r="D76" s="440"/>
    </row>
    <row r="77" spans="2:4" ht="15" customHeight="1">
      <c r="B77" s="440"/>
      <c r="C77" s="440"/>
      <c r="D77" s="440"/>
    </row>
    <row r="78" spans="2:4" ht="15" customHeight="1">
      <c r="B78" s="440"/>
      <c r="C78" s="440"/>
      <c r="D78" s="440"/>
    </row>
    <row r="79" spans="2:4" ht="15" customHeight="1">
      <c r="B79" s="440"/>
      <c r="C79" s="440"/>
      <c r="D79" s="440"/>
    </row>
    <row r="80" spans="2:4" ht="15" customHeight="1">
      <c r="B80" s="440"/>
      <c r="C80" s="440"/>
      <c r="D80" s="440"/>
    </row>
    <row r="81" spans="2:4" ht="15" customHeight="1">
      <c r="B81" s="440"/>
      <c r="C81" s="440"/>
      <c r="D81" s="440"/>
    </row>
    <row r="82" spans="2:4" ht="15" customHeight="1">
      <c r="B82" s="440"/>
      <c r="C82" s="440"/>
      <c r="D82" s="440"/>
    </row>
    <row r="83" spans="2:4" ht="15" customHeight="1">
      <c r="B83" s="440"/>
      <c r="C83" s="440"/>
      <c r="D83" s="440"/>
    </row>
    <row r="84" spans="2:4" ht="15" customHeight="1">
      <c r="B84" s="440"/>
      <c r="C84" s="440"/>
      <c r="D84" s="440"/>
    </row>
    <row r="85" spans="2:4" ht="15" customHeight="1">
      <c r="B85" s="440"/>
      <c r="C85" s="440"/>
      <c r="D85" s="440"/>
    </row>
    <row r="86" spans="2:4" ht="15" customHeight="1">
      <c r="B86" s="440"/>
      <c r="C86" s="440"/>
      <c r="D86" s="440"/>
    </row>
    <row r="87" spans="2:4" ht="15" customHeight="1">
      <c r="B87" s="440"/>
      <c r="C87" s="440"/>
      <c r="D87" s="440"/>
    </row>
    <row r="88" spans="2:4" ht="15" customHeight="1">
      <c r="B88" s="440"/>
      <c r="C88" s="440"/>
      <c r="D88" s="440"/>
    </row>
    <row r="89" spans="2:4" ht="15" customHeight="1">
      <c r="B89" s="440"/>
      <c r="C89" s="440"/>
      <c r="D89" s="440"/>
    </row>
    <row r="90" spans="2:4" ht="15" customHeight="1">
      <c r="B90" s="440"/>
      <c r="C90" s="440"/>
      <c r="D90" s="440"/>
    </row>
    <row r="91" spans="2:4" ht="15" customHeight="1">
      <c r="B91" s="440"/>
      <c r="C91" s="440"/>
      <c r="D91" s="440"/>
    </row>
    <row r="92" spans="2:4" ht="15" customHeight="1">
      <c r="B92" s="440"/>
      <c r="C92" s="440"/>
      <c r="D92" s="440"/>
    </row>
    <row r="93" spans="2:4" ht="15" customHeight="1">
      <c r="B93" s="440"/>
      <c r="C93" s="440"/>
      <c r="D93" s="440"/>
    </row>
    <row r="94" spans="2:4" ht="15" customHeight="1">
      <c r="B94" s="440"/>
      <c r="C94" s="440"/>
      <c r="D94" s="440"/>
    </row>
    <row r="95" spans="2:4" ht="15" customHeight="1">
      <c r="B95" s="440"/>
      <c r="C95" s="440"/>
      <c r="D95" s="440"/>
    </row>
    <row r="96" spans="2:4" ht="15" customHeight="1">
      <c r="B96" s="440"/>
      <c r="C96" s="440"/>
      <c r="D96" s="440"/>
    </row>
    <row r="97" spans="2:4" ht="15" customHeight="1">
      <c r="B97" s="440"/>
      <c r="C97" s="440"/>
      <c r="D97" s="440"/>
    </row>
    <row r="98" spans="2:4" ht="15" customHeight="1">
      <c r="B98" s="440"/>
      <c r="C98" s="440"/>
      <c r="D98" s="440"/>
    </row>
    <row r="99" spans="2:4" ht="15" customHeight="1">
      <c r="B99" s="440"/>
      <c r="C99" s="440"/>
      <c r="D99" s="440"/>
    </row>
    <row r="100" spans="2:4" ht="15" customHeight="1">
      <c r="B100" s="440"/>
      <c r="C100" s="440"/>
      <c r="D100" s="440"/>
    </row>
    <row r="101" spans="2:4" ht="15" customHeight="1">
      <c r="B101" s="440"/>
      <c r="C101" s="440"/>
      <c r="D101" s="440"/>
    </row>
    <row r="102" spans="2:4" ht="15" customHeight="1">
      <c r="B102" s="440"/>
      <c r="C102" s="440"/>
      <c r="D102" s="440"/>
    </row>
    <row r="103" spans="2:4" ht="15" customHeight="1">
      <c r="B103" s="440"/>
      <c r="C103" s="440"/>
      <c r="D103" s="440"/>
    </row>
    <row r="104" spans="2:4" ht="15" customHeight="1">
      <c r="B104" s="440"/>
      <c r="C104" s="440"/>
      <c r="D104" s="440"/>
    </row>
    <row r="105" spans="2:4" ht="15" customHeight="1">
      <c r="B105" s="440"/>
      <c r="C105" s="440"/>
      <c r="D105" s="440"/>
    </row>
    <row r="106" spans="2:4" ht="15" customHeight="1">
      <c r="B106" s="440"/>
      <c r="C106" s="440"/>
      <c r="D106" s="440"/>
    </row>
    <row r="107" spans="2:4" ht="15" customHeight="1">
      <c r="B107" s="440"/>
      <c r="C107" s="440"/>
      <c r="D107" s="440"/>
    </row>
    <row r="108" spans="2:4" ht="15" customHeight="1">
      <c r="B108" s="440"/>
      <c r="C108" s="440"/>
      <c r="D108" s="440"/>
    </row>
    <row r="109" spans="2:4" ht="15" customHeight="1">
      <c r="B109" s="440"/>
      <c r="C109" s="440"/>
      <c r="D109" s="440"/>
    </row>
    <row r="110" spans="2:4" ht="15" customHeight="1">
      <c r="B110" s="440"/>
      <c r="C110" s="440"/>
      <c r="D110" s="440"/>
    </row>
    <row r="111" spans="2:4" ht="15" customHeight="1">
      <c r="B111" s="440"/>
      <c r="C111" s="440"/>
      <c r="D111" s="440"/>
    </row>
    <row r="112" spans="2:4" ht="15" customHeight="1">
      <c r="B112" s="440"/>
      <c r="C112" s="440"/>
      <c r="D112" s="440"/>
    </row>
    <row r="113" spans="2:4" ht="15" customHeight="1">
      <c r="B113" s="440"/>
      <c r="C113" s="440"/>
      <c r="D113" s="440"/>
    </row>
    <row r="114" spans="2:4" ht="15" customHeight="1">
      <c r="B114" s="440"/>
      <c r="C114" s="440"/>
      <c r="D114" s="440"/>
    </row>
    <row r="115" spans="2:4" ht="15" customHeight="1">
      <c r="B115" s="440"/>
      <c r="C115" s="440"/>
      <c r="D115" s="440"/>
    </row>
    <row r="116" spans="2:4" ht="15" customHeight="1">
      <c r="B116" s="440"/>
      <c r="C116" s="440"/>
      <c r="D116" s="440"/>
    </row>
    <row r="117" spans="2:4" ht="15" customHeight="1">
      <c r="B117" s="440"/>
      <c r="C117" s="440"/>
      <c r="D117" s="440"/>
    </row>
    <row r="118" spans="2:4" ht="15" customHeight="1">
      <c r="B118" s="440"/>
      <c r="C118" s="440"/>
      <c r="D118" s="440"/>
    </row>
    <row r="119" spans="2:4" ht="15" customHeight="1">
      <c r="B119" s="440"/>
      <c r="C119" s="440"/>
      <c r="D119" s="440"/>
    </row>
    <row r="120" spans="2:4" ht="15" customHeight="1">
      <c r="B120" s="440"/>
      <c r="C120" s="440"/>
      <c r="D120" s="440"/>
    </row>
    <row r="121" spans="2:4" ht="15" customHeight="1">
      <c r="B121" s="440"/>
      <c r="C121" s="440"/>
      <c r="D121" s="440"/>
    </row>
    <row r="122" spans="2:4" ht="15" customHeight="1">
      <c r="B122" s="440"/>
      <c r="C122" s="440"/>
      <c r="D122" s="440"/>
    </row>
    <row r="123" spans="2:4" ht="15" customHeight="1">
      <c r="B123" s="440"/>
      <c r="C123" s="440"/>
      <c r="D123" s="440"/>
    </row>
    <row r="124" spans="2:4" ht="15" customHeight="1">
      <c r="B124" s="440"/>
      <c r="C124" s="440"/>
      <c r="D124" s="440"/>
    </row>
    <row r="125" spans="2:4" ht="15" customHeight="1">
      <c r="B125" s="440"/>
      <c r="C125" s="440"/>
      <c r="D125" s="440"/>
    </row>
    <row r="126" spans="2:4" ht="15" customHeight="1">
      <c r="B126" s="440"/>
      <c r="C126" s="440"/>
      <c r="D126" s="440"/>
    </row>
    <row r="127" spans="2:4" ht="15" customHeight="1">
      <c r="B127" s="440"/>
      <c r="C127" s="440"/>
      <c r="D127" s="440"/>
    </row>
    <row r="128" spans="2:4" ht="15" customHeight="1">
      <c r="B128" s="440"/>
      <c r="C128" s="440"/>
      <c r="D128" s="440"/>
    </row>
    <row r="129" spans="2:4" ht="15" customHeight="1">
      <c r="B129" s="440"/>
      <c r="C129" s="440"/>
      <c r="D129" s="440"/>
    </row>
    <row r="130" spans="2:4" ht="15" customHeight="1">
      <c r="B130" s="440"/>
      <c r="C130" s="440"/>
      <c r="D130" s="440"/>
    </row>
    <row r="131" spans="2:4" ht="15" customHeight="1">
      <c r="B131" s="440"/>
      <c r="C131" s="440"/>
      <c r="D131" s="440"/>
    </row>
    <row r="132" spans="2:4" ht="15" customHeight="1">
      <c r="B132" s="440"/>
      <c r="C132" s="440"/>
      <c r="D132" s="440"/>
    </row>
    <row r="133" spans="2:4" ht="15" customHeight="1">
      <c r="B133" s="440"/>
      <c r="C133" s="440"/>
      <c r="D133" s="440"/>
    </row>
    <row r="134" spans="2:4" ht="15" customHeight="1">
      <c r="B134" s="440"/>
      <c r="C134" s="440"/>
      <c r="D134" s="440"/>
    </row>
    <row r="135" spans="2:4" ht="15" customHeight="1">
      <c r="B135" s="440"/>
      <c r="C135" s="440"/>
      <c r="D135" s="440"/>
    </row>
    <row r="136" spans="2:4" ht="15" customHeight="1">
      <c r="B136" s="440"/>
      <c r="C136" s="440"/>
      <c r="D136" s="440"/>
    </row>
    <row r="137" spans="2:4" ht="15" customHeight="1">
      <c r="B137" s="440"/>
      <c r="C137" s="440"/>
      <c r="D137" s="440"/>
    </row>
    <row r="138" spans="2:4" ht="15" customHeight="1">
      <c r="B138" s="440"/>
      <c r="C138" s="440"/>
      <c r="D138" s="440"/>
    </row>
    <row r="139" spans="2:4" ht="15" customHeight="1">
      <c r="B139" s="440"/>
      <c r="C139" s="440"/>
      <c r="D139" s="440"/>
    </row>
    <row r="140" spans="2:4" ht="15" customHeight="1">
      <c r="B140" s="440"/>
      <c r="C140" s="440"/>
      <c r="D140" s="440"/>
    </row>
    <row r="141" spans="2:4" ht="15" customHeight="1">
      <c r="B141" s="440"/>
      <c r="C141" s="440"/>
      <c r="D141" s="440"/>
    </row>
    <row r="142" spans="2:4" ht="15" customHeight="1">
      <c r="B142" s="440"/>
      <c r="C142" s="440"/>
      <c r="D142" s="440"/>
    </row>
  </sheetData>
  <printOptions/>
  <pageMargins left="0.75" right="0.27" top="1" bottom="1" header="0.5" footer="0.5"/>
  <pageSetup horizontalDpi="600" verticalDpi="600" orientation="portrait" paperSize="9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7" sqref="C7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6.8515625" style="0" customWidth="1"/>
    <col min="4" max="4" width="16.28125" style="0" customWidth="1"/>
    <col min="5" max="5" width="15.00390625" style="0" customWidth="1"/>
    <col min="6" max="6" width="16.140625" style="0" customWidth="1"/>
    <col min="7" max="7" width="15.8515625" style="0" customWidth="1"/>
    <col min="8" max="8" width="13.140625" style="290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8" ht="15.75">
      <c r="A2" s="484" t="s">
        <v>1884</v>
      </c>
      <c r="B2" s="484"/>
      <c r="C2" s="484"/>
      <c r="D2" s="484"/>
      <c r="E2" s="484"/>
      <c r="F2" s="484"/>
      <c r="G2" s="484"/>
      <c r="H2" s="484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2.75">
      <c r="A4" s="31"/>
      <c r="B4" s="31"/>
      <c r="C4" s="31"/>
      <c r="D4" s="31"/>
      <c r="E4" s="31"/>
      <c r="F4" s="31"/>
      <c r="G4" s="31"/>
      <c r="H4" s="291" t="s">
        <v>1885</v>
      </c>
    </row>
    <row r="5" spans="1:8" ht="14.25">
      <c r="A5" s="492" t="s">
        <v>1886</v>
      </c>
      <c r="B5" s="494" t="s">
        <v>1887</v>
      </c>
      <c r="C5" s="495"/>
      <c r="D5" s="495"/>
      <c r="E5" s="495" t="s">
        <v>1888</v>
      </c>
      <c r="F5" s="495"/>
      <c r="G5" s="495"/>
      <c r="H5" s="496"/>
    </row>
    <row r="6" spans="1:8" ht="41.25" customHeight="1">
      <c r="A6" s="493"/>
      <c r="B6" s="292" t="s">
        <v>1717</v>
      </c>
      <c r="C6" s="293" t="s">
        <v>1889</v>
      </c>
      <c r="D6" s="293" t="s">
        <v>1890</v>
      </c>
      <c r="E6" s="294" t="s">
        <v>1717</v>
      </c>
      <c r="F6" s="293" t="s">
        <v>1891</v>
      </c>
      <c r="G6" s="293" t="s">
        <v>1892</v>
      </c>
      <c r="H6" s="295" t="s">
        <v>1893</v>
      </c>
    </row>
    <row r="7" spans="1:8" s="299" customFormat="1" ht="45">
      <c r="A7" s="296" t="s">
        <v>1894</v>
      </c>
      <c r="B7" s="297">
        <v>43974714</v>
      </c>
      <c r="C7" s="298"/>
      <c r="D7" s="298">
        <v>57290540</v>
      </c>
      <c r="E7" s="297">
        <v>10158853</v>
      </c>
      <c r="F7" s="298">
        <v>5000000</v>
      </c>
      <c r="G7" s="298">
        <v>2221273</v>
      </c>
      <c r="H7" s="298">
        <v>2937580</v>
      </c>
    </row>
    <row r="8" spans="1:8" s="299" customFormat="1" ht="5.25" customHeight="1">
      <c r="A8" s="296"/>
      <c r="B8" s="297"/>
      <c r="C8" s="298"/>
      <c r="D8" s="298"/>
      <c r="E8" s="297"/>
      <c r="F8" s="298"/>
      <c r="G8" s="298"/>
      <c r="H8" s="298"/>
    </row>
    <row r="9" spans="1:8" ht="14.25">
      <c r="A9" s="94" t="s">
        <v>1895</v>
      </c>
      <c r="B9" s="300">
        <f aca="true" t="shared" si="0" ref="B9:B20">C9+D9</f>
        <v>53599438</v>
      </c>
      <c r="C9" s="89"/>
      <c r="D9" s="89">
        <v>53599438</v>
      </c>
      <c r="E9" s="300">
        <f>F9+G9+H9</f>
        <v>4324412</v>
      </c>
      <c r="F9" s="89"/>
      <c r="G9" s="89">
        <v>4324412</v>
      </c>
      <c r="H9" s="89"/>
    </row>
    <row r="10" spans="1:8" ht="14.25">
      <c r="A10" s="94" t="s">
        <v>1896</v>
      </c>
      <c r="B10" s="300">
        <f t="shared" si="0"/>
        <v>73139839</v>
      </c>
      <c r="C10" s="89">
        <v>20000000</v>
      </c>
      <c r="D10" s="89">
        <v>53139839</v>
      </c>
      <c r="E10" s="300">
        <f aca="true" t="shared" si="1" ref="E10:E20">F10+G10+H10</f>
        <v>18931415</v>
      </c>
      <c r="F10" s="89">
        <f>5000000+4000000+4000000</f>
        <v>13000000</v>
      </c>
      <c r="G10" s="89">
        <f>980300+4058528+889597</f>
        <v>5928425</v>
      </c>
      <c r="H10" s="89">
        <v>2990</v>
      </c>
    </row>
    <row r="11" spans="1:8" ht="14.25">
      <c r="A11" s="94" t="s">
        <v>1897</v>
      </c>
      <c r="B11" s="300">
        <f t="shared" si="0"/>
        <v>94160114</v>
      </c>
      <c r="C11" s="89">
        <v>46000000</v>
      </c>
      <c r="D11" s="89">
        <v>48160114</v>
      </c>
      <c r="E11" s="300">
        <f t="shared" si="1"/>
        <v>9366863</v>
      </c>
      <c r="F11" s="89">
        <v>8000000</v>
      </c>
      <c r="G11" s="89">
        <f>981200+376584</f>
        <v>1357784</v>
      </c>
      <c r="H11" s="89">
        <v>9079</v>
      </c>
    </row>
    <row r="12" spans="1:8" ht="14.25">
      <c r="A12" s="94" t="s">
        <v>1898</v>
      </c>
      <c r="B12" s="300">
        <f t="shared" si="0"/>
        <v>101035264</v>
      </c>
      <c r="C12" s="89">
        <v>50000000</v>
      </c>
      <c r="D12" s="89">
        <v>51035264</v>
      </c>
      <c r="E12" s="300">
        <f t="shared" si="1"/>
        <v>26765998</v>
      </c>
      <c r="F12" s="89">
        <f>5000000+14000000+4000000+495000</f>
        <v>23495000</v>
      </c>
      <c r="G12" s="89">
        <v>3261827</v>
      </c>
      <c r="H12" s="89">
        <v>9171</v>
      </c>
    </row>
    <row r="13" spans="1:8" ht="14.25">
      <c r="A13" s="94" t="s">
        <v>1899</v>
      </c>
      <c r="B13" s="300">
        <f t="shared" si="0"/>
        <v>69384834</v>
      </c>
      <c r="C13" s="89">
        <v>35000000</v>
      </c>
      <c r="D13" s="89">
        <v>34384834</v>
      </c>
      <c r="E13" s="300">
        <f t="shared" si="1"/>
        <v>36879182</v>
      </c>
      <c r="F13" s="89">
        <v>32495000</v>
      </c>
      <c r="G13" s="89">
        <v>4374950</v>
      </c>
      <c r="H13" s="89">
        <v>9232</v>
      </c>
    </row>
    <row r="14" spans="1:8" ht="14.25">
      <c r="A14" s="94" t="s">
        <v>1900</v>
      </c>
      <c r="B14" s="300">
        <f t="shared" si="0"/>
        <v>73223787</v>
      </c>
      <c r="C14" s="89">
        <v>35000000</v>
      </c>
      <c r="D14" s="89">
        <v>38223787</v>
      </c>
      <c r="E14" s="300">
        <f t="shared" si="1"/>
        <v>23264491</v>
      </c>
      <c r="F14" s="89">
        <v>21495000</v>
      </c>
      <c r="G14" s="89">
        <v>1760351</v>
      </c>
      <c r="H14" s="89">
        <v>9140</v>
      </c>
    </row>
    <row r="15" spans="1:8" ht="14.25">
      <c r="A15" s="94" t="s">
        <v>1901</v>
      </c>
      <c r="B15" s="300">
        <f t="shared" si="0"/>
        <v>68481985</v>
      </c>
      <c r="C15" s="89">
        <v>31000000</v>
      </c>
      <c r="D15" s="89">
        <v>37481985</v>
      </c>
      <c r="E15" s="300">
        <f t="shared" si="1"/>
        <v>30269583</v>
      </c>
      <c r="F15" s="89">
        <f>9500000+19000000</f>
        <v>28500000</v>
      </c>
      <c r="G15" s="89">
        <v>1760351</v>
      </c>
      <c r="H15" s="89">
        <v>9232</v>
      </c>
    </row>
    <row r="16" spans="1:8" ht="14.25">
      <c r="A16" s="94" t="s">
        <v>1902</v>
      </c>
      <c r="B16" s="300">
        <f t="shared" si="0"/>
        <v>66989756</v>
      </c>
      <c r="C16" s="89">
        <v>36000000</v>
      </c>
      <c r="D16" s="89">
        <v>30989756</v>
      </c>
      <c r="E16" s="300">
        <f t="shared" si="1"/>
        <v>16509338</v>
      </c>
      <c r="F16" s="89">
        <f>5000000+11500000</f>
        <v>16500000</v>
      </c>
      <c r="G16" s="89"/>
      <c r="H16" s="89">
        <v>9338</v>
      </c>
    </row>
    <row r="17" spans="1:8" ht="14.25">
      <c r="A17" s="94" t="s">
        <v>1903</v>
      </c>
      <c r="B17" s="300">
        <f t="shared" si="0"/>
        <v>66573280</v>
      </c>
      <c r="C17" s="89">
        <v>46500000</v>
      </c>
      <c r="D17" s="89">
        <v>20073280</v>
      </c>
      <c r="E17" s="300">
        <f t="shared" si="1"/>
        <v>8009369</v>
      </c>
      <c r="F17" s="89">
        <v>8000000</v>
      </c>
      <c r="G17" s="89"/>
      <c r="H17" s="89">
        <v>9369</v>
      </c>
    </row>
    <row r="18" spans="1:8" ht="14.25">
      <c r="A18" s="94" t="s">
        <v>1904</v>
      </c>
      <c r="B18" s="300">
        <f t="shared" si="0"/>
        <v>66806495</v>
      </c>
      <c r="C18" s="89">
        <v>49000000</v>
      </c>
      <c r="D18" s="89">
        <v>17806495</v>
      </c>
      <c r="E18" s="300">
        <f t="shared" si="1"/>
        <v>3009506</v>
      </c>
      <c r="F18" s="89">
        <v>3000000</v>
      </c>
      <c r="G18" s="89"/>
      <c r="H18" s="89">
        <v>9506</v>
      </c>
    </row>
    <row r="19" spans="1:8" ht="14.25">
      <c r="A19" s="94" t="s">
        <v>1905</v>
      </c>
      <c r="B19" s="300">
        <f t="shared" si="0"/>
        <v>26775339</v>
      </c>
      <c r="C19" s="89">
        <v>11000000</v>
      </c>
      <c r="D19" s="89">
        <v>15775339</v>
      </c>
      <c r="E19" s="300">
        <f t="shared" si="1"/>
        <v>11009521</v>
      </c>
      <c r="F19" s="89">
        <v>11000000</v>
      </c>
      <c r="G19" s="89"/>
      <c r="H19" s="89">
        <v>9521</v>
      </c>
    </row>
    <row r="20" spans="1:8" ht="14.25">
      <c r="A20" s="94" t="s">
        <v>1906</v>
      </c>
      <c r="B20" s="300">
        <f t="shared" si="0"/>
        <v>24804509</v>
      </c>
      <c r="C20" s="89">
        <v>11000000</v>
      </c>
      <c r="D20" s="89">
        <v>13804509</v>
      </c>
      <c r="E20" s="300">
        <f t="shared" si="1"/>
        <v>9338</v>
      </c>
      <c r="F20" s="89"/>
      <c r="G20" s="89"/>
      <c r="H20" s="89">
        <v>9338</v>
      </c>
    </row>
    <row r="21" spans="1:8" s="299" customFormat="1" ht="45">
      <c r="A21" s="296" t="s">
        <v>1907</v>
      </c>
      <c r="B21" s="297">
        <f>B20</f>
        <v>24804509</v>
      </c>
      <c r="C21" s="297">
        <f>C20</f>
        <v>11000000</v>
      </c>
      <c r="D21" s="298">
        <f>D20</f>
        <v>13804509</v>
      </c>
      <c r="E21" s="297">
        <f>E20</f>
        <v>9338</v>
      </c>
      <c r="F21" s="298"/>
      <c r="G21" s="298"/>
      <c r="H21" s="298">
        <f>H20</f>
        <v>9338</v>
      </c>
    </row>
    <row r="22" spans="1:7" ht="14.25">
      <c r="A22" s="31"/>
      <c r="B22" s="31"/>
      <c r="C22" s="31"/>
      <c r="D22" s="31"/>
      <c r="E22" s="31"/>
      <c r="F22" s="31"/>
      <c r="G22" s="31"/>
    </row>
    <row r="23" spans="1:7" ht="14.25">
      <c r="A23" s="31"/>
      <c r="B23" s="31"/>
      <c r="C23" s="31"/>
      <c r="D23" s="31"/>
      <c r="E23" s="31"/>
      <c r="F23" s="31"/>
      <c r="G23" s="31"/>
    </row>
    <row r="24" spans="1:7" ht="14.25">
      <c r="A24" s="31"/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31" t="s">
        <v>1908</v>
      </c>
      <c r="B27" s="31"/>
      <c r="C27" s="31"/>
      <c r="D27" s="31"/>
      <c r="E27" s="31"/>
      <c r="G27" s="31"/>
    </row>
  </sheetData>
  <mergeCells count="4">
    <mergeCell ref="A2:H2"/>
    <mergeCell ref="A5:A6"/>
    <mergeCell ref="B5:D5"/>
    <mergeCell ref="E5:H5"/>
  </mergeCells>
  <printOptions/>
  <pageMargins left="0.99" right="0.34" top="0.71" bottom="0.64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workbookViewId="0" topLeftCell="A80">
      <selection activeCell="A17" sqref="A17"/>
    </sheetView>
  </sheetViews>
  <sheetFormatPr defaultColWidth="9.140625" defaultRowHeight="12.75"/>
  <cols>
    <col min="1" max="1" width="38.00390625" style="105" customWidth="1"/>
    <col min="2" max="3" width="10.00390625" style="105" customWidth="1"/>
    <col min="4" max="4" width="9.8515625" style="105" customWidth="1"/>
    <col min="5" max="6" width="10.8515625" style="105" customWidth="1"/>
    <col min="7" max="7" width="10.421875" style="105" customWidth="1"/>
    <col min="8" max="16384" width="9.140625" style="105" customWidth="1"/>
  </cols>
  <sheetData>
    <row r="1" ht="12.75">
      <c r="G1" s="109" t="s">
        <v>1909</v>
      </c>
    </row>
    <row r="2" ht="28.5" customHeight="1">
      <c r="A2" s="7"/>
    </row>
    <row r="3" spans="1:7" ht="15.75">
      <c r="A3" s="301" t="s">
        <v>1910</v>
      </c>
      <c r="B3" s="301"/>
      <c r="C3" s="301"/>
      <c r="D3" s="301"/>
      <c r="E3" s="301"/>
      <c r="F3" s="301"/>
      <c r="G3" s="301"/>
    </row>
    <row r="4" spans="1:7" s="302" customFormat="1" ht="15" customHeight="1">
      <c r="A4" s="477" t="s">
        <v>1911</v>
      </c>
      <c r="B4" s="477"/>
      <c r="C4" s="477"/>
      <c r="D4" s="477"/>
      <c r="E4" s="477"/>
      <c r="F4" s="477"/>
      <c r="G4" s="477"/>
    </row>
    <row r="5" spans="1:7" ht="14.25" customHeight="1">
      <c r="A5" s="303"/>
      <c r="F5" s="3"/>
      <c r="G5" s="304" t="s">
        <v>199</v>
      </c>
    </row>
    <row r="6" spans="1:7" ht="12.75">
      <c r="A6" s="305"/>
      <c r="B6" s="306" t="s">
        <v>1912</v>
      </c>
      <c r="C6" s="307"/>
      <c r="D6" s="308"/>
      <c r="E6" s="306" t="s">
        <v>1913</v>
      </c>
      <c r="F6" s="307"/>
      <c r="G6" s="307"/>
    </row>
    <row r="7" spans="1:7" ht="45" customHeight="1">
      <c r="A7" s="309" t="s">
        <v>1914</v>
      </c>
      <c r="B7" s="5" t="s">
        <v>1915</v>
      </c>
      <c r="C7" s="5" t="s">
        <v>1916</v>
      </c>
      <c r="D7" s="5" t="s">
        <v>1917</v>
      </c>
      <c r="E7" s="5" t="s">
        <v>1915</v>
      </c>
      <c r="F7" s="5" t="s">
        <v>1916</v>
      </c>
      <c r="G7" s="5" t="s">
        <v>1918</v>
      </c>
    </row>
    <row r="8" spans="1:7" s="57" customFormat="1" ht="11.2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13.5" customHeight="1">
      <c r="A9" s="310"/>
      <c r="B9" s="311"/>
      <c r="C9" s="311"/>
      <c r="D9" s="311"/>
      <c r="E9" s="311"/>
      <c r="F9" s="311"/>
      <c r="G9" s="311"/>
    </row>
    <row r="10" spans="1:7" ht="12" customHeight="1">
      <c r="A10" s="312" t="s">
        <v>1919</v>
      </c>
      <c r="B10" s="313">
        <v>25792</v>
      </c>
      <c r="C10" s="313">
        <v>4589</v>
      </c>
      <c r="D10" s="313">
        <f aca="true" t="shared" si="0" ref="D10:D73">C10-B10</f>
        <v>-21203</v>
      </c>
      <c r="E10" s="313">
        <v>30458</v>
      </c>
      <c r="F10" s="313">
        <v>49699</v>
      </c>
      <c r="G10" s="313">
        <f aca="true" t="shared" si="1" ref="G10:G73">F10-E10</f>
        <v>19241</v>
      </c>
    </row>
    <row r="11" spans="1:7" ht="15" customHeight="1">
      <c r="A11" s="312"/>
      <c r="B11" s="313"/>
      <c r="C11" s="313"/>
      <c r="D11" s="313">
        <f t="shared" si="0"/>
        <v>0</v>
      </c>
      <c r="E11" s="313"/>
      <c r="F11" s="313"/>
      <c r="G11" s="313">
        <f t="shared" si="1"/>
        <v>0</v>
      </c>
    </row>
    <row r="12" spans="1:7" ht="12.75">
      <c r="A12" s="312" t="s">
        <v>1920</v>
      </c>
      <c r="B12" s="313">
        <v>78712</v>
      </c>
      <c r="C12" s="313">
        <v>148837</v>
      </c>
      <c r="D12" s="313">
        <f t="shared" si="0"/>
        <v>70125</v>
      </c>
      <c r="E12" s="313">
        <v>49969</v>
      </c>
      <c r="F12" s="313">
        <v>100242</v>
      </c>
      <c r="G12" s="313">
        <f t="shared" si="1"/>
        <v>50273</v>
      </c>
    </row>
    <row r="13" spans="1:7" ht="12.75">
      <c r="A13" s="314" t="s">
        <v>1921</v>
      </c>
      <c r="B13" s="313"/>
      <c r="C13" s="313"/>
      <c r="D13" s="313">
        <f t="shared" si="0"/>
        <v>0</v>
      </c>
      <c r="E13" s="313">
        <v>4139</v>
      </c>
      <c r="F13" s="313">
        <v>4531</v>
      </c>
      <c r="G13" s="313">
        <f t="shared" si="1"/>
        <v>392</v>
      </c>
    </row>
    <row r="14" spans="1:7" ht="15.75" customHeight="1">
      <c r="A14" s="314" t="s">
        <v>1922</v>
      </c>
      <c r="B14" s="313">
        <v>13531</v>
      </c>
      <c r="C14" s="313">
        <v>12949</v>
      </c>
      <c r="D14" s="313">
        <f t="shared" si="0"/>
        <v>-582</v>
      </c>
      <c r="E14" s="313">
        <v>19199</v>
      </c>
      <c r="F14" s="313">
        <v>1677</v>
      </c>
      <c r="G14" s="313">
        <f t="shared" si="1"/>
        <v>-17522</v>
      </c>
    </row>
    <row r="15" spans="1:7" ht="15.75" customHeight="1">
      <c r="A15" s="315"/>
      <c r="B15" s="313"/>
      <c r="C15" s="313"/>
      <c r="D15" s="313">
        <f t="shared" si="0"/>
        <v>0</v>
      </c>
      <c r="E15" s="313"/>
      <c r="F15" s="313"/>
      <c r="G15" s="313">
        <f t="shared" si="1"/>
        <v>0</v>
      </c>
    </row>
    <row r="16" spans="1:7" ht="12.75">
      <c r="A16" s="312" t="s">
        <v>1923</v>
      </c>
      <c r="B16" s="313">
        <v>33146</v>
      </c>
      <c r="C16" s="313">
        <v>40494</v>
      </c>
      <c r="D16" s="313">
        <f t="shared" si="0"/>
        <v>7348</v>
      </c>
      <c r="E16" s="313">
        <v>27394</v>
      </c>
      <c r="F16" s="313">
        <v>40072</v>
      </c>
      <c r="G16" s="313">
        <f t="shared" si="1"/>
        <v>12678</v>
      </c>
    </row>
    <row r="17" spans="1:7" ht="12" customHeight="1">
      <c r="A17" s="312"/>
      <c r="B17" s="316"/>
      <c r="C17" s="313"/>
      <c r="D17" s="313">
        <f t="shared" si="0"/>
        <v>0</v>
      </c>
      <c r="E17" s="313"/>
      <c r="F17" s="313"/>
      <c r="G17" s="313">
        <f t="shared" si="1"/>
        <v>0</v>
      </c>
    </row>
    <row r="18" spans="1:7" ht="12" customHeight="1">
      <c r="A18" s="312" t="s">
        <v>1924</v>
      </c>
      <c r="B18" s="313">
        <v>1882061</v>
      </c>
      <c r="C18" s="313">
        <v>2353075</v>
      </c>
      <c r="D18" s="313">
        <f t="shared" si="0"/>
        <v>471014</v>
      </c>
      <c r="E18" s="313">
        <v>2531474</v>
      </c>
      <c r="F18" s="313">
        <v>2312817</v>
      </c>
      <c r="G18" s="313">
        <f t="shared" si="1"/>
        <v>-218657</v>
      </c>
    </row>
    <row r="19" spans="1:7" s="18" customFormat="1" ht="12" customHeight="1" hidden="1">
      <c r="A19" s="314"/>
      <c r="B19" s="317"/>
      <c r="C19" s="317"/>
      <c r="D19" s="313">
        <f t="shared" si="0"/>
        <v>0</v>
      </c>
      <c r="E19" s="317"/>
      <c r="F19" s="317"/>
      <c r="G19" s="313">
        <f t="shared" si="1"/>
        <v>0</v>
      </c>
    </row>
    <row r="20" spans="1:7" s="318" customFormat="1" ht="12.75">
      <c r="A20" s="314" t="s">
        <v>1921</v>
      </c>
      <c r="B20" s="313">
        <v>1513</v>
      </c>
      <c r="C20" s="313">
        <v>6447</v>
      </c>
      <c r="D20" s="313">
        <f t="shared" si="0"/>
        <v>4934</v>
      </c>
      <c r="E20" s="313">
        <v>17003</v>
      </c>
      <c r="F20" s="313">
        <v>11670</v>
      </c>
      <c r="G20" s="313">
        <f t="shared" si="1"/>
        <v>-5333</v>
      </c>
    </row>
    <row r="21" spans="1:7" s="318" customFormat="1" ht="12.75" hidden="1">
      <c r="A21" s="314"/>
      <c r="B21" s="313"/>
      <c r="C21" s="313"/>
      <c r="D21" s="313">
        <f t="shared" si="0"/>
        <v>0</v>
      </c>
      <c r="E21" s="313"/>
      <c r="F21" s="313"/>
      <c r="G21" s="313">
        <f t="shared" si="1"/>
        <v>0</v>
      </c>
    </row>
    <row r="22" spans="1:7" s="18" customFormat="1" ht="12.75">
      <c r="A22" s="314" t="s">
        <v>1925</v>
      </c>
      <c r="B22" s="313">
        <v>18951</v>
      </c>
      <c r="C22" s="313">
        <v>10575</v>
      </c>
      <c r="D22" s="313">
        <f t="shared" si="0"/>
        <v>-8376</v>
      </c>
      <c r="E22" s="313">
        <v>9249</v>
      </c>
      <c r="F22" s="313">
        <v>7786</v>
      </c>
      <c r="G22" s="313">
        <f t="shared" si="1"/>
        <v>-1463</v>
      </c>
    </row>
    <row r="23" spans="1:7" s="18" customFormat="1" ht="13.5" customHeight="1">
      <c r="A23" s="314"/>
      <c r="B23" s="317"/>
      <c r="C23" s="317"/>
      <c r="D23" s="313">
        <f t="shared" si="0"/>
        <v>0</v>
      </c>
      <c r="E23" s="317"/>
      <c r="F23" s="317"/>
      <c r="G23" s="313">
        <f t="shared" si="1"/>
        <v>0</v>
      </c>
    </row>
    <row r="24" spans="1:7" ht="12.75">
      <c r="A24" s="312" t="s">
        <v>1926</v>
      </c>
      <c r="B24" s="313">
        <v>184629</v>
      </c>
      <c r="C24" s="313">
        <v>107041</v>
      </c>
      <c r="D24" s="313">
        <f t="shared" si="0"/>
        <v>-77588</v>
      </c>
      <c r="E24" s="313">
        <v>260456</v>
      </c>
      <c r="F24" s="313">
        <v>363234</v>
      </c>
      <c r="G24" s="313">
        <f t="shared" si="1"/>
        <v>102778</v>
      </c>
    </row>
    <row r="25" spans="1:7" ht="15" customHeight="1">
      <c r="A25" s="312"/>
      <c r="B25" s="313"/>
      <c r="C25" s="313"/>
      <c r="D25" s="313">
        <f t="shared" si="0"/>
        <v>0</v>
      </c>
      <c r="E25" s="313"/>
      <c r="F25" s="313"/>
      <c r="G25" s="313">
        <f t="shared" si="1"/>
        <v>0</v>
      </c>
    </row>
    <row r="26" spans="1:7" ht="12.75">
      <c r="A26" s="312" t="s">
        <v>1927</v>
      </c>
      <c r="B26" s="313">
        <v>362596</v>
      </c>
      <c r="C26" s="313">
        <v>42187</v>
      </c>
      <c r="D26" s="313">
        <f t="shared" si="0"/>
        <v>-320409</v>
      </c>
      <c r="E26" s="313">
        <v>178952</v>
      </c>
      <c r="F26" s="313">
        <v>228334</v>
      </c>
      <c r="G26" s="313">
        <f t="shared" si="1"/>
        <v>49382</v>
      </c>
    </row>
    <row r="27" spans="1:7" ht="12.75">
      <c r="A27" s="314" t="s">
        <v>1928</v>
      </c>
      <c r="B27" s="313">
        <v>137054</v>
      </c>
      <c r="C27" s="313">
        <v>402</v>
      </c>
      <c r="D27" s="313">
        <f t="shared" si="0"/>
        <v>-136652</v>
      </c>
      <c r="E27" s="313">
        <v>122529</v>
      </c>
      <c r="F27" s="313">
        <v>2981</v>
      </c>
      <c r="G27" s="313">
        <f t="shared" si="1"/>
        <v>-119548</v>
      </c>
    </row>
    <row r="28" spans="1:7" ht="13.5" customHeight="1">
      <c r="A28" s="312"/>
      <c r="B28" s="313"/>
      <c r="C28" s="313"/>
      <c r="D28" s="313">
        <f t="shared" si="0"/>
        <v>0</v>
      </c>
      <c r="E28" s="313"/>
      <c r="F28" s="313"/>
      <c r="G28" s="313">
        <f t="shared" si="1"/>
        <v>0</v>
      </c>
    </row>
    <row r="29" spans="1:7" ht="11.25" customHeight="1">
      <c r="A29" s="312" t="s">
        <v>1929</v>
      </c>
      <c r="B29" s="313">
        <v>1635194</v>
      </c>
      <c r="C29" s="313">
        <v>1276594</v>
      </c>
      <c r="D29" s="313">
        <f t="shared" si="0"/>
        <v>-358600</v>
      </c>
      <c r="E29" s="313">
        <v>2366996</v>
      </c>
      <c r="F29" s="313">
        <v>2050192</v>
      </c>
      <c r="G29" s="313">
        <f t="shared" si="1"/>
        <v>-316804</v>
      </c>
    </row>
    <row r="30" spans="1:7" ht="12.75" hidden="1">
      <c r="A30" s="315"/>
      <c r="B30" s="319"/>
      <c r="C30" s="319"/>
      <c r="D30" s="313">
        <f t="shared" si="0"/>
        <v>0</v>
      </c>
      <c r="E30" s="319"/>
      <c r="F30" s="319"/>
      <c r="G30" s="313">
        <f t="shared" si="1"/>
        <v>0</v>
      </c>
    </row>
    <row r="31" spans="1:7" ht="12.75">
      <c r="A31" s="314" t="s">
        <v>1930</v>
      </c>
      <c r="B31" s="312">
        <v>73561</v>
      </c>
      <c r="C31" s="312">
        <v>363</v>
      </c>
      <c r="D31" s="313">
        <f t="shared" si="0"/>
        <v>-73198</v>
      </c>
      <c r="E31" s="312">
        <v>2382</v>
      </c>
      <c r="F31" s="312">
        <v>3138</v>
      </c>
      <c r="G31" s="313">
        <f t="shared" si="1"/>
        <v>756</v>
      </c>
    </row>
    <row r="32" spans="1:7" ht="12.75">
      <c r="A32" s="314" t="s">
        <v>1931</v>
      </c>
      <c r="B32" s="312">
        <v>64195</v>
      </c>
      <c r="C32" s="312">
        <v>3125</v>
      </c>
      <c r="D32" s="313">
        <f t="shared" si="0"/>
        <v>-61070</v>
      </c>
      <c r="E32" s="312">
        <v>27305</v>
      </c>
      <c r="F32" s="312">
        <v>13218</v>
      </c>
      <c r="G32" s="313">
        <f t="shared" si="1"/>
        <v>-14087</v>
      </c>
    </row>
    <row r="33" spans="1:7" ht="12" customHeight="1">
      <c r="A33" s="314"/>
      <c r="B33" s="313"/>
      <c r="C33" s="313"/>
      <c r="D33" s="313">
        <f t="shared" si="0"/>
        <v>0</v>
      </c>
      <c r="E33" s="313"/>
      <c r="F33" s="313"/>
      <c r="G33" s="313">
        <f t="shared" si="1"/>
        <v>0</v>
      </c>
    </row>
    <row r="34" spans="1:7" ht="12.75">
      <c r="A34" s="312" t="s">
        <v>1932</v>
      </c>
      <c r="B34" s="313">
        <v>5935800</v>
      </c>
      <c r="C34" s="313">
        <v>2042825</v>
      </c>
      <c r="D34" s="313">
        <f t="shared" si="0"/>
        <v>-3892975</v>
      </c>
      <c r="E34" s="313">
        <v>6448803</v>
      </c>
      <c r="F34" s="313">
        <v>5943128</v>
      </c>
      <c r="G34" s="313">
        <f t="shared" si="1"/>
        <v>-505675</v>
      </c>
    </row>
    <row r="35" spans="1:7" ht="12.75" hidden="1">
      <c r="A35" s="315"/>
      <c r="B35" s="320"/>
      <c r="C35" s="320"/>
      <c r="D35" s="313">
        <f t="shared" si="0"/>
        <v>0</v>
      </c>
      <c r="E35" s="319"/>
      <c r="F35" s="319"/>
      <c r="G35" s="313">
        <f t="shared" si="1"/>
        <v>0</v>
      </c>
    </row>
    <row r="36" spans="1:7" ht="12" customHeight="1">
      <c r="A36" s="314" t="s">
        <v>1930</v>
      </c>
      <c r="B36" s="313">
        <v>11370</v>
      </c>
      <c r="C36" s="313">
        <v>473</v>
      </c>
      <c r="D36" s="313">
        <f t="shared" si="0"/>
        <v>-10897</v>
      </c>
      <c r="E36" s="313">
        <v>11276</v>
      </c>
      <c r="F36" s="313">
        <v>20932</v>
      </c>
      <c r="G36" s="313">
        <f t="shared" si="1"/>
        <v>9656</v>
      </c>
    </row>
    <row r="37" spans="1:7" ht="12.75" hidden="1">
      <c r="A37" s="315"/>
      <c r="B37" s="313"/>
      <c r="C37" s="313"/>
      <c r="D37" s="313">
        <f t="shared" si="0"/>
        <v>0</v>
      </c>
      <c r="E37" s="313"/>
      <c r="F37" s="313"/>
      <c r="G37" s="313">
        <f t="shared" si="1"/>
        <v>0</v>
      </c>
    </row>
    <row r="38" spans="1:7" ht="12.75">
      <c r="A38" s="314" t="s">
        <v>1931</v>
      </c>
      <c r="B38" s="313">
        <v>24193</v>
      </c>
      <c r="C38" s="313">
        <v>45918</v>
      </c>
      <c r="D38" s="313">
        <f t="shared" si="0"/>
        <v>21725</v>
      </c>
      <c r="E38" s="313">
        <v>117955</v>
      </c>
      <c r="F38" s="313">
        <v>126805</v>
      </c>
      <c r="G38" s="313">
        <f t="shared" si="1"/>
        <v>8850</v>
      </c>
    </row>
    <row r="39" spans="1:7" ht="13.5" customHeight="1">
      <c r="A39" s="314"/>
      <c r="B39" s="317"/>
      <c r="C39" s="317"/>
      <c r="D39" s="313">
        <f t="shared" si="0"/>
        <v>0</v>
      </c>
      <c r="E39" s="317"/>
      <c r="F39" s="317"/>
      <c r="G39" s="313">
        <f t="shared" si="1"/>
        <v>0</v>
      </c>
    </row>
    <row r="40" spans="1:7" s="3" customFormat="1" ht="12.75">
      <c r="A40" s="312" t="s">
        <v>1933</v>
      </c>
      <c r="B40" s="313">
        <v>1814818</v>
      </c>
      <c r="C40" s="313">
        <v>5007918</v>
      </c>
      <c r="D40" s="313">
        <f t="shared" si="0"/>
        <v>3193100</v>
      </c>
      <c r="E40" s="313">
        <v>3148774</v>
      </c>
      <c r="F40" s="313">
        <v>5586762</v>
      </c>
      <c r="G40" s="313">
        <f t="shared" si="1"/>
        <v>2437988</v>
      </c>
    </row>
    <row r="41" spans="1:7" s="3" customFormat="1" ht="1.5" customHeight="1" hidden="1">
      <c r="A41" s="314"/>
      <c r="B41" s="313"/>
      <c r="C41" s="313"/>
      <c r="D41" s="313">
        <f t="shared" si="0"/>
        <v>0</v>
      </c>
      <c r="E41" s="313"/>
      <c r="F41" s="313"/>
      <c r="G41" s="313">
        <f t="shared" si="1"/>
        <v>0</v>
      </c>
    </row>
    <row r="42" spans="1:7" s="3" customFormat="1" ht="11.25" customHeight="1">
      <c r="A42" s="314" t="s">
        <v>1930</v>
      </c>
      <c r="B42" s="313">
        <v>880</v>
      </c>
      <c r="C42" s="313">
        <v>4887</v>
      </c>
      <c r="D42" s="313">
        <f t="shared" si="0"/>
        <v>4007</v>
      </c>
      <c r="E42" s="313">
        <v>33488</v>
      </c>
      <c r="F42" s="313">
        <v>8960</v>
      </c>
      <c r="G42" s="313">
        <f t="shared" si="1"/>
        <v>-24528</v>
      </c>
    </row>
    <row r="43" spans="1:7" s="3" customFormat="1" ht="12.75" hidden="1">
      <c r="A43" s="314"/>
      <c r="B43" s="313"/>
      <c r="C43" s="313"/>
      <c r="D43" s="313">
        <f t="shared" si="0"/>
        <v>0</v>
      </c>
      <c r="E43" s="313"/>
      <c r="F43" s="313"/>
      <c r="G43" s="313">
        <f t="shared" si="1"/>
        <v>0</v>
      </c>
    </row>
    <row r="44" spans="1:7" s="3" customFormat="1" ht="12.75">
      <c r="A44" s="314" t="s">
        <v>1931</v>
      </c>
      <c r="B44" s="313">
        <v>31040</v>
      </c>
      <c r="C44" s="313">
        <v>68635</v>
      </c>
      <c r="D44" s="313">
        <f t="shared" si="0"/>
        <v>37595</v>
      </c>
      <c r="E44" s="313">
        <v>68541</v>
      </c>
      <c r="F44" s="313">
        <v>64015</v>
      </c>
      <c r="G44" s="313">
        <f t="shared" si="1"/>
        <v>-4526</v>
      </c>
    </row>
    <row r="45" spans="1:7" s="3" customFormat="1" ht="13.5" customHeight="1">
      <c r="A45" s="314"/>
      <c r="B45" s="317"/>
      <c r="C45" s="317"/>
      <c r="D45" s="313">
        <f t="shared" si="0"/>
        <v>0</v>
      </c>
      <c r="E45" s="317"/>
      <c r="F45" s="317"/>
      <c r="G45" s="313">
        <f t="shared" si="1"/>
        <v>0</v>
      </c>
    </row>
    <row r="46" spans="1:7" ht="12.75">
      <c r="A46" s="312" t="s">
        <v>1934</v>
      </c>
      <c r="B46" s="313">
        <v>2689473</v>
      </c>
      <c r="C46" s="313">
        <v>2724388</v>
      </c>
      <c r="D46" s="313">
        <f t="shared" si="0"/>
        <v>34915</v>
      </c>
      <c r="E46" s="313">
        <v>5784005</v>
      </c>
      <c r="F46" s="313">
        <v>3339466</v>
      </c>
      <c r="G46" s="313">
        <f t="shared" si="1"/>
        <v>-2444539</v>
      </c>
    </row>
    <row r="47" spans="1:7" ht="13.5" customHeight="1" hidden="1">
      <c r="A47" s="314"/>
      <c r="B47" s="313"/>
      <c r="C47" s="313"/>
      <c r="D47" s="313">
        <f t="shared" si="0"/>
        <v>0</v>
      </c>
      <c r="E47" s="313"/>
      <c r="F47" s="313"/>
      <c r="G47" s="313">
        <f t="shared" si="1"/>
        <v>0</v>
      </c>
    </row>
    <row r="48" spans="1:7" ht="15" customHeight="1">
      <c r="A48" s="314" t="s">
        <v>1930</v>
      </c>
      <c r="B48" s="313">
        <v>1152</v>
      </c>
      <c r="C48" s="313">
        <v>3667</v>
      </c>
      <c r="D48" s="313">
        <f t="shared" si="0"/>
        <v>2515</v>
      </c>
      <c r="E48" s="313">
        <v>57393</v>
      </c>
      <c r="F48" s="313">
        <v>22193</v>
      </c>
      <c r="G48" s="313">
        <f t="shared" si="1"/>
        <v>-35200</v>
      </c>
    </row>
    <row r="49" spans="1:7" ht="12" customHeight="1" hidden="1">
      <c r="A49" s="314"/>
      <c r="B49" s="313"/>
      <c r="C49" s="313"/>
      <c r="D49" s="313">
        <f t="shared" si="0"/>
        <v>0</v>
      </c>
      <c r="E49" s="313"/>
      <c r="F49" s="313"/>
      <c r="G49" s="313">
        <f t="shared" si="1"/>
        <v>0</v>
      </c>
    </row>
    <row r="50" spans="1:7" ht="15" customHeight="1">
      <c r="A50" s="314" t="s">
        <v>1931</v>
      </c>
      <c r="B50" s="313">
        <v>22125</v>
      </c>
      <c r="C50" s="313">
        <v>15538</v>
      </c>
      <c r="D50" s="313">
        <f t="shared" si="0"/>
        <v>-6587</v>
      </c>
      <c r="E50" s="313">
        <v>114037</v>
      </c>
      <c r="F50" s="313">
        <v>47627</v>
      </c>
      <c r="G50" s="313">
        <f t="shared" si="1"/>
        <v>-66410</v>
      </c>
    </row>
    <row r="51" spans="1:7" ht="12" customHeight="1">
      <c r="A51" s="314"/>
      <c r="B51" s="313"/>
      <c r="C51" s="317"/>
      <c r="D51" s="313">
        <f t="shared" si="0"/>
        <v>0</v>
      </c>
      <c r="E51" s="313"/>
      <c r="F51" s="317"/>
      <c r="G51" s="313">
        <f t="shared" si="1"/>
        <v>0</v>
      </c>
    </row>
    <row r="52" spans="1:7" ht="12.75">
      <c r="A52" s="312" t="s">
        <v>1935</v>
      </c>
      <c r="B52" s="313">
        <v>274765</v>
      </c>
      <c r="C52" s="313">
        <v>596316</v>
      </c>
      <c r="D52" s="313">
        <f t="shared" si="0"/>
        <v>321551</v>
      </c>
      <c r="E52" s="313">
        <v>45646122</v>
      </c>
      <c r="F52" s="313">
        <v>47739569</v>
      </c>
      <c r="G52" s="313">
        <f t="shared" si="1"/>
        <v>2093447</v>
      </c>
    </row>
    <row r="53" spans="1:7" ht="12.75" customHeight="1">
      <c r="A53" s="314" t="s">
        <v>1928</v>
      </c>
      <c r="B53" s="313"/>
      <c r="C53" s="313"/>
      <c r="D53" s="313">
        <f t="shared" si="0"/>
        <v>0</v>
      </c>
      <c r="E53" s="313">
        <v>2190454</v>
      </c>
      <c r="F53" s="313">
        <v>1706969</v>
      </c>
      <c r="G53" s="313">
        <f t="shared" si="1"/>
        <v>-483485</v>
      </c>
    </row>
    <row r="54" spans="1:7" ht="12.75" customHeight="1">
      <c r="A54" s="314"/>
      <c r="B54" s="313"/>
      <c r="C54" s="313"/>
      <c r="D54" s="313">
        <f t="shared" si="0"/>
        <v>0</v>
      </c>
      <c r="E54" s="313"/>
      <c r="F54" s="313"/>
      <c r="G54" s="313">
        <f t="shared" si="1"/>
        <v>0</v>
      </c>
    </row>
    <row r="55" spans="1:7" ht="12.75">
      <c r="A55" s="312" t="s">
        <v>1936</v>
      </c>
      <c r="B55" s="313">
        <v>6223003</v>
      </c>
      <c r="C55" s="313">
        <v>6306719</v>
      </c>
      <c r="D55" s="313">
        <f t="shared" si="0"/>
        <v>83716</v>
      </c>
      <c r="E55" s="313">
        <v>48547734</v>
      </c>
      <c r="F55" s="313">
        <v>81522583</v>
      </c>
      <c r="G55" s="313">
        <f t="shared" si="1"/>
        <v>32974849</v>
      </c>
    </row>
    <row r="56" spans="1:7" ht="12.75" hidden="1">
      <c r="A56" s="314"/>
      <c r="B56" s="313"/>
      <c r="C56" s="313"/>
      <c r="D56" s="313">
        <f t="shared" si="0"/>
        <v>0</v>
      </c>
      <c r="E56" s="313"/>
      <c r="F56" s="313"/>
      <c r="G56" s="313">
        <f t="shared" si="1"/>
        <v>0</v>
      </c>
    </row>
    <row r="57" spans="1:7" ht="11.25" customHeight="1">
      <c r="A57" s="314" t="s">
        <v>1930</v>
      </c>
      <c r="B57" s="313">
        <v>2997</v>
      </c>
      <c r="C57" s="313">
        <v>1732</v>
      </c>
      <c r="D57" s="313">
        <f t="shared" si="0"/>
        <v>-1265</v>
      </c>
      <c r="E57" s="313">
        <v>17761</v>
      </c>
      <c r="F57" s="313">
        <v>4560</v>
      </c>
      <c r="G57" s="313">
        <f t="shared" si="1"/>
        <v>-13201</v>
      </c>
    </row>
    <row r="58" spans="1:7" ht="12.75" hidden="1">
      <c r="A58" s="314"/>
      <c r="B58" s="313"/>
      <c r="C58" s="313"/>
      <c r="D58" s="313">
        <f t="shared" si="0"/>
        <v>0</v>
      </c>
      <c r="E58" s="313"/>
      <c r="F58" s="313"/>
      <c r="G58" s="313">
        <f t="shared" si="1"/>
        <v>0</v>
      </c>
    </row>
    <row r="59" spans="1:7" ht="12.75">
      <c r="A59" s="314" t="s">
        <v>1931</v>
      </c>
      <c r="B59" s="313">
        <v>67237</v>
      </c>
      <c r="C59" s="313">
        <v>67772</v>
      </c>
      <c r="D59" s="313">
        <f t="shared" si="0"/>
        <v>535</v>
      </c>
      <c r="E59" s="313"/>
      <c r="F59" s="313"/>
      <c r="G59" s="313">
        <f t="shared" si="1"/>
        <v>0</v>
      </c>
    </row>
    <row r="60" spans="1:7" ht="12" customHeight="1">
      <c r="A60" s="314"/>
      <c r="B60" s="313"/>
      <c r="C60" s="313"/>
      <c r="D60" s="313">
        <f t="shared" si="0"/>
        <v>0</v>
      </c>
      <c r="E60" s="313"/>
      <c r="F60" s="313"/>
      <c r="G60" s="313">
        <f t="shared" si="1"/>
        <v>0</v>
      </c>
    </row>
    <row r="61" spans="1:7" ht="12" customHeight="1">
      <c r="A61" s="312" t="s">
        <v>1937</v>
      </c>
      <c r="B61" s="313">
        <v>712250</v>
      </c>
      <c r="C61" s="313">
        <v>642867</v>
      </c>
      <c r="D61" s="313">
        <f t="shared" si="0"/>
        <v>-69383</v>
      </c>
      <c r="E61" s="313">
        <v>2670984</v>
      </c>
      <c r="F61" s="313">
        <v>1828529</v>
      </c>
      <c r="G61" s="313">
        <f t="shared" si="1"/>
        <v>-842455</v>
      </c>
    </row>
    <row r="62" spans="1:7" ht="0.75" customHeight="1" hidden="1">
      <c r="A62" s="314"/>
      <c r="B62" s="313"/>
      <c r="C62" s="313"/>
      <c r="D62" s="313">
        <f t="shared" si="0"/>
        <v>0</v>
      </c>
      <c r="E62" s="313"/>
      <c r="F62" s="313"/>
      <c r="G62" s="313">
        <f t="shared" si="1"/>
        <v>0</v>
      </c>
    </row>
    <row r="63" spans="1:7" ht="12.75">
      <c r="A63" s="314" t="s">
        <v>1930</v>
      </c>
      <c r="B63" s="321"/>
      <c r="C63" s="313"/>
      <c r="D63" s="313">
        <f t="shared" si="0"/>
        <v>0</v>
      </c>
      <c r="E63" s="321">
        <v>149030</v>
      </c>
      <c r="F63" s="313">
        <v>109404</v>
      </c>
      <c r="G63" s="313">
        <f t="shared" si="1"/>
        <v>-39626</v>
      </c>
    </row>
    <row r="64" spans="1:7" ht="0.75" customHeight="1" hidden="1">
      <c r="A64" s="314"/>
      <c r="B64" s="321"/>
      <c r="C64" s="313"/>
      <c r="D64" s="313">
        <f t="shared" si="0"/>
        <v>0</v>
      </c>
      <c r="E64" s="321"/>
      <c r="F64" s="313"/>
      <c r="G64" s="313">
        <f t="shared" si="1"/>
        <v>0</v>
      </c>
    </row>
    <row r="65" spans="1:7" ht="12.75">
      <c r="A65" s="314" t="s">
        <v>1931</v>
      </c>
      <c r="B65" s="321">
        <v>52150</v>
      </c>
      <c r="C65" s="313">
        <v>15624</v>
      </c>
      <c r="D65" s="313">
        <f t="shared" si="0"/>
        <v>-36526</v>
      </c>
      <c r="E65" s="321">
        <v>199379</v>
      </c>
      <c r="F65" s="313">
        <v>72410</v>
      </c>
      <c r="G65" s="313">
        <f t="shared" si="1"/>
        <v>-126969</v>
      </c>
    </row>
    <row r="66" spans="1:7" ht="12.75" customHeight="1">
      <c r="A66" s="314"/>
      <c r="B66" s="313"/>
      <c r="C66" s="313"/>
      <c r="D66" s="313">
        <f t="shared" si="0"/>
        <v>0</v>
      </c>
      <c r="E66" s="313"/>
      <c r="F66" s="313"/>
      <c r="G66" s="313">
        <f t="shared" si="1"/>
        <v>0</v>
      </c>
    </row>
    <row r="67" spans="1:7" ht="17.25" customHeight="1">
      <c r="A67" s="312" t="s">
        <v>1938</v>
      </c>
      <c r="B67" s="313">
        <v>214017</v>
      </c>
      <c r="C67" s="313">
        <v>2632167</v>
      </c>
      <c r="D67" s="313">
        <f t="shared" si="0"/>
        <v>2418150</v>
      </c>
      <c r="E67" s="313">
        <v>230735</v>
      </c>
      <c r="F67" s="313">
        <v>261297</v>
      </c>
      <c r="G67" s="313">
        <f t="shared" si="1"/>
        <v>30562</v>
      </c>
    </row>
    <row r="68" spans="1:7" ht="12.75">
      <c r="A68" s="312" t="s">
        <v>1939</v>
      </c>
      <c r="B68" s="313"/>
      <c r="C68" s="313"/>
      <c r="D68" s="313">
        <f t="shared" si="0"/>
        <v>0</v>
      </c>
      <c r="E68" s="313"/>
      <c r="F68" s="313"/>
      <c r="G68" s="313">
        <f t="shared" si="1"/>
        <v>0</v>
      </c>
    </row>
    <row r="69" spans="1:7" ht="12.75">
      <c r="A69" s="314" t="s">
        <v>1930</v>
      </c>
      <c r="B69" s="313"/>
      <c r="C69" s="313">
        <v>72</v>
      </c>
      <c r="D69" s="313">
        <f t="shared" si="0"/>
        <v>72</v>
      </c>
      <c r="E69" s="313"/>
      <c r="F69" s="313">
        <v>880</v>
      </c>
      <c r="G69" s="313">
        <f t="shared" si="1"/>
        <v>880</v>
      </c>
    </row>
    <row r="70" spans="1:7" ht="12.75">
      <c r="A70" s="314" t="s">
        <v>1931</v>
      </c>
      <c r="B70" s="313">
        <v>401</v>
      </c>
      <c r="C70" s="313">
        <v>307378</v>
      </c>
      <c r="D70" s="313">
        <f t="shared" si="0"/>
        <v>306977</v>
      </c>
      <c r="E70" s="313">
        <v>10152</v>
      </c>
      <c r="F70" s="313">
        <v>7472</v>
      </c>
      <c r="G70" s="313">
        <f t="shared" si="1"/>
        <v>-2680</v>
      </c>
    </row>
    <row r="71" spans="1:7" ht="12.75" customHeight="1">
      <c r="A71" s="314"/>
      <c r="B71" s="313"/>
      <c r="C71" s="313"/>
      <c r="D71" s="313">
        <f t="shared" si="0"/>
        <v>0</v>
      </c>
      <c r="E71" s="313"/>
      <c r="F71" s="313"/>
      <c r="G71" s="313">
        <f t="shared" si="1"/>
        <v>0</v>
      </c>
    </row>
    <row r="72" spans="1:7" ht="12" customHeight="1">
      <c r="A72" s="312" t="s">
        <v>1940</v>
      </c>
      <c r="B72" s="313">
        <v>154062</v>
      </c>
      <c r="C72" s="313">
        <v>265808</v>
      </c>
      <c r="D72" s="313">
        <f t="shared" si="0"/>
        <v>111746</v>
      </c>
      <c r="E72" s="313">
        <v>2844157</v>
      </c>
      <c r="F72" s="313">
        <v>998254</v>
      </c>
      <c r="G72" s="313">
        <f t="shared" si="1"/>
        <v>-1845903</v>
      </c>
    </row>
    <row r="73" spans="1:7" ht="12.75" hidden="1">
      <c r="A73" s="314"/>
      <c r="B73" s="313"/>
      <c r="C73" s="313"/>
      <c r="D73" s="313">
        <f t="shared" si="0"/>
        <v>0</v>
      </c>
      <c r="E73" s="313"/>
      <c r="F73" s="313"/>
      <c r="G73" s="313">
        <f t="shared" si="1"/>
        <v>0</v>
      </c>
    </row>
    <row r="74" spans="1:7" ht="12.75">
      <c r="A74" s="314" t="s">
        <v>1930</v>
      </c>
      <c r="B74" s="313">
        <v>3336</v>
      </c>
      <c r="C74" s="313">
        <v>0</v>
      </c>
      <c r="D74" s="313">
        <f aca="true" t="shared" si="2" ref="D74:D120">C74-B74</f>
        <v>-3336</v>
      </c>
      <c r="E74" s="313">
        <v>14173</v>
      </c>
      <c r="F74" s="313">
        <v>5311</v>
      </c>
      <c r="G74" s="313">
        <f aca="true" t="shared" si="3" ref="G74:G120">F74-E74</f>
        <v>-8862</v>
      </c>
    </row>
    <row r="75" spans="1:7" ht="0.75" customHeight="1" hidden="1">
      <c r="A75" s="314" t="s">
        <v>1941</v>
      </c>
      <c r="B75" s="313"/>
      <c r="C75" s="313"/>
      <c r="D75" s="313">
        <f t="shared" si="2"/>
        <v>0</v>
      </c>
      <c r="E75" s="313"/>
      <c r="F75" s="313"/>
      <c r="G75" s="313">
        <f t="shared" si="3"/>
        <v>0</v>
      </c>
    </row>
    <row r="76" spans="1:7" ht="12.75">
      <c r="A76" s="314" t="s">
        <v>1931</v>
      </c>
      <c r="B76" s="313">
        <v>2236</v>
      </c>
      <c r="C76" s="313">
        <v>3633</v>
      </c>
      <c r="D76" s="313">
        <f t="shared" si="2"/>
        <v>1397</v>
      </c>
      <c r="E76" s="313">
        <v>31444</v>
      </c>
      <c r="F76" s="313">
        <v>33658</v>
      </c>
      <c r="G76" s="313">
        <f t="shared" si="3"/>
        <v>2214</v>
      </c>
    </row>
    <row r="77" spans="1:7" ht="12" customHeight="1">
      <c r="A77" s="314"/>
      <c r="B77" s="313"/>
      <c r="C77" s="313"/>
      <c r="D77" s="313">
        <f t="shared" si="2"/>
        <v>0</v>
      </c>
      <c r="E77" s="313"/>
      <c r="F77" s="313"/>
      <c r="G77" s="313">
        <f t="shared" si="3"/>
        <v>0</v>
      </c>
    </row>
    <row r="78" spans="1:7" ht="12.75">
      <c r="A78" s="312" t="s">
        <v>1942</v>
      </c>
      <c r="B78" s="313">
        <v>268152</v>
      </c>
      <c r="C78" s="313">
        <v>387613</v>
      </c>
      <c r="D78" s="313">
        <f t="shared" si="2"/>
        <v>119461</v>
      </c>
      <c r="E78" s="313">
        <v>978393</v>
      </c>
      <c r="F78" s="313">
        <v>804685</v>
      </c>
      <c r="G78" s="313">
        <f t="shared" si="3"/>
        <v>-173708</v>
      </c>
    </row>
    <row r="79" spans="1:7" ht="0.75" customHeight="1" hidden="1">
      <c r="A79" s="314"/>
      <c r="B79" s="313"/>
      <c r="C79" s="313"/>
      <c r="D79" s="313">
        <f t="shared" si="2"/>
        <v>0</v>
      </c>
      <c r="E79" s="313"/>
      <c r="F79" s="313"/>
      <c r="G79" s="313">
        <f t="shared" si="3"/>
        <v>0</v>
      </c>
    </row>
    <row r="80" spans="1:7" ht="12" customHeight="1">
      <c r="A80" s="314" t="s">
        <v>1930</v>
      </c>
      <c r="B80" s="313">
        <v>421</v>
      </c>
      <c r="C80" s="313">
        <v>523</v>
      </c>
      <c r="D80" s="313">
        <f t="shared" si="2"/>
        <v>102</v>
      </c>
      <c r="E80" s="313">
        <v>127</v>
      </c>
      <c r="F80" s="321"/>
      <c r="G80" s="313">
        <f t="shared" si="3"/>
        <v>-127</v>
      </c>
    </row>
    <row r="81" spans="1:7" ht="12.75" hidden="1">
      <c r="A81" s="314"/>
      <c r="B81" s="321"/>
      <c r="C81" s="321"/>
      <c r="D81" s="313">
        <f t="shared" si="2"/>
        <v>0</v>
      </c>
      <c r="E81" s="313"/>
      <c r="F81" s="313"/>
      <c r="G81" s="313">
        <f t="shared" si="3"/>
        <v>0</v>
      </c>
    </row>
    <row r="82" spans="1:7" ht="12.75">
      <c r="A82" s="314" t="s">
        <v>1931</v>
      </c>
      <c r="B82" s="313">
        <v>9226</v>
      </c>
      <c r="C82" s="313">
        <v>12094</v>
      </c>
      <c r="D82" s="313">
        <f t="shared" si="2"/>
        <v>2868</v>
      </c>
      <c r="E82" s="313">
        <v>8619</v>
      </c>
      <c r="F82" s="313">
        <v>104289</v>
      </c>
      <c r="G82" s="313">
        <f t="shared" si="3"/>
        <v>95670</v>
      </c>
    </row>
    <row r="83" spans="1:7" ht="14.25" customHeight="1">
      <c r="A83" s="314"/>
      <c r="B83" s="313"/>
      <c r="C83" s="313"/>
      <c r="D83" s="313">
        <f t="shared" si="2"/>
        <v>0</v>
      </c>
      <c r="E83" s="313"/>
      <c r="F83" s="313"/>
      <c r="G83" s="313">
        <f t="shared" si="3"/>
        <v>0</v>
      </c>
    </row>
    <row r="84" spans="1:7" ht="12.75">
      <c r="A84" s="312" t="s">
        <v>1943</v>
      </c>
      <c r="B84" s="313">
        <v>18390</v>
      </c>
      <c r="C84" s="313">
        <v>18795</v>
      </c>
      <c r="D84" s="313">
        <f t="shared" si="2"/>
        <v>405</v>
      </c>
      <c r="E84" s="313"/>
      <c r="F84" s="313">
        <v>8457</v>
      </c>
      <c r="G84" s="313">
        <f t="shared" si="3"/>
        <v>8457</v>
      </c>
    </row>
    <row r="85" spans="1:7" ht="12.75">
      <c r="A85" s="314" t="s">
        <v>1930</v>
      </c>
      <c r="B85" s="313"/>
      <c r="C85" s="313"/>
      <c r="D85" s="313">
        <f t="shared" si="2"/>
        <v>0</v>
      </c>
      <c r="E85" s="313"/>
      <c r="F85" s="313">
        <v>495</v>
      </c>
      <c r="G85" s="313">
        <f t="shared" si="3"/>
        <v>495</v>
      </c>
    </row>
    <row r="86" spans="1:7" ht="12" customHeight="1">
      <c r="A86" s="314" t="s">
        <v>1931</v>
      </c>
      <c r="B86" s="313"/>
      <c r="C86" s="313">
        <v>94</v>
      </c>
      <c r="D86" s="313">
        <f t="shared" si="2"/>
        <v>94</v>
      </c>
      <c r="E86" s="313"/>
      <c r="F86" s="313">
        <v>507</v>
      </c>
      <c r="G86" s="313">
        <f t="shared" si="3"/>
        <v>507</v>
      </c>
    </row>
    <row r="87" spans="1:7" ht="12" customHeight="1">
      <c r="A87" s="315"/>
      <c r="B87" s="313"/>
      <c r="C87" s="313"/>
      <c r="D87" s="313">
        <f t="shared" si="2"/>
        <v>0</v>
      </c>
      <c r="E87" s="313"/>
      <c r="F87" s="313"/>
      <c r="G87" s="313">
        <f t="shared" si="3"/>
        <v>0</v>
      </c>
    </row>
    <row r="88" spans="1:7" ht="12.75">
      <c r="A88" s="312" t="s">
        <v>1944</v>
      </c>
      <c r="B88" s="313">
        <v>15757</v>
      </c>
      <c r="C88" s="313">
        <v>107</v>
      </c>
      <c r="D88" s="313">
        <f t="shared" si="2"/>
        <v>-15650</v>
      </c>
      <c r="E88" s="313">
        <v>72351</v>
      </c>
      <c r="F88" s="313">
        <v>58131</v>
      </c>
      <c r="G88" s="313">
        <f t="shared" si="3"/>
        <v>-14220</v>
      </c>
    </row>
    <row r="89" spans="1:7" ht="12.75">
      <c r="A89" s="314" t="s">
        <v>1928</v>
      </c>
      <c r="B89" s="313">
        <v>15727</v>
      </c>
      <c r="C89" s="313">
        <v>49</v>
      </c>
      <c r="D89" s="313">
        <f t="shared" si="2"/>
        <v>-15678</v>
      </c>
      <c r="E89" s="313">
        <v>41676</v>
      </c>
      <c r="F89" s="313">
        <v>43137</v>
      </c>
      <c r="G89" s="313">
        <f t="shared" si="3"/>
        <v>1461</v>
      </c>
    </row>
    <row r="90" spans="1:7" ht="13.5" customHeight="1">
      <c r="A90" s="312"/>
      <c r="B90" s="313"/>
      <c r="C90" s="313"/>
      <c r="D90" s="313">
        <f t="shared" si="2"/>
        <v>0</v>
      </c>
      <c r="E90" s="313"/>
      <c r="F90" s="313"/>
      <c r="G90" s="313">
        <f t="shared" si="3"/>
        <v>0</v>
      </c>
    </row>
    <row r="91" spans="1:7" ht="18" customHeight="1">
      <c r="A91" s="312" t="s">
        <v>1945</v>
      </c>
      <c r="B91" s="313">
        <v>643</v>
      </c>
      <c r="C91" s="313">
        <v>6147</v>
      </c>
      <c r="D91" s="313">
        <f t="shared" si="2"/>
        <v>5504</v>
      </c>
      <c r="E91" s="313"/>
      <c r="F91" s="321"/>
      <c r="G91" s="313">
        <f t="shared" si="3"/>
        <v>0</v>
      </c>
    </row>
    <row r="92" spans="1:7" ht="12.75" customHeight="1">
      <c r="A92" s="314"/>
      <c r="B92" s="313"/>
      <c r="C92" s="313"/>
      <c r="D92" s="313">
        <f t="shared" si="2"/>
        <v>0</v>
      </c>
      <c r="E92" s="313"/>
      <c r="F92" s="313"/>
      <c r="G92" s="313">
        <f t="shared" si="3"/>
        <v>0</v>
      </c>
    </row>
    <row r="93" spans="1:7" ht="12.75">
      <c r="A93" s="312" t="s">
        <v>1946</v>
      </c>
      <c r="B93" s="313">
        <v>14355</v>
      </c>
      <c r="C93" s="313">
        <v>14723</v>
      </c>
      <c r="D93" s="313">
        <f t="shared" si="2"/>
        <v>368</v>
      </c>
      <c r="E93" s="313">
        <v>666237</v>
      </c>
      <c r="F93" s="313">
        <v>650540</v>
      </c>
      <c r="G93" s="313">
        <f t="shared" si="3"/>
        <v>-15697</v>
      </c>
    </row>
    <row r="94" spans="1:7" ht="12.75" hidden="1">
      <c r="A94" s="314"/>
      <c r="B94" s="313"/>
      <c r="C94" s="313"/>
      <c r="D94" s="313">
        <f t="shared" si="2"/>
        <v>0</v>
      </c>
      <c r="E94" s="313">
        <v>4456</v>
      </c>
      <c r="F94" s="313">
        <v>2591</v>
      </c>
      <c r="G94" s="313">
        <f t="shared" si="3"/>
        <v>-1865</v>
      </c>
    </row>
    <row r="95" spans="1:7" ht="11.25" customHeight="1">
      <c r="A95" s="314" t="s">
        <v>1930</v>
      </c>
      <c r="B95" s="313"/>
      <c r="C95" s="313"/>
      <c r="D95" s="313">
        <f t="shared" si="2"/>
        <v>0</v>
      </c>
      <c r="E95" s="313">
        <v>4465</v>
      </c>
      <c r="F95" s="313">
        <v>2591</v>
      </c>
      <c r="G95" s="313">
        <f t="shared" si="3"/>
        <v>-1874</v>
      </c>
    </row>
    <row r="96" spans="1:7" ht="12.75">
      <c r="A96" s="314" t="s">
        <v>1931</v>
      </c>
      <c r="B96" s="313"/>
      <c r="C96" s="313"/>
      <c r="D96" s="313">
        <f t="shared" si="2"/>
        <v>0</v>
      </c>
      <c r="E96" s="313">
        <v>4402</v>
      </c>
      <c r="F96" s="313">
        <v>3847</v>
      </c>
      <c r="G96" s="313">
        <f t="shared" si="3"/>
        <v>-555</v>
      </c>
    </row>
    <row r="97" spans="1:7" ht="13.5" customHeight="1">
      <c r="A97" s="314"/>
      <c r="B97" s="313"/>
      <c r="C97" s="313"/>
      <c r="D97" s="313">
        <f t="shared" si="2"/>
        <v>0</v>
      </c>
      <c r="E97" s="313"/>
      <c r="F97" s="313"/>
      <c r="G97" s="313">
        <f t="shared" si="3"/>
        <v>0</v>
      </c>
    </row>
    <row r="98" spans="1:7" ht="15" customHeight="1">
      <c r="A98" s="312" t="s">
        <v>1947</v>
      </c>
      <c r="B98" s="313">
        <v>14122</v>
      </c>
      <c r="C98" s="313"/>
      <c r="D98" s="313">
        <f t="shared" si="2"/>
        <v>-14122</v>
      </c>
      <c r="E98" s="321"/>
      <c r="F98" s="321"/>
      <c r="G98" s="313">
        <f t="shared" si="3"/>
        <v>0</v>
      </c>
    </row>
    <row r="99" spans="1:7" ht="13.5" customHeight="1">
      <c r="A99" s="314"/>
      <c r="B99" s="313"/>
      <c r="C99" s="313"/>
      <c r="D99" s="313">
        <f t="shared" si="2"/>
        <v>0</v>
      </c>
      <c r="E99" s="313"/>
      <c r="F99" s="313"/>
      <c r="G99" s="313">
        <f t="shared" si="3"/>
        <v>0</v>
      </c>
    </row>
    <row r="100" spans="1:7" ht="15" customHeight="1">
      <c r="A100" s="312" t="s">
        <v>1948</v>
      </c>
      <c r="B100" s="313">
        <v>1468</v>
      </c>
      <c r="C100" s="313">
        <v>684</v>
      </c>
      <c r="D100" s="313">
        <f t="shared" si="2"/>
        <v>-784</v>
      </c>
      <c r="E100" s="321"/>
      <c r="F100" s="321"/>
      <c r="G100" s="313">
        <f t="shared" si="3"/>
        <v>0</v>
      </c>
    </row>
    <row r="101" spans="1:7" ht="13.5" customHeight="1" hidden="1">
      <c r="A101" s="314"/>
      <c r="B101" s="313"/>
      <c r="C101" s="313"/>
      <c r="D101" s="313">
        <f t="shared" si="2"/>
        <v>0</v>
      </c>
      <c r="E101" s="313"/>
      <c r="F101" s="313"/>
      <c r="G101" s="313">
        <f t="shared" si="3"/>
        <v>0</v>
      </c>
    </row>
    <row r="102" spans="1:7" ht="12.75" hidden="1">
      <c r="A102" s="312"/>
      <c r="B102" s="313"/>
      <c r="C102" s="313"/>
      <c r="D102" s="313">
        <f t="shared" si="2"/>
        <v>0</v>
      </c>
      <c r="E102" s="313"/>
      <c r="F102" s="313"/>
      <c r="G102" s="313">
        <f t="shared" si="3"/>
        <v>0</v>
      </c>
    </row>
    <row r="103" spans="1:7" ht="12.75" hidden="1">
      <c r="A103" s="315"/>
      <c r="B103" s="313"/>
      <c r="C103" s="313"/>
      <c r="D103" s="313">
        <f t="shared" si="2"/>
        <v>0</v>
      </c>
      <c r="E103" s="313"/>
      <c r="F103" s="313"/>
      <c r="G103" s="313">
        <f t="shared" si="3"/>
        <v>0</v>
      </c>
    </row>
    <row r="104" spans="1:7" ht="13.5" customHeight="1">
      <c r="A104" s="314"/>
      <c r="B104" s="313"/>
      <c r="C104" s="313"/>
      <c r="D104" s="313">
        <f t="shared" si="2"/>
        <v>0</v>
      </c>
      <c r="E104" s="313"/>
      <c r="F104" s="313"/>
      <c r="G104" s="313">
        <f t="shared" si="3"/>
        <v>0</v>
      </c>
    </row>
    <row r="105" spans="1:7" ht="12.75">
      <c r="A105" s="312" t="s">
        <v>1949</v>
      </c>
      <c r="B105" s="313">
        <v>19425</v>
      </c>
      <c r="C105" s="313">
        <v>834528</v>
      </c>
      <c r="D105" s="313">
        <f t="shared" si="2"/>
        <v>815103</v>
      </c>
      <c r="E105" s="321"/>
      <c r="F105" s="321">
        <v>3727</v>
      </c>
      <c r="G105" s="313">
        <f t="shared" si="3"/>
        <v>3727</v>
      </c>
    </row>
    <row r="106" spans="1:7" ht="12" customHeight="1">
      <c r="A106" s="312"/>
      <c r="B106" s="313"/>
      <c r="C106" s="313"/>
      <c r="D106" s="313">
        <f t="shared" si="2"/>
        <v>0</v>
      </c>
      <c r="E106" s="313"/>
      <c r="F106" s="313"/>
      <c r="G106" s="313">
        <f t="shared" si="3"/>
        <v>0</v>
      </c>
    </row>
    <row r="107" spans="1:7" ht="12.75" hidden="1">
      <c r="A107" s="312"/>
      <c r="B107" s="313"/>
      <c r="C107" s="313"/>
      <c r="D107" s="313">
        <f t="shared" si="2"/>
        <v>0</v>
      </c>
      <c r="E107" s="313"/>
      <c r="F107" s="313"/>
      <c r="G107" s="313">
        <f t="shared" si="3"/>
        <v>0</v>
      </c>
    </row>
    <row r="108" spans="1:7" ht="12.75" hidden="1">
      <c r="A108" s="312"/>
      <c r="B108" s="313"/>
      <c r="C108" s="313"/>
      <c r="D108" s="313">
        <f t="shared" si="2"/>
        <v>0</v>
      </c>
      <c r="E108" s="313"/>
      <c r="F108" s="313"/>
      <c r="G108" s="313">
        <f t="shared" si="3"/>
        <v>0</v>
      </c>
    </row>
    <row r="109" spans="1:7" ht="12.75">
      <c r="A109" s="312" t="s">
        <v>1950</v>
      </c>
      <c r="B109" s="313">
        <v>16009</v>
      </c>
      <c r="C109" s="313">
        <v>16041</v>
      </c>
      <c r="D109" s="313">
        <f t="shared" si="2"/>
        <v>32</v>
      </c>
      <c r="E109" s="313">
        <v>10654</v>
      </c>
      <c r="F109" s="313">
        <v>5424</v>
      </c>
      <c r="G109" s="313">
        <f t="shared" si="3"/>
        <v>-5230</v>
      </c>
    </row>
    <row r="110" spans="1:7" ht="12.75">
      <c r="A110" s="314" t="s">
        <v>1951</v>
      </c>
      <c r="B110" s="313"/>
      <c r="C110" s="313">
        <v>364</v>
      </c>
      <c r="D110" s="313">
        <f t="shared" si="2"/>
        <v>364</v>
      </c>
      <c r="E110" s="313"/>
      <c r="F110" s="313"/>
      <c r="G110" s="313">
        <f t="shared" si="3"/>
        <v>0</v>
      </c>
    </row>
    <row r="111" spans="1:7" ht="12.75">
      <c r="A111" s="315"/>
      <c r="B111" s="313"/>
      <c r="C111" s="313"/>
      <c r="D111" s="313">
        <f t="shared" si="2"/>
        <v>0</v>
      </c>
      <c r="E111" s="313"/>
      <c r="F111" s="313"/>
      <c r="G111" s="313">
        <f t="shared" si="3"/>
        <v>0</v>
      </c>
    </row>
    <row r="112" spans="1:7" ht="12.75">
      <c r="A112" s="312" t="s">
        <v>1952</v>
      </c>
      <c r="B112" s="313"/>
      <c r="C112" s="313">
        <v>10</v>
      </c>
      <c r="D112" s="313">
        <f t="shared" si="2"/>
        <v>10</v>
      </c>
      <c r="E112" s="313">
        <v>17088</v>
      </c>
      <c r="F112" s="313">
        <v>12702</v>
      </c>
      <c r="G112" s="313">
        <f t="shared" si="3"/>
        <v>-4386</v>
      </c>
    </row>
    <row r="113" spans="1:7" ht="12.75">
      <c r="A113" s="312"/>
      <c r="B113" s="313"/>
      <c r="C113" s="313"/>
      <c r="D113" s="313">
        <f t="shared" si="2"/>
        <v>0</v>
      </c>
      <c r="E113" s="313"/>
      <c r="F113" s="313"/>
      <c r="G113" s="313">
        <f t="shared" si="3"/>
        <v>0</v>
      </c>
    </row>
    <row r="114" spans="1:7" ht="12.75">
      <c r="A114" s="322" t="s">
        <v>1953</v>
      </c>
      <c r="B114" s="313"/>
      <c r="C114" s="313"/>
      <c r="D114" s="313"/>
      <c r="E114" s="313"/>
      <c r="F114" s="313"/>
      <c r="G114" s="313"/>
    </row>
    <row r="115" spans="1:7" ht="12.75">
      <c r="A115" s="322" t="s">
        <v>1954</v>
      </c>
      <c r="B115" s="313"/>
      <c r="C115" s="313"/>
      <c r="D115" s="313"/>
      <c r="E115" s="313"/>
      <c r="F115" s="313"/>
      <c r="G115" s="313"/>
    </row>
    <row r="116" spans="1:7" ht="12.75">
      <c r="A116" s="322" t="s">
        <v>1955</v>
      </c>
      <c r="B116" s="313">
        <v>28787</v>
      </c>
      <c r="C116" s="313">
        <v>175887</v>
      </c>
      <c r="D116" s="313">
        <f t="shared" si="2"/>
        <v>147100</v>
      </c>
      <c r="E116" s="313">
        <v>61313</v>
      </c>
      <c r="F116" s="313">
        <v>259735</v>
      </c>
      <c r="G116" s="313">
        <f t="shared" si="3"/>
        <v>198422</v>
      </c>
    </row>
    <row r="117" spans="1:7" ht="12.75">
      <c r="A117" s="320"/>
      <c r="B117" s="313"/>
      <c r="C117" s="313"/>
      <c r="D117" s="313">
        <f t="shared" si="2"/>
        <v>0</v>
      </c>
      <c r="E117" s="313"/>
      <c r="F117" s="313"/>
      <c r="G117" s="313">
        <f t="shared" si="3"/>
        <v>0</v>
      </c>
    </row>
    <row r="118" spans="1:7" ht="25.5">
      <c r="A118" s="322" t="s">
        <v>1956</v>
      </c>
      <c r="B118" s="313"/>
      <c r="C118" s="313"/>
      <c r="D118" s="313"/>
      <c r="E118" s="313"/>
      <c r="F118" s="313"/>
      <c r="G118" s="313"/>
    </row>
    <row r="119" spans="1:7" ht="25.5">
      <c r="A119" s="322" t="s">
        <v>1957</v>
      </c>
      <c r="B119" s="313">
        <v>51556</v>
      </c>
      <c r="C119" s="313">
        <v>272776</v>
      </c>
      <c r="D119" s="313">
        <f t="shared" si="2"/>
        <v>221220</v>
      </c>
      <c r="E119" s="313">
        <v>8118</v>
      </c>
      <c r="F119" s="313">
        <v>13036</v>
      </c>
      <c r="G119" s="313">
        <f t="shared" si="3"/>
        <v>4918</v>
      </c>
    </row>
    <row r="120" spans="1:7" ht="12.75">
      <c r="A120" s="314" t="s">
        <v>1951</v>
      </c>
      <c r="B120" s="321">
        <v>853</v>
      </c>
      <c r="C120" s="313"/>
      <c r="D120" s="313">
        <f t="shared" si="2"/>
        <v>-853</v>
      </c>
      <c r="E120" s="321"/>
      <c r="F120" s="321">
        <v>117</v>
      </c>
      <c r="G120" s="313">
        <f t="shared" si="3"/>
        <v>117</v>
      </c>
    </row>
    <row r="121" spans="1:7" s="3" customFormat="1" ht="12.75" customHeight="1">
      <c r="A121" s="105"/>
      <c r="B121" s="323"/>
      <c r="C121" s="323"/>
      <c r="D121" s="323"/>
      <c r="E121" s="323"/>
      <c r="F121" s="323"/>
      <c r="G121" s="323"/>
    </row>
    <row r="122" spans="1:7" s="85" customFormat="1" ht="12.75">
      <c r="A122" s="324" t="s">
        <v>1958</v>
      </c>
      <c r="B122" s="325">
        <f aca="true" t="shared" si="4" ref="B122:G122">B10+B12+B16+B18+B24+B26+B29+B34+B40+B46+B52+B55+B61+B67+B72+B78+B84+B88+B91+B93+B98+B100+B105+B109+B112+B116+B119</f>
        <v>22668982</v>
      </c>
      <c r="C122" s="325">
        <f t="shared" si="4"/>
        <v>25919136</v>
      </c>
      <c r="D122" s="325">
        <f t="shared" si="4"/>
        <v>3250154</v>
      </c>
      <c r="E122" s="325">
        <f t="shared" si="4"/>
        <v>122581167</v>
      </c>
      <c r="F122" s="325">
        <f t="shared" si="4"/>
        <v>154180615</v>
      </c>
      <c r="G122" s="325">
        <f t="shared" si="4"/>
        <v>31599448</v>
      </c>
    </row>
    <row r="123" spans="1:7" s="3" customFormat="1" ht="12.75">
      <c r="A123" s="326" t="s">
        <v>1959</v>
      </c>
      <c r="B123" s="105"/>
      <c r="C123" s="105"/>
      <c r="D123" s="105"/>
      <c r="E123" s="105"/>
      <c r="F123" s="105"/>
      <c r="G123" s="105"/>
    </row>
    <row r="124" spans="1:7" s="3" customFormat="1" ht="12" customHeight="1">
      <c r="A124" s="326" t="s">
        <v>1960</v>
      </c>
      <c r="B124" s="325">
        <f>B20+B36+B42+B48+B57+B74+B80</f>
        <v>21669</v>
      </c>
      <c r="C124" s="325">
        <f>C20+C31++C42+C48+C57+C74+C95+C36+C80</f>
        <v>18092</v>
      </c>
      <c r="D124" s="325">
        <f>D20+D31++D42+D48+D57+D74+D95+D36+D80</f>
        <v>-77138</v>
      </c>
      <c r="E124" s="325">
        <f>E20+E31+E36+E42+E48+E57+E74+E95+E80</f>
        <v>158068</v>
      </c>
      <c r="F124" s="325">
        <f>F20+F31+F36+F42+F48+F57+F74+F95</f>
        <v>79355</v>
      </c>
      <c r="G124" s="325">
        <f>G20+G31+G36+G42+G48+G57+G74+G95+G80</f>
        <v>-78713</v>
      </c>
    </row>
    <row r="125" spans="1:7" s="3" customFormat="1" ht="1.5" customHeight="1" hidden="1">
      <c r="A125" s="326"/>
      <c r="B125" s="325">
        <f>B21+B37+B43+B49+B58+B75</f>
        <v>0</v>
      </c>
      <c r="C125" s="325">
        <f>C21+C37+C43+C49+C58+C75</f>
        <v>0</v>
      </c>
      <c r="D125" s="325">
        <f>D21+D37+D43+D49+D58+D75</f>
        <v>0</v>
      </c>
      <c r="E125" s="325">
        <f>E21+E37+E43+E49+E58+E75+E81</f>
        <v>0</v>
      </c>
      <c r="F125" s="325">
        <f>F21+F37+F43+F49+F58+F75+F81</f>
        <v>0</v>
      </c>
      <c r="G125" s="325">
        <f>G21+G37+G43+G49+G58+G75</f>
        <v>0</v>
      </c>
    </row>
    <row r="126" spans="1:7" s="3" customFormat="1" ht="12.75">
      <c r="A126" s="326" t="s">
        <v>1931</v>
      </c>
      <c r="B126" s="325">
        <f>B22+B38+B44+B50+B59+B70+B76+B96+B103+B89+B27+B32+B65+B82</f>
        <v>444535</v>
      </c>
      <c r="C126" s="325">
        <f>C22+C38+C44+C50+C59+C70+C76+C96+C32+C65+C82+C120</f>
        <v>550292</v>
      </c>
      <c r="D126" s="325">
        <f>D22+D32+D38+D44+D50+D59+D70+D76+D103+D89+D27+D65+D82+D120</f>
        <v>105355</v>
      </c>
      <c r="E126" s="325">
        <f>E22+E32+E38+E44+E50+E59+E70+E76+E96+E27+E89+E82</f>
        <v>555909</v>
      </c>
      <c r="F126" s="325">
        <f>F22+F32+F38+F44+F50+F59+F70+F76+F96+F65+F82</f>
        <v>481127</v>
      </c>
      <c r="G126" s="325">
        <f>G22+G32+G38+G44+G50+G59+G70+G76+G96+G89+G27+G65+G82</f>
        <v>-228043</v>
      </c>
    </row>
    <row r="127" spans="2:7" ht="12.75">
      <c r="B127" s="323"/>
      <c r="C127" s="323"/>
      <c r="D127" s="323"/>
      <c r="E127" s="323"/>
      <c r="F127" s="323"/>
      <c r="G127" s="323"/>
    </row>
    <row r="129" ht="12.75">
      <c r="A129" s="105" t="s">
        <v>1961</v>
      </c>
    </row>
    <row r="130" spans="1:7" ht="66" customHeight="1">
      <c r="A130" s="327" t="s">
        <v>264</v>
      </c>
      <c r="G130" s="327" t="s">
        <v>265</v>
      </c>
    </row>
    <row r="131" s="327" customFormat="1" ht="14.25"/>
    <row r="134" spans="1:5" ht="14.25">
      <c r="A134" s="327"/>
      <c r="B134" s="327"/>
      <c r="C134" s="327"/>
      <c r="D134" s="327"/>
      <c r="E134" s="327"/>
    </row>
    <row r="135" spans="1:5" ht="14.25">
      <c r="A135" s="327"/>
      <c r="B135" s="327"/>
      <c r="C135" s="327"/>
      <c r="D135" s="327"/>
      <c r="E135" s="327"/>
    </row>
    <row r="136" s="327" customFormat="1" ht="14.25"/>
  </sheetData>
  <mergeCells count="1">
    <mergeCell ref="A4:G4"/>
  </mergeCells>
  <printOptions/>
  <pageMargins left="0.76" right="0.27" top="0.51" bottom="0.98" header="0.25" footer="0.2"/>
  <pageSetup fitToHeight="3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B1">
      <selection activeCell="B3" sqref="B3:I3"/>
    </sheetView>
  </sheetViews>
  <sheetFormatPr defaultColWidth="9.140625" defaultRowHeight="12.75"/>
  <cols>
    <col min="1" max="1" width="0" style="0" hidden="1" customWidth="1"/>
    <col min="2" max="2" width="7.00390625" style="35" customWidth="1"/>
    <col min="3" max="3" width="17.8515625" style="35" customWidth="1"/>
    <col min="4" max="4" width="12.00390625" style="35" customWidth="1"/>
    <col min="5" max="5" width="12.28125" style="35" customWidth="1"/>
    <col min="6" max="6" width="10.00390625" style="35" customWidth="1"/>
    <col min="7" max="7" width="12.00390625" style="35" customWidth="1"/>
    <col min="8" max="8" width="12.28125" style="35" customWidth="1"/>
    <col min="9" max="9" width="10.7109375" style="35" customWidth="1"/>
  </cols>
  <sheetData>
    <row r="1" ht="12.75">
      <c r="I1" s="36" t="s">
        <v>1962</v>
      </c>
    </row>
    <row r="2" ht="21.75" customHeight="1"/>
    <row r="3" spans="1:9" ht="39.75" customHeight="1">
      <c r="A3" s="328" t="s">
        <v>1963</v>
      </c>
      <c r="B3" s="497" t="s">
        <v>1964</v>
      </c>
      <c r="C3" s="497"/>
      <c r="D3" s="497"/>
      <c r="E3" s="497"/>
      <c r="F3" s="497"/>
      <c r="G3" s="497"/>
      <c r="H3" s="497"/>
      <c r="I3" s="497"/>
    </row>
    <row r="4" ht="24.75" customHeight="1">
      <c r="I4" s="41" t="s">
        <v>199</v>
      </c>
    </row>
    <row r="5" spans="1:9" s="331" customFormat="1" ht="12.75">
      <c r="A5" s="329"/>
      <c r="B5" s="330"/>
      <c r="C5" s="330"/>
      <c r="D5" s="498" t="s">
        <v>1912</v>
      </c>
      <c r="E5" s="498"/>
      <c r="F5" s="498"/>
      <c r="G5" s="498" t="s">
        <v>1913</v>
      </c>
      <c r="H5" s="498"/>
      <c r="I5" s="498"/>
    </row>
    <row r="6" spans="1:9" s="333" customFormat="1" ht="38.25">
      <c r="A6" s="332"/>
      <c r="B6" s="75" t="s">
        <v>1965</v>
      </c>
      <c r="C6" s="75" t="s">
        <v>1966</v>
      </c>
      <c r="D6" s="75" t="s">
        <v>1967</v>
      </c>
      <c r="E6" s="75" t="s">
        <v>1968</v>
      </c>
      <c r="F6" s="75" t="s">
        <v>1969</v>
      </c>
      <c r="G6" s="75" t="s">
        <v>1967</v>
      </c>
      <c r="H6" s="75" t="s">
        <v>1968</v>
      </c>
      <c r="I6" s="75" t="s">
        <v>1970</v>
      </c>
    </row>
    <row r="7" spans="1:9" ht="12.75">
      <c r="A7" s="334"/>
      <c r="B7" s="335">
        <v>1</v>
      </c>
      <c r="C7" s="335">
        <v>2</v>
      </c>
      <c r="D7" s="335">
        <v>3</v>
      </c>
      <c r="E7" s="335">
        <v>4</v>
      </c>
      <c r="F7" s="335">
        <v>5</v>
      </c>
      <c r="G7" s="335">
        <v>6</v>
      </c>
      <c r="H7" s="335">
        <v>7</v>
      </c>
      <c r="I7" s="335">
        <v>8</v>
      </c>
    </row>
    <row r="8" spans="1:9" ht="12.75">
      <c r="A8" s="336"/>
      <c r="B8" s="337"/>
      <c r="C8" s="337"/>
      <c r="D8" s="337"/>
      <c r="E8" s="337"/>
      <c r="F8" s="337"/>
      <c r="G8" s="337"/>
      <c r="H8" s="337"/>
      <c r="I8" s="337"/>
    </row>
    <row r="9" spans="1:9" ht="12.75">
      <c r="A9" t="s">
        <v>1971</v>
      </c>
      <c r="B9" s="35" t="s">
        <v>1972</v>
      </c>
      <c r="C9" s="35" t="s">
        <v>1973</v>
      </c>
      <c r="D9" s="35">
        <v>1689918</v>
      </c>
      <c r="E9" s="35">
        <v>38684757</v>
      </c>
      <c r="F9" s="35">
        <v>36994839</v>
      </c>
      <c r="G9" s="35">
        <v>24137086</v>
      </c>
      <c r="H9" s="35">
        <v>46317616</v>
      </c>
      <c r="I9" s="35">
        <v>22180530</v>
      </c>
    </row>
    <row r="10" spans="1:9" ht="12.75">
      <c r="A10" t="s">
        <v>1974</v>
      </c>
      <c r="B10" s="35" t="s">
        <v>1975</v>
      </c>
      <c r="C10" s="35" t="s">
        <v>1976</v>
      </c>
      <c r="D10" s="35">
        <v>877525</v>
      </c>
      <c r="E10" s="35">
        <v>784938</v>
      </c>
      <c r="F10" s="35">
        <v>-92587</v>
      </c>
      <c r="G10" s="35">
        <v>4192527</v>
      </c>
      <c r="H10" s="35">
        <v>4479538</v>
      </c>
      <c r="I10" s="35">
        <v>287011</v>
      </c>
    </row>
    <row r="11" spans="1:9" ht="12.75">
      <c r="A11" t="s">
        <v>1977</v>
      </c>
      <c r="B11" s="35" t="s">
        <v>1978</v>
      </c>
      <c r="C11" s="35" t="s">
        <v>1979</v>
      </c>
      <c r="D11" s="35">
        <v>571229</v>
      </c>
      <c r="E11" s="35">
        <v>969574</v>
      </c>
      <c r="F11" s="35">
        <v>398345</v>
      </c>
      <c r="G11" s="35">
        <v>9294301</v>
      </c>
      <c r="H11" s="35">
        <v>8928477</v>
      </c>
      <c r="I11" s="35">
        <v>-365824</v>
      </c>
    </row>
    <row r="12" spans="1:9" ht="12.75">
      <c r="A12" t="s">
        <v>1980</v>
      </c>
      <c r="B12" s="35" t="s">
        <v>1981</v>
      </c>
      <c r="C12" s="35" t="s">
        <v>1982</v>
      </c>
      <c r="D12" s="35">
        <v>263050</v>
      </c>
      <c r="E12" s="35">
        <v>784279</v>
      </c>
      <c r="F12" s="35">
        <v>521229</v>
      </c>
      <c r="G12" s="35">
        <v>15294950</v>
      </c>
      <c r="H12" s="35">
        <v>3649943</v>
      </c>
      <c r="I12" s="35">
        <v>-11645007</v>
      </c>
    </row>
    <row r="13" spans="1:9" ht="12.75">
      <c r="A13" t="s">
        <v>1983</v>
      </c>
      <c r="B13" s="35" t="s">
        <v>1984</v>
      </c>
      <c r="C13" s="35" t="s">
        <v>1985</v>
      </c>
      <c r="D13" s="35">
        <v>1034777</v>
      </c>
      <c r="E13" s="35">
        <v>736733</v>
      </c>
      <c r="F13" s="35">
        <v>-298044</v>
      </c>
      <c r="G13" s="35">
        <v>535817</v>
      </c>
      <c r="H13" s="35">
        <v>1389885</v>
      </c>
      <c r="I13" s="35">
        <v>854068</v>
      </c>
    </row>
    <row r="14" spans="1:9" ht="12.75">
      <c r="A14" t="s">
        <v>1986</v>
      </c>
      <c r="B14" s="35" t="s">
        <v>1987</v>
      </c>
      <c r="C14" s="35" t="s">
        <v>1988</v>
      </c>
      <c r="D14" s="35">
        <v>16771</v>
      </c>
      <c r="E14" s="35">
        <v>66830</v>
      </c>
      <c r="F14" s="35">
        <v>50059</v>
      </c>
      <c r="G14" s="35">
        <v>486978</v>
      </c>
      <c r="H14" s="35">
        <v>496682</v>
      </c>
      <c r="I14" s="35">
        <v>9704</v>
      </c>
    </row>
    <row r="15" spans="1:9" ht="12.75">
      <c r="A15" t="s">
        <v>1989</v>
      </c>
      <c r="B15" s="35" t="s">
        <v>1990</v>
      </c>
      <c r="C15" s="35" t="s">
        <v>1991</v>
      </c>
      <c r="D15" s="35">
        <v>8303005</v>
      </c>
      <c r="E15" s="35">
        <v>6713558</v>
      </c>
      <c r="F15" s="35">
        <v>-1589447</v>
      </c>
      <c r="G15" s="35">
        <v>174795</v>
      </c>
      <c r="H15" s="35">
        <v>243311</v>
      </c>
      <c r="I15" s="35">
        <v>68516</v>
      </c>
    </row>
    <row r="16" spans="1:9" ht="20.25" customHeight="1">
      <c r="A16" s="338" t="s">
        <v>1992</v>
      </c>
      <c r="B16" s="339" t="s">
        <v>281</v>
      </c>
      <c r="C16" s="339" t="s">
        <v>1993</v>
      </c>
      <c r="D16" s="339">
        <f aca="true" t="shared" si="0" ref="D16:I16">SUM(D9:D15)</f>
        <v>12756275</v>
      </c>
      <c r="E16" s="339">
        <f t="shared" si="0"/>
        <v>48740669</v>
      </c>
      <c r="F16" s="339">
        <f t="shared" si="0"/>
        <v>35984394</v>
      </c>
      <c r="G16" s="339">
        <f t="shared" si="0"/>
        <v>54116454</v>
      </c>
      <c r="H16" s="339">
        <f t="shared" si="0"/>
        <v>65505452</v>
      </c>
      <c r="I16" s="339">
        <f t="shared" si="0"/>
        <v>11388998</v>
      </c>
    </row>
    <row r="17" spans="1:9" ht="18" customHeight="1">
      <c r="A17" s="338"/>
      <c r="B17" s="339"/>
      <c r="C17" s="339"/>
      <c r="D17" s="339"/>
      <c r="E17" s="339"/>
      <c r="F17" s="339"/>
      <c r="G17" s="339"/>
      <c r="H17" s="339"/>
      <c r="I17" s="339"/>
    </row>
    <row r="18" spans="1:9" ht="12.75">
      <c r="A18" t="s">
        <v>1994</v>
      </c>
      <c r="B18" s="35" t="s">
        <v>1995</v>
      </c>
      <c r="C18" s="35" t="s">
        <v>1996</v>
      </c>
      <c r="D18" s="35">
        <v>258068</v>
      </c>
      <c r="E18" s="35">
        <v>224757</v>
      </c>
      <c r="F18" s="35">
        <v>-33311</v>
      </c>
      <c r="G18" s="35">
        <v>1286133</v>
      </c>
      <c r="H18" s="35">
        <v>1527577</v>
      </c>
      <c r="I18" s="35">
        <v>241444</v>
      </c>
    </row>
    <row r="19" spans="1:9" ht="12.75">
      <c r="A19" t="s">
        <v>1997</v>
      </c>
      <c r="B19" s="35" t="s">
        <v>1998</v>
      </c>
      <c r="C19" s="35" t="s">
        <v>1999</v>
      </c>
      <c r="D19" s="35">
        <v>189646</v>
      </c>
      <c r="E19" s="35">
        <v>298461</v>
      </c>
      <c r="F19" s="35">
        <v>108815</v>
      </c>
      <c r="G19" s="35">
        <v>568648</v>
      </c>
      <c r="H19" s="35">
        <v>733422</v>
      </c>
      <c r="I19" s="35">
        <v>164774</v>
      </c>
    </row>
    <row r="20" spans="1:9" ht="12.75">
      <c r="A20" t="s">
        <v>2000</v>
      </c>
      <c r="B20" s="35" t="s">
        <v>2001</v>
      </c>
      <c r="C20" s="35" t="s">
        <v>2002</v>
      </c>
      <c r="D20" s="35">
        <v>278229</v>
      </c>
      <c r="E20" s="35">
        <v>177468</v>
      </c>
      <c r="F20" s="35">
        <v>-100761</v>
      </c>
      <c r="G20" s="35">
        <v>511064</v>
      </c>
      <c r="H20" s="35">
        <v>1036060</v>
      </c>
      <c r="I20" s="35">
        <v>524996</v>
      </c>
    </row>
    <row r="21" spans="1:9" ht="12.75">
      <c r="A21" t="s">
        <v>2003</v>
      </c>
      <c r="B21" s="35" t="s">
        <v>2004</v>
      </c>
      <c r="C21" s="35" t="s">
        <v>2005</v>
      </c>
      <c r="D21" s="35">
        <v>340704</v>
      </c>
      <c r="E21" s="35">
        <v>647215</v>
      </c>
      <c r="F21" s="35">
        <v>306511</v>
      </c>
      <c r="G21" s="35">
        <v>918040</v>
      </c>
      <c r="H21" s="35">
        <v>1292428</v>
      </c>
      <c r="I21" s="35">
        <v>374388</v>
      </c>
    </row>
    <row r="22" spans="1:9" ht="12.75">
      <c r="A22" t="s">
        <v>2006</v>
      </c>
      <c r="B22" s="35" t="s">
        <v>2007</v>
      </c>
      <c r="C22" s="35" t="s">
        <v>2008</v>
      </c>
      <c r="D22" s="35">
        <v>1077705</v>
      </c>
      <c r="E22" s="35">
        <v>978775</v>
      </c>
      <c r="F22" s="35">
        <v>-98930</v>
      </c>
      <c r="G22" s="35">
        <v>1328737</v>
      </c>
      <c r="H22" s="35">
        <v>1670810</v>
      </c>
      <c r="I22" s="35">
        <v>342073</v>
      </c>
    </row>
    <row r="23" spans="1:9" ht="12.75">
      <c r="A23" t="s">
        <v>2009</v>
      </c>
      <c r="B23" s="35" t="s">
        <v>2010</v>
      </c>
      <c r="C23" s="35" t="s">
        <v>2011</v>
      </c>
      <c r="D23" s="35">
        <v>437445</v>
      </c>
      <c r="E23" s="35">
        <v>407765</v>
      </c>
      <c r="F23" s="35">
        <v>-29680</v>
      </c>
      <c r="G23" s="35">
        <v>1249349</v>
      </c>
      <c r="H23" s="35">
        <v>1557779</v>
      </c>
      <c r="I23" s="35">
        <v>308430</v>
      </c>
    </row>
    <row r="24" spans="1:9" ht="12.75">
      <c r="A24" t="s">
        <v>2012</v>
      </c>
      <c r="B24" s="35" t="s">
        <v>2013</v>
      </c>
      <c r="C24" s="35" t="s">
        <v>2014</v>
      </c>
      <c r="D24" s="35">
        <v>298170</v>
      </c>
      <c r="E24" s="35">
        <v>321910</v>
      </c>
      <c r="F24" s="35">
        <v>23740</v>
      </c>
      <c r="G24" s="35">
        <v>749409</v>
      </c>
      <c r="H24" s="35">
        <v>726329</v>
      </c>
      <c r="I24" s="35">
        <v>-23080</v>
      </c>
    </row>
    <row r="25" spans="1:9" ht="12.75">
      <c r="A25" t="s">
        <v>2015</v>
      </c>
      <c r="B25" s="35" t="s">
        <v>2016</v>
      </c>
      <c r="C25" s="35" t="s">
        <v>2017</v>
      </c>
      <c r="D25" s="35">
        <v>369474</v>
      </c>
      <c r="E25" s="35">
        <v>806320</v>
      </c>
      <c r="F25" s="35">
        <v>436846</v>
      </c>
      <c r="G25" s="35">
        <v>1530229</v>
      </c>
      <c r="H25" s="35">
        <v>1619193</v>
      </c>
      <c r="I25" s="35">
        <v>88964</v>
      </c>
    </row>
    <row r="26" spans="1:9" ht="12.75">
      <c r="A26" t="s">
        <v>2018</v>
      </c>
      <c r="B26" s="35" t="s">
        <v>2019</v>
      </c>
      <c r="C26" s="35" t="s">
        <v>2020</v>
      </c>
      <c r="D26" s="35">
        <v>643792</v>
      </c>
      <c r="E26" s="35">
        <v>514555</v>
      </c>
      <c r="F26" s="35">
        <v>-129237</v>
      </c>
      <c r="G26" s="35">
        <v>891065</v>
      </c>
      <c r="H26" s="35">
        <v>996552</v>
      </c>
      <c r="I26" s="35">
        <v>105487</v>
      </c>
    </row>
    <row r="27" spans="1:9" ht="12.75">
      <c r="A27" t="s">
        <v>2021</v>
      </c>
      <c r="B27" s="35" t="s">
        <v>2022</v>
      </c>
      <c r="C27" s="35" t="s">
        <v>2023</v>
      </c>
      <c r="D27" s="35">
        <v>836232</v>
      </c>
      <c r="E27" s="35">
        <v>1228645</v>
      </c>
      <c r="F27" s="35">
        <v>392413</v>
      </c>
      <c r="G27" s="35">
        <v>1795955</v>
      </c>
      <c r="H27" s="35">
        <v>2145566</v>
      </c>
      <c r="I27" s="35">
        <v>349611</v>
      </c>
    </row>
    <row r="28" spans="1:9" ht="12.75">
      <c r="A28" t="s">
        <v>2024</v>
      </c>
      <c r="B28" s="35" t="s">
        <v>2025</v>
      </c>
      <c r="C28" s="35" t="s">
        <v>2026</v>
      </c>
      <c r="D28" s="35">
        <v>254895</v>
      </c>
      <c r="E28" s="35">
        <v>180754</v>
      </c>
      <c r="F28" s="35">
        <v>-74141</v>
      </c>
      <c r="G28" s="35">
        <v>915249</v>
      </c>
      <c r="H28" s="35">
        <v>884118</v>
      </c>
      <c r="I28" s="35">
        <v>-31131</v>
      </c>
    </row>
    <row r="29" spans="1:9" ht="12.75">
      <c r="A29" t="s">
        <v>2027</v>
      </c>
      <c r="B29" s="35" t="s">
        <v>2028</v>
      </c>
      <c r="C29" s="35" t="s">
        <v>2029</v>
      </c>
      <c r="D29" s="35">
        <v>503372</v>
      </c>
      <c r="E29" s="35">
        <v>419328</v>
      </c>
      <c r="F29" s="35">
        <v>-84044</v>
      </c>
      <c r="G29" s="35">
        <v>803023</v>
      </c>
      <c r="H29" s="35">
        <v>1338705</v>
      </c>
      <c r="I29" s="35">
        <v>535682</v>
      </c>
    </row>
    <row r="30" spans="1:9" ht="12.75">
      <c r="A30" t="s">
        <v>2030</v>
      </c>
      <c r="B30" s="35" t="s">
        <v>2031</v>
      </c>
      <c r="C30" s="35" t="s">
        <v>2032</v>
      </c>
      <c r="D30" s="35">
        <v>293770</v>
      </c>
      <c r="E30" s="35">
        <v>617800</v>
      </c>
      <c r="F30" s="35">
        <v>324030</v>
      </c>
      <c r="G30" s="35">
        <v>1060535</v>
      </c>
      <c r="H30" s="35">
        <v>1322184</v>
      </c>
      <c r="I30" s="35">
        <v>261649</v>
      </c>
    </row>
    <row r="31" spans="1:9" ht="12.75">
      <c r="A31" t="s">
        <v>2033</v>
      </c>
      <c r="B31" s="35" t="s">
        <v>2034</v>
      </c>
      <c r="C31" s="35" t="s">
        <v>2035</v>
      </c>
      <c r="D31" s="35">
        <v>306398</v>
      </c>
      <c r="E31" s="35">
        <v>617305</v>
      </c>
      <c r="F31" s="35">
        <v>310907</v>
      </c>
      <c r="G31" s="35">
        <v>1776904</v>
      </c>
      <c r="H31" s="35">
        <v>2543070</v>
      </c>
      <c r="I31" s="35">
        <v>766166</v>
      </c>
    </row>
    <row r="32" spans="1:9" ht="12.75">
      <c r="A32" t="s">
        <v>2036</v>
      </c>
      <c r="B32" s="35" t="s">
        <v>2037</v>
      </c>
      <c r="C32" s="35" t="s">
        <v>2038</v>
      </c>
      <c r="D32" s="35">
        <v>409576</v>
      </c>
      <c r="E32" s="35">
        <v>329005</v>
      </c>
      <c r="F32" s="35">
        <v>-80571</v>
      </c>
      <c r="G32" s="35">
        <v>734596</v>
      </c>
      <c r="H32" s="35">
        <v>1066284</v>
      </c>
      <c r="I32" s="35">
        <v>331688</v>
      </c>
    </row>
    <row r="33" spans="1:9" ht="12.75">
      <c r="A33" t="s">
        <v>2039</v>
      </c>
      <c r="B33" s="35" t="s">
        <v>2040</v>
      </c>
      <c r="C33" s="35" t="s">
        <v>2041</v>
      </c>
      <c r="D33" s="35">
        <v>309786</v>
      </c>
      <c r="E33" s="35">
        <v>561838</v>
      </c>
      <c r="F33" s="35">
        <v>252052</v>
      </c>
      <c r="G33" s="35">
        <v>647277</v>
      </c>
      <c r="H33" s="35">
        <v>1157714</v>
      </c>
      <c r="I33" s="35">
        <v>510437</v>
      </c>
    </row>
    <row r="34" spans="1:9" ht="12.75">
      <c r="A34" t="s">
        <v>2042</v>
      </c>
      <c r="B34" s="35" t="s">
        <v>2043</v>
      </c>
      <c r="C34" s="35" t="s">
        <v>2044</v>
      </c>
      <c r="D34" s="35">
        <v>1407056</v>
      </c>
      <c r="E34" s="35">
        <v>1608630</v>
      </c>
      <c r="F34" s="35">
        <v>201574</v>
      </c>
      <c r="G34" s="35">
        <v>2990981</v>
      </c>
      <c r="H34" s="35">
        <v>3291212</v>
      </c>
      <c r="I34" s="35">
        <v>300231</v>
      </c>
    </row>
    <row r="35" spans="1:9" ht="12.75">
      <c r="A35" t="s">
        <v>2045</v>
      </c>
      <c r="B35" s="35" t="s">
        <v>2046</v>
      </c>
      <c r="C35" s="35" t="s">
        <v>2047</v>
      </c>
      <c r="D35" s="35">
        <v>784320</v>
      </c>
      <c r="E35" s="35">
        <v>601179</v>
      </c>
      <c r="F35" s="35">
        <v>-183141</v>
      </c>
      <c r="G35" s="35">
        <v>1195044</v>
      </c>
      <c r="H35" s="35">
        <v>1795826</v>
      </c>
      <c r="I35" s="35">
        <v>600782</v>
      </c>
    </row>
    <row r="36" spans="1:9" ht="12.75">
      <c r="A36" t="s">
        <v>2048</v>
      </c>
      <c r="B36" s="35" t="s">
        <v>2049</v>
      </c>
      <c r="C36" s="35" t="s">
        <v>2050</v>
      </c>
      <c r="D36" s="35">
        <v>256406</v>
      </c>
      <c r="E36" s="35">
        <v>348435</v>
      </c>
      <c r="F36" s="35">
        <v>92029</v>
      </c>
      <c r="G36" s="35">
        <v>684741</v>
      </c>
      <c r="H36" s="35">
        <v>1328039</v>
      </c>
      <c r="I36" s="35">
        <v>643298</v>
      </c>
    </row>
    <row r="37" spans="1:9" ht="12.75">
      <c r="A37" t="s">
        <v>2051</v>
      </c>
      <c r="B37" s="35" t="s">
        <v>2052</v>
      </c>
      <c r="C37" s="35" t="s">
        <v>2053</v>
      </c>
      <c r="D37" s="35">
        <v>1690318</v>
      </c>
      <c r="E37" s="35">
        <v>2192086</v>
      </c>
      <c r="F37" s="35">
        <v>501768</v>
      </c>
      <c r="G37" s="35">
        <v>4697057</v>
      </c>
      <c r="H37" s="35">
        <v>6411943</v>
      </c>
      <c r="I37" s="35">
        <v>1714886</v>
      </c>
    </row>
    <row r="38" spans="1:9" ht="12.75">
      <c r="A38" t="s">
        <v>2054</v>
      </c>
      <c r="B38" s="35" t="s">
        <v>2055</v>
      </c>
      <c r="C38" s="35" t="s">
        <v>2056</v>
      </c>
      <c r="D38" s="35">
        <v>536025</v>
      </c>
      <c r="E38" s="35">
        <v>937923</v>
      </c>
      <c r="F38" s="35">
        <v>401898</v>
      </c>
      <c r="G38" s="35">
        <v>1663426</v>
      </c>
      <c r="H38" s="35">
        <v>1775210</v>
      </c>
      <c r="I38" s="35">
        <v>111784</v>
      </c>
    </row>
    <row r="39" spans="1:9" ht="12.75">
      <c r="A39" t="s">
        <v>2057</v>
      </c>
      <c r="B39" s="35" t="s">
        <v>2058</v>
      </c>
      <c r="C39" s="35" t="s">
        <v>2059</v>
      </c>
      <c r="D39" s="35">
        <v>161067</v>
      </c>
      <c r="E39" s="35">
        <v>525543</v>
      </c>
      <c r="F39" s="35">
        <v>364476</v>
      </c>
      <c r="G39" s="35">
        <v>1378128</v>
      </c>
      <c r="H39" s="35">
        <v>1612345</v>
      </c>
      <c r="I39" s="35">
        <v>234217</v>
      </c>
    </row>
    <row r="40" spans="1:9" ht="12.75">
      <c r="A40" t="s">
        <v>2060</v>
      </c>
      <c r="B40" s="35" t="s">
        <v>2061</v>
      </c>
      <c r="C40" s="35" t="s">
        <v>2062</v>
      </c>
      <c r="D40" s="35">
        <v>606196</v>
      </c>
      <c r="E40" s="35">
        <v>566414</v>
      </c>
      <c r="F40" s="35">
        <v>-39782</v>
      </c>
      <c r="G40" s="35">
        <v>2840863</v>
      </c>
      <c r="H40" s="35">
        <v>3507704</v>
      </c>
      <c r="I40" s="35">
        <v>666841</v>
      </c>
    </row>
    <row r="41" spans="1:9" ht="12.75">
      <c r="A41" t="s">
        <v>2063</v>
      </c>
      <c r="B41" s="35" t="s">
        <v>2064</v>
      </c>
      <c r="C41" s="35" t="s">
        <v>2065</v>
      </c>
      <c r="D41" s="35">
        <v>360699</v>
      </c>
      <c r="E41" s="35">
        <v>549220</v>
      </c>
      <c r="F41" s="35">
        <v>188521</v>
      </c>
      <c r="G41" s="35">
        <v>2834685</v>
      </c>
      <c r="H41" s="35">
        <v>2752860</v>
      </c>
      <c r="I41" s="35">
        <v>-81825</v>
      </c>
    </row>
    <row r="42" spans="1:9" ht="12.75">
      <c r="A42" t="s">
        <v>2066</v>
      </c>
      <c r="B42" s="35" t="s">
        <v>2067</v>
      </c>
      <c r="C42" s="35" t="s">
        <v>2068</v>
      </c>
      <c r="D42" s="35">
        <v>1794778</v>
      </c>
      <c r="E42" s="35">
        <v>2007239</v>
      </c>
      <c r="F42" s="35">
        <v>212461</v>
      </c>
      <c r="G42" s="35">
        <v>3089751</v>
      </c>
      <c r="H42" s="35">
        <v>3710478</v>
      </c>
      <c r="I42" s="35">
        <v>620727</v>
      </c>
    </row>
    <row r="43" spans="1:9" ht="12.75">
      <c r="A43" t="s">
        <v>2069</v>
      </c>
      <c r="B43" s="35" t="s">
        <v>2070</v>
      </c>
      <c r="C43" s="35" t="s">
        <v>2071</v>
      </c>
      <c r="D43" s="35">
        <v>195233</v>
      </c>
      <c r="E43" s="35">
        <v>323478</v>
      </c>
      <c r="F43" s="35">
        <v>128245</v>
      </c>
      <c r="G43" s="35">
        <v>305885</v>
      </c>
      <c r="H43" s="35">
        <v>470860</v>
      </c>
      <c r="I43" s="35">
        <v>164975</v>
      </c>
    </row>
    <row r="44" spans="1:9" ht="21" customHeight="1">
      <c r="A44" s="338" t="s">
        <v>2072</v>
      </c>
      <c r="B44" s="339" t="s">
        <v>281</v>
      </c>
      <c r="C44" s="339" t="s">
        <v>2073</v>
      </c>
      <c r="D44" s="339">
        <f aca="true" t="shared" si="1" ref="D44:I44">SUM(D18:D43)</f>
        <v>14599360</v>
      </c>
      <c r="E44" s="339">
        <f t="shared" si="1"/>
        <v>17992048</v>
      </c>
      <c r="F44" s="339">
        <f t="shared" si="1"/>
        <v>3392688</v>
      </c>
      <c r="G44" s="339">
        <f t="shared" si="1"/>
        <v>38446774</v>
      </c>
      <c r="H44" s="339">
        <f t="shared" si="1"/>
        <v>48274268</v>
      </c>
      <c r="I44" s="339">
        <f t="shared" si="1"/>
        <v>9827494</v>
      </c>
    </row>
    <row r="45" spans="1:9" ht="13.5" customHeight="1">
      <c r="A45" s="338"/>
      <c r="B45" s="339"/>
      <c r="C45" s="339"/>
      <c r="D45" s="339"/>
      <c r="E45" s="339"/>
      <c r="F45" s="339"/>
      <c r="G45" s="339"/>
      <c r="H45" s="339"/>
      <c r="I45" s="339"/>
    </row>
    <row r="46" spans="1:9" ht="16.5" customHeight="1">
      <c r="A46" s="338" t="s">
        <v>2074</v>
      </c>
      <c r="B46" s="339" t="s">
        <v>281</v>
      </c>
      <c r="C46" s="39" t="s">
        <v>2075</v>
      </c>
      <c r="D46" s="339">
        <f aca="true" t="shared" si="2" ref="D46:I46">SUM(D44,D16)</f>
        <v>27355635</v>
      </c>
      <c r="E46" s="339">
        <f t="shared" si="2"/>
        <v>66732717</v>
      </c>
      <c r="F46" s="339">
        <f t="shared" si="2"/>
        <v>39377082</v>
      </c>
      <c r="G46" s="339">
        <f t="shared" si="2"/>
        <v>92563228</v>
      </c>
      <c r="H46" s="339">
        <f t="shared" si="2"/>
        <v>113779720</v>
      </c>
      <c r="I46" s="339">
        <f t="shared" si="2"/>
        <v>21216492</v>
      </c>
    </row>
    <row r="48" ht="18" customHeight="1">
      <c r="B48" s="35" t="s">
        <v>2076</v>
      </c>
    </row>
    <row r="49" spans="2:9" ht="66.75" customHeight="1">
      <c r="B49" s="94" t="s">
        <v>264</v>
      </c>
      <c r="I49" s="35" t="s">
        <v>265</v>
      </c>
    </row>
  </sheetData>
  <mergeCells count="3">
    <mergeCell ref="B3:I3"/>
    <mergeCell ref="D5:F5"/>
    <mergeCell ref="G5:I5"/>
  </mergeCells>
  <printOptions/>
  <pageMargins left="0.75" right="0.27" top="0.25" bottom="0.46" header="0.25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B3" sqref="B3"/>
    </sheetView>
  </sheetViews>
  <sheetFormatPr defaultColWidth="9.140625" defaultRowHeight="12.75"/>
  <cols>
    <col min="1" max="1" width="4.421875" style="340" customWidth="1"/>
    <col min="2" max="2" width="30.8515625" style="340" customWidth="1"/>
    <col min="3" max="3" width="10.140625" style="340" customWidth="1"/>
    <col min="4" max="4" width="9.57421875" style="340" customWidth="1"/>
    <col min="5" max="5" width="8.8515625" style="340" customWidth="1"/>
    <col min="6" max="6" width="9.00390625" style="340" customWidth="1"/>
    <col min="7" max="7" width="10.28125" style="340" customWidth="1"/>
    <col min="8" max="8" width="10.00390625" style="340" customWidth="1"/>
    <col min="9" max="9" width="10.8515625" style="340" customWidth="1"/>
    <col min="10" max="10" width="10.00390625" style="340" customWidth="1"/>
    <col min="11" max="11" width="10.28125" style="340" customWidth="1"/>
    <col min="12" max="13" width="10.140625" style="340" customWidth="1"/>
    <col min="14" max="16384" width="9.140625" style="340" customWidth="1"/>
  </cols>
  <sheetData>
    <row r="1" ht="15.75">
      <c r="M1" s="341" t="s">
        <v>2077</v>
      </c>
    </row>
    <row r="2" spans="1:13" ht="35.25" customHeight="1">
      <c r="A2" s="342" t="s">
        <v>2078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ht="34.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5" t="s">
        <v>199</v>
      </c>
    </row>
    <row r="4" spans="1:13" ht="22.5" customHeight="1">
      <c r="A4" s="346" t="s">
        <v>2079</v>
      </c>
      <c r="B4" s="347"/>
      <c r="C4" s="499" t="s">
        <v>2080</v>
      </c>
      <c r="D4" s="499" t="s">
        <v>2081</v>
      </c>
      <c r="E4" s="348" t="s">
        <v>2082</v>
      </c>
      <c r="F4" s="349"/>
      <c r="G4" s="349"/>
      <c r="H4" s="349"/>
      <c r="I4" s="499" t="s">
        <v>2083</v>
      </c>
      <c r="J4" s="499" t="s">
        <v>2084</v>
      </c>
      <c r="K4" s="350" t="s">
        <v>2082</v>
      </c>
      <c r="L4" s="351"/>
      <c r="M4" s="499" t="s">
        <v>2085</v>
      </c>
    </row>
    <row r="5" spans="1:13" ht="63.75">
      <c r="A5" s="352" t="s">
        <v>2086</v>
      </c>
      <c r="B5" s="352" t="s">
        <v>2087</v>
      </c>
      <c r="C5" s="502"/>
      <c r="D5" s="500"/>
      <c r="E5" s="353" t="s">
        <v>2088</v>
      </c>
      <c r="F5" s="354" t="s">
        <v>2089</v>
      </c>
      <c r="G5" s="354" t="s">
        <v>2090</v>
      </c>
      <c r="H5" s="355" t="s">
        <v>2091</v>
      </c>
      <c r="I5" s="503"/>
      <c r="J5" s="500"/>
      <c r="K5" s="357" t="s">
        <v>2092</v>
      </c>
      <c r="L5" s="358" t="s">
        <v>2093</v>
      </c>
      <c r="M5" s="500"/>
    </row>
    <row r="6" spans="1:13" ht="12.75">
      <c r="A6" s="352">
        <v>1</v>
      </c>
      <c r="B6" s="352">
        <v>2</v>
      </c>
      <c r="C6" s="359">
        <v>3</v>
      </c>
      <c r="D6" s="352">
        <v>4</v>
      </c>
      <c r="E6" s="360">
        <v>5</v>
      </c>
      <c r="F6" s="361">
        <v>6</v>
      </c>
      <c r="G6" s="362">
        <v>7</v>
      </c>
      <c r="H6" s="363">
        <v>8</v>
      </c>
      <c r="I6" s="356">
        <v>9</v>
      </c>
      <c r="J6" s="352">
        <v>10</v>
      </c>
      <c r="K6" s="364">
        <v>11</v>
      </c>
      <c r="L6" s="365">
        <v>12</v>
      </c>
      <c r="M6" s="352">
        <v>13</v>
      </c>
    </row>
    <row r="7" spans="1:13" ht="12" customHeight="1">
      <c r="A7" s="366" t="s">
        <v>2094</v>
      </c>
      <c r="B7" s="367" t="s">
        <v>2095</v>
      </c>
      <c r="C7" s="367"/>
      <c r="D7" s="367">
        <f>E7+F7+G7+H7+I7</f>
        <v>1</v>
      </c>
      <c r="E7" s="367"/>
      <c r="F7" s="367"/>
      <c r="G7" s="367"/>
      <c r="H7" s="367">
        <v>1</v>
      </c>
      <c r="I7" s="367"/>
      <c r="J7" s="367">
        <f aca="true" t="shared" si="0" ref="J7:J25">K7+L7</f>
        <v>1</v>
      </c>
      <c r="K7" s="367">
        <v>1</v>
      </c>
      <c r="L7" s="367"/>
      <c r="M7" s="367">
        <f aca="true" t="shared" si="1" ref="M7:M22">SUM(C7+D7-J7)</f>
        <v>0</v>
      </c>
    </row>
    <row r="8" spans="1:13" ht="12" customHeight="1">
      <c r="A8" s="368" t="s">
        <v>2096</v>
      </c>
      <c r="B8" s="369" t="s">
        <v>2097</v>
      </c>
      <c r="C8" s="369"/>
      <c r="D8" s="369">
        <f>E8+F8+G8+H8</f>
        <v>23458</v>
      </c>
      <c r="E8" s="369"/>
      <c r="F8" s="369"/>
      <c r="G8" s="369"/>
      <c r="H8" s="369">
        <v>23458</v>
      </c>
      <c r="I8" s="369"/>
      <c r="J8" s="369">
        <f t="shared" si="0"/>
        <v>9320</v>
      </c>
      <c r="K8" s="369">
        <v>9320</v>
      </c>
      <c r="L8" s="369"/>
      <c r="M8" s="369">
        <f t="shared" si="1"/>
        <v>14138</v>
      </c>
    </row>
    <row r="9" spans="1:13" ht="12.75">
      <c r="A9" s="368" t="s">
        <v>2098</v>
      </c>
      <c r="B9" s="369" t="s">
        <v>2099</v>
      </c>
      <c r="C9" s="369">
        <v>3391</v>
      </c>
      <c r="D9" s="369">
        <f>E9+F9+G9+H9</f>
        <v>36846</v>
      </c>
      <c r="E9" s="369"/>
      <c r="F9" s="369"/>
      <c r="G9" s="369"/>
      <c r="H9" s="369">
        <v>36846</v>
      </c>
      <c r="I9" s="369"/>
      <c r="J9" s="369">
        <f t="shared" si="0"/>
        <v>15613</v>
      </c>
      <c r="K9" s="369">
        <v>14688</v>
      </c>
      <c r="L9" s="369">
        <v>925</v>
      </c>
      <c r="M9" s="369">
        <f t="shared" si="1"/>
        <v>24624</v>
      </c>
    </row>
    <row r="10" spans="1:13" ht="12.75">
      <c r="A10" s="368" t="s">
        <v>1127</v>
      </c>
      <c r="B10" s="369" t="s">
        <v>2100</v>
      </c>
      <c r="C10" s="369">
        <v>35731</v>
      </c>
      <c r="D10" s="369">
        <f aca="true" t="shared" si="2" ref="D10:D30">E10+F10+G10+H10</f>
        <v>126734</v>
      </c>
      <c r="E10" s="369">
        <v>8494</v>
      </c>
      <c r="F10" s="369">
        <v>841</v>
      </c>
      <c r="G10" s="369">
        <v>9617</v>
      </c>
      <c r="H10" s="369">
        <v>107782</v>
      </c>
      <c r="I10" s="369">
        <v>294364</v>
      </c>
      <c r="J10" s="369">
        <f t="shared" si="0"/>
        <v>151927</v>
      </c>
      <c r="K10" s="369">
        <v>75539</v>
      </c>
      <c r="L10" s="369">
        <v>76388</v>
      </c>
      <c r="M10" s="369">
        <f t="shared" si="1"/>
        <v>10538</v>
      </c>
    </row>
    <row r="11" spans="1:13" ht="12.75">
      <c r="A11" s="368" t="s">
        <v>2101</v>
      </c>
      <c r="B11" s="369" t="s">
        <v>2102</v>
      </c>
      <c r="C11" s="369">
        <v>1273</v>
      </c>
      <c r="D11" s="369">
        <f t="shared" si="2"/>
        <v>10</v>
      </c>
      <c r="E11" s="369"/>
      <c r="F11" s="369"/>
      <c r="G11" s="369"/>
      <c r="H11" s="369">
        <v>10</v>
      </c>
      <c r="I11" s="369"/>
      <c r="J11" s="369">
        <f t="shared" si="0"/>
        <v>1283</v>
      </c>
      <c r="K11" s="369">
        <v>1283</v>
      </c>
      <c r="L11" s="369"/>
      <c r="M11" s="369">
        <f t="shared" si="1"/>
        <v>0</v>
      </c>
    </row>
    <row r="12" spans="1:13" ht="12.75">
      <c r="A12" s="368" t="s">
        <v>2103</v>
      </c>
      <c r="B12" s="369" t="s">
        <v>1305</v>
      </c>
      <c r="C12" s="369">
        <v>55700</v>
      </c>
      <c r="D12" s="369">
        <f t="shared" si="2"/>
        <v>275258</v>
      </c>
      <c r="E12" s="369"/>
      <c r="F12" s="369"/>
      <c r="G12" s="369"/>
      <c r="H12" s="369">
        <v>275258</v>
      </c>
      <c r="I12" s="369">
        <v>30624</v>
      </c>
      <c r="J12" s="369">
        <f t="shared" si="0"/>
        <v>327810</v>
      </c>
      <c r="K12" s="369">
        <v>325008</v>
      </c>
      <c r="L12" s="369">
        <v>2802</v>
      </c>
      <c r="M12" s="369">
        <f t="shared" si="1"/>
        <v>3148</v>
      </c>
    </row>
    <row r="13" spans="1:13" ht="12.75">
      <c r="A13" s="368" t="s">
        <v>2104</v>
      </c>
      <c r="B13" s="369" t="s">
        <v>2105</v>
      </c>
      <c r="C13" s="369">
        <v>159698</v>
      </c>
      <c r="D13" s="369">
        <f t="shared" si="2"/>
        <v>195585</v>
      </c>
      <c r="E13" s="369">
        <f>2538</f>
        <v>2538</v>
      </c>
      <c r="F13" s="369"/>
      <c r="G13" s="369"/>
      <c r="H13" s="369">
        <v>193047</v>
      </c>
      <c r="I13" s="369">
        <v>560732</v>
      </c>
      <c r="J13" s="369">
        <f t="shared" si="0"/>
        <v>282297</v>
      </c>
      <c r="K13" s="369">
        <v>262799</v>
      </c>
      <c r="L13" s="369">
        <v>19498</v>
      </c>
      <c r="M13" s="369">
        <f t="shared" si="1"/>
        <v>72986</v>
      </c>
    </row>
    <row r="14" spans="1:14" ht="12.75">
      <c r="A14" s="368" t="s">
        <v>2106</v>
      </c>
      <c r="B14" s="369" t="s">
        <v>690</v>
      </c>
      <c r="C14" s="369">
        <v>147624</v>
      </c>
      <c r="D14" s="369">
        <f t="shared" si="2"/>
        <v>281633</v>
      </c>
      <c r="E14" s="369">
        <v>108079</v>
      </c>
      <c r="F14" s="369">
        <v>4808</v>
      </c>
      <c r="G14" s="369">
        <v>97868</v>
      </c>
      <c r="H14" s="369">
        <v>70878</v>
      </c>
      <c r="I14" s="369">
        <v>32254</v>
      </c>
      <c r="J14" s="369">
        <f t="shared" si="0"/>
        <v>388096</v>
      </c>
      <c r="K14" s="369">
        <v>145170</v>
      </c>
      <c r="L14" s="369">
        <v>242926</v>
      </c>
      <c r="M14" s="369">
        <f t="shared" si="1"/>
        <v>41161</v>
      </c>
      <c r="N14" s="370"/>
    </row>
    <row r="15" spans="1:13" ht="12.75">
      <c r="A15" s="368" t="s">
        <v>2107</v>
      </c>
      <c r="B15" s="369" t="s">
        <v>2108</v>
      </c>
      <c r="C15" s="369">
        <v>362002</v>
      </c>
      <c r="D15" s="369">
        <f t="shared" si="2"/>
        <v>1080796</v>
      </c>
      <c r="E15" s="369">
        <v>207315</v>
      </c>
      <c r="F15" s="369">
        <v>28616</v>
      </c>
      <c r="G15" s="369">
        <v>233753</v>
      </c>
      <c r="H15" s="369">
        <v>611112</v>
      </c>
      <c r="I15" s="369">
        <v>63091</v>
      </c>
      <c r="J15" s="369">
        <f t="shared" si="0"/>
        <v>1001785</v>
      </c>
      <c r="K15" s="369">
        <v>834285</v>
      </c>
      <c r="L15" s="369">
        <v>167500</v>
      </c>
      <c r="M15" s="369">
        <f t="shared" si="1"/>
        <v>441013</v>
      </c>
    </row>
    <row r="16" spans="1:13" ht="12.75">
      <c r="A16" s="368" t="s">
        <v>2109</v>
      </c>
      <c r="B16" s="369" t="s">
        <v>2110</v>
      </c>
      <c r="C16" s="369">
        <v>1161146</v>
      </c>
      <c r="D16" s="369">
        <f t="shared" si="2"/>
        <v>2711191</v>
      </c>
      <c r="E16" s="369">
        <v>2536740</v>
      </c>
      <c r="F16" s="369">
        <v>5987</v>
      </c>
      <c r="G16" s="369">
        <v>34117</v>
      </c>
      <c r="H16" s="369">
        <v>134347</v>
      </c>
      <c r="I16" s="369">
        <v>39053</v>
      </c>
      <c r="J16" s="369">
        <f t="shared" si="0"/>
        <v>2449361</v>
      </c>
      <c r="K16" s="369">
        <v>2419368</v>
      </c>
      <c r="L16" s="369">
        <v>29993</v>
      </c>
      <c r="M16" s="369">
        <f t="shared" si="1"/>
        <v>1422976</v>
      </c>
    </row>
    <row r="17" spans="1:13" ht="12.75">
      <c r="A17" s="368" t="s">
        <v>2111</v>
      </c>
      <c r="B17" s="369" t="s">
        <v>1230</v>
      </c>
      <c r="C17" s="369">
        <v>35013</v>
      </c>
      <c r="D17" s="369">
        <f t="shared" si="2"/>
        <v>11308</v>
      </c>
      <c r="E17" s="369"/>
      <c r="F17" s="369"/>
      <c r="G17" s="369"/>
      <c r="H17" s="369">
        <v>11308</v>
      </c>
      <c r="I17" s="369"/>
      <c r="J17" s="369">
        <f t="shared" si="0"/>
        <v>46321</v>
      </c>
      <c r="K17" s="369">
        <v>36889</v>
      </c>
      <c r="L17" s="369">
        <v>9432</v>
      </c>
      <c r="M17" s="369">
        <f t="shared" si="1"/>
        <v>0</v>
      </c>
    </row>
    <row r="18" spans="1:13" ht="12.75">
      <c r="A18" s="368" t="s">
        <v>2112</v>
      </c>
      <c r="B18" s="369" t="s">
        <v>2113</v>
      </c>
      <c r="C18" s="369">
        <v>994399</v>
      </c>
      <c r="D18" s="369">
        <f t="shared" si="2"/>
        <v>802826</v>
      </c>
      <c r="E18" s="369">
        <v>379140</v>
      </c>
      <c r="F18" s="369">
        <v>32176</v>
      </c>
      <c r="G18" s="369">
        <v>12097</v>
      </c>
      <c r="H18" s="371">
        <v>379413</v>
      </c>
      <c r="I18" s="371">
        <v>26521</v>
      </c>
      <c r="J18" s="369">
        <f t="shared" si="0"/>
        <v>1483223</v>
      </c>
      <c r="K18" s="369">
        <v>783113</v>
      </c>
      <c r="L18" s="369">
        <v>700110</v>
      </c>
      <c r="M18" s="369">
        <f t="shared" si="1"/>
        <v>314002</v>
      </c>
    </row>
    <row r="19" spans="1:13" ht="12.75">
      <c r="A19" s="368" t="s">
        <v>2114</v>
      </c>
      <c r="B19" s="369" t="s">
        <v>2115</v>
      </c>
      <c r="C19" s="369">
        <v>78974</v>
      </c>
      <c r="D19" s="369">
        <f t="shared" si="2"/>
        <v>42773</v>
      </c>
      <c r="E19" s="369">
        <v>8511</v>
      </c>
      <c r="F19" s="369"/>
      <c r="G19" s="369"/>
      <c r="H19" s="369">
        <v>34262</v>
      </c>
      <c r="I19" s="369">
        <v>122239</v>
      </c>
      <c r="J19" s="369">
        <f t="shared" si="0"/>
        <v>68047</v>
      </c>
      <c r="K19" s="369">
        <v>65018</v>
      </c>
      <c r="L19" s="369">
        <v>3029</v>
      </c>
      <c r="M19" s="369">
        <f t="shared" si="1"/>
        <v>53700</v>
      </c>
    </row>
    <row r="20" spans="1:13" s="374" customFormat="1" ht="25.5">
      <c r="A20" s="372" t="s">
        <v>2116</v>
      </c>
      <c r="B20" s="373" t="s">
        <v>2117</v>
      </c>
      <c r="C20" s="369">
        <v>41132</v>
      </c>
      <c r="D20" s="369">
        <f t="shared" si="2"/>
        <v>319593</v>
      </c>
      <c r="E20" s="369">
        <v>17932</v>
      </c>
      <c r="F20" s="369"/>
      <c r="G20" s="369">
        <v>8370</v>
      </c>
      <c r="H20" s="369">
        <v>293291</v>
      </c>
      <c r="I20" s="369">
        <v>842663</v>
      </c>
      <c r="J20" s="369">
        <f t="shared" si="0"/>
        <v>158240</v>
      </c>
      <c r="K20" s="369">
        <v>137141</v>
      </c>
      <c r="L20" s="369">
        <v>21099</v>
      </c>
      <c r="M20" s="369">
        <f t="shared" si="1"/>
        <v>202485</v>
      </c>
    </row>
    <row r="21" spans="1:13" ht="12.75">
      <c r="A21" s="368" t="s">
        <v>2118</v>
      </c>
      <c r="B21" s="369" t="s">
        <v>2119</v>
      </c>
      <c r="C21" s="369">
        <v>133797</v>
      </c>
      <c r="D21" s="369">
        <f t="shared" si="2"/>
        <v>861142</v>
      </c>
      <c r="E21" s="369">
        <v>615411</v>
      </c>
      <c r="F21" s="369">
        <v>26252</v>
      </c>
      <c r="G21" s="369">
        <v>114514</v>
      </c>
      <c r="H21" s="369">
        <v>104965</v>
      </c>
      <c r="I21" s="369">
        <v>202300</v>
      </c>
      <c r="J21" s="369">
        <f t="shared" si="0"/>
        <v>769759</v>
      </c>
      <c r="K21" s="369">
        <v>669994</v>
      </c>
      <c r="L21" s="369">
        <v>99765</v>
      </c>
      <c r="M21" s="369">
        <f t="shared" si="1"/>
        <v>225180</v>
      </c>
    </row>
    <row r="22" spans="1:14" ht="12.75" hidden="1">
      <c r="A22" s="368" t="s">
        <v>2120</v>
      </c>
      <c r="B22" s="369" t="s">
        <v>2121</v>
      </c>
      <c r="C22" s="369"/>
      <c r="D22" s="369">
        <f t="shared" si="2"/>
        <v>0</v>
      </c>
      <c r="E22" s="369"/>
      <c r="F22" s="369"/>
      <c r="G22" s="369"/>
      <c r="H22" s="369"/>
      <c r="I22" s="369"/>
      <c r="J22" s="369">
        <f t="shared" si="0"/>
        <v>0</v>
      </c>
      <c r="K22" s="369"/>
      <c r="L22" s="369"/>
      <c r="M22" s="369">
        <f t="shared" si="1"/>
        <v>0</v>
      </c>
      <c r="N22" s="375"/>
    </row>
    <row r="23" spans="1:13" ht="12.75" hidden="1">
      <c r="A23" s="368" t="s">
        <v>2122</v>
      </c>
      <c r="B23" s="369" t="s">
        <v>2123</v>
      </c>
      <c r="C23" s="369"/>
      <c r="D23" s="369">
        <f t="shared" si="2"/>
        <v>0</v>
      </c>
      <c r="E23" s="369"/>
      <c r="F23" s="369"/>
      <c r="G23" s="369"/>
      <c r="H23" s="369"/>
      <c r="I23" s="369"/>
      <c r="J23" s="369">
        <f t="shared" si="0"/>
        <v>0</v>
      </c>
      <c r="K23" s="369"/>
      <c r="L23" s="369"/>
      <c r="M23" s="369"/>
    </row>
    <row r="24" spans="1:13" ht="12.75">
      <c r="A24" s="368" t="s">
        <v>2124</v>
      </c>
      <c r="B24" s="369" t="s">
        <v>2125</v>
      </c>
      <c r="C24" s="369">
        <v>647</v>
      </c>
      <c r="D24" s="369">
        <f t="shared" si="2"/>
        <v>381</v>
      </c>
      <c r="E24" s="369"/>
      <c r="F24" s="369"/>
      <c r="G24" s="369"/>
      <c r="H24" s="369">
        <v>381</v>
      </c>
      <c r="I24" s="369"/>
      <c r="J24" s="369">
        <v>0</v>
      </c>
      <c r="K24" s="369"/>
      <c r="L24" s="369"/>
      <c r="M24" s="369">
        <f>SUM(C24+D24-J24)</f>
        <v>1028</v>
      </c>
    </row>
    <row r="25" spans="1:13" ht="12.75" hidden="1">
      <c r="A25" s="368" t="s">
        <v>2126</v>
      </c>
      <c r="B25" s="369" t="s">
        <v>2127</v>
      </c>
      <c r="C25" s="369"/>
      <c r="D25" s="369">
        <f t="shared" si="2"/>
        <v>0</v>
      </c>
      <c r="E25" s="369"/>
      <c r="F25" s="369"/>
      <c r="G25" s="369"/>
      <c r="H25" s="369"/>
      <c r="I25" s="369"/>
      <c r="J25" s="369">
        <f t="shared" si="0"/>
        <v>0</v>
      </c>
      <c r="K25" s="369"/>
      <c r="L25" s="369"/>
      <c r="M25" s="369">
        <f>SUM(C25+D25-J25)</f>
        <v>0</v>
      </c>
    </row>
    <row r="26" spans="1:13" ht="12.75">
      <c r="A26" s="368" t="s">
        <v>2128</v>
      </c>
      <c r="B26" s="369" t="s">
        <v>2129</v>
      </c>
      <c r="C26" s="369">
        <v>2525</v>
      </c>
      <c r="D26" s="369">
        <f t="shared" si="2"/>
        <v>-2525</v>
      </c>
      <c r="E26" s="369"/>
      <c r="F26" s="369"/>
      <c r="G26" s="369">
        <v>-2525</v>
      </c>
      <c r="H26" s="369"/>
      <c r="I26" s="369"/>
      <c r="J26" s="369">
        <f>K26+L26</f>
        <v>0</v>
      </c>
      <c r="K26" s="369"/>
      <c r="L26" s="369"/>
      <c r="M26" s="369">
        <f>SUM(C26+D26-J26)</f>
        <v>0</v>
      </c>
    </row>
    <row r="27" spans="1:13" ht="12.75" hidden="1">
      <c r="A27" s="368" t="s">
        <v>2130</v>
      </c>
      <c r="B27" s="369" t="s">
        <v>2131</v>
      </c>
      <c r="C27" s="369"/>
      <c r="D27" s="369">
        <f t="shared" si="2"/>
        <v>0</v>
      </c>
      <c r="E27" s="369"/>
      <c r="F27" s="369"/>
      <c r="G27" s="369"/>
      <c r="H27" s="369"/>
      <c r="I27" s="369"/>
      <c r="J27" s="369">
        <f>K27+L27</f>
        <v>0</v>
      </c>
      <c r="K27" s="369"/>
      <c r="L27" s="369"/>
      <c r="M27" s="369"/>
    </row>
    <row r="28" spans="1:13" ht="12.75">
      <c r="A28" s="368" t="s">
        <v>2132</v>
      </c>
      <c r="B28" s="369" t="s">
        <v>2133</v>
      </c>
      <c r="C28" s="369">
        <v>3040</v>
      </c>
      <c r="D28" s="369">
        <f t="shared" si="2"/>
        <v>81</v>
      </c>
      <c r="E28" s="369"/>
      <c r="F28" s="369"/>
      <c r="G28" s="369"/>
      <c r="H28" s="369">
        <v>81</v>
      </c>
      <c r="I28" s="369">
        <v>9523</v>
      </c>
      <c r="J28" s="369">
        <f>K28+L28</f>
        <v>3121</v>
      </c>
      <c r="K28" s="369">
        <v>3121</v>
      </c>
      <c r="L28" s="369"/>
      <c r="M28" s="369">
        <f>SUM(C28+D28-J28)</f>
        <v>0</v>
      </c>
    </row>
    <row r="29" spans="1:13" ht="25.5">
      <c r="A29" s="376" t="s">
        <v>2134</v>
      </c>
      <c r="B29" s="377" t="s">
        <v>2135</v>
      </c>
      <c r="C29" s="369">
        <v>50280</v>
      </c>
      <c r="D29" s="369">
        <f t="shared" si="2"/>
        <v>-15183</v>
      </c>
      <c r="E29" s="369"/>
      <c r="F29" s="369"/>
      <c r="G29" s="369"/>
      <c r="H29" s="369">
        <v>-15183</v>
      </c>
      <c r="I29" s="369"/>
      <c r="J29" s="369">
        <f>K29+L29</f>
        <v>35097</v>
      </c>
      <c r="K29" s="369">
        <v>28940</v>
      </c>
      <c r="L29" s="369">
        <v>6157</v>
      </c>
      <c r="M29" s="369">
        <f>SUM(C29+D29-J29)</f>
        <v>0</v>
      </c>
    </row>
    <row r="30" spans="1:13" ht="27.75" customHeight="1">
      <c r="A30" s="378" t="s">
        <v>2136</v>
      </c>
      <c r="B30" s="373" t="s">
        <v>2137</v>
      </c>
      <c r="C30" s="369">
        <v>44515</v>
      </c>
      <c r="D30" s="369">
        <f t="shared" si="2"/>
        <v>64028</v>
      </c>
      <c r="E30" s="369"/>
      <c r="F30" s="369"/>
      <c r="G30" s="369"/>
      <c r="H30" s="369">
        <v>64028</v>
      </c>
      <c r="I30" s="369"/>
      <c r="J30" s="369">
        <f>K30+L30</f>
        <v>81846</v>
      </c>
      <c r="K30" s="369">
        <v>79201</v>
      </c>
      <c r="L30" s="369">
        <v>2645</v>
      </c>
      <c r="M30" s="369">
        <f>SUM(C30+D30-J30)</f>
        <v>26697</v>
      </c>
    </row>
    <row r="31" spans="1:13" ht="17.25" customHeight="1">
      <c r="A31" s="501" t="s">
        <v>2138</v>
      </c>
      <c r="B31" s="501"/>
      <c r="C31" s="379">
        <f>SUM(C7:C30)</f>
        <v>3310887</v>
      </c>
      <c r="D31" s="379">
        <f aca="true" t="shared" si="3" ref="D31:M31">SUM(D7:D30)</f>
        <v>6815936</v>
      </c>
      <c r="E31" s="379">
        <f t="shared" si="3"/>
        <v>3884160</v>
      </c>
      <c r="F31" s="379">
        <f t="shared" si="3"/>
        <v>98680</v>
      </c>
      <c r="G31" s="379">
        <f t="shared" si="3"/>
        <v>507811</v>
      </c>
      <c r="H31" s="379">
        <f t="shared" si="3"/>
        <v>2325285</v>
      </c>
      <c r="I31" s="379">
        <f t="shared" si="3"/>
        <v>2223364</v>
      </c>
      <c r="J31" s="379">
        <f t="shared" si="3"/>
        <v>7273147</v>
      </c>
      <c r="K31" s="379">
        <f t="shared" si="3"/>
        <v>5890878</v>
      </c>
      <c r="L31" s="379">
        <f t="shared" si="3"/>
        <v>1382269</v>
      </c>
      <c r="M31" s="379">
        <f t="shared" si="3"/>
        <v>2853676</v>
      </c>
    </row>
    <row r="32" spans="1:13" ht="12.75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</row>
    <row r="33" spans="1:13" ht="12" customHeight="1">
      <c r="A33" s="381" t="s">
        <v>2139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</row>
    <row r="34" spans="1:13" ht="12.75">
      <c r="A34" s="382" t="s">
        <v>2140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</row>
    <row r="35" spans="1:13" ht="12.75">
      <c r="A35" s="382" t="s">
        <v>2141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</row>
    <row r="36" spans="1:13" ht="12.75">
      <c r="A36" s="382" t="s">
        <v>2142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</row>
    <row r="37" spans="1:13" ht="12.75">
      <c r="A37" s="382" t="s">
        <v>2143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</row>
    <row r="38" spans="2:12" ht="36" customHeight="1">
      <c r="B38" s="383" t="s">
        <v>264</v>
      </c>
      <c r="L38" s="384" t="s">
        <v>265</v>
      </c>
    </row>
    <row r="39" spans="1:13" ht="12.75">
      <c r="A39" s="382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</row>
    <row r="40" spans="1:13" ht="12.75">
      <c r="A40" s="380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</row>
  </sheetData>
  <mergeCells count="6">
    <mergeCell ref="M4:M5"/>
    <mergeCell ref="A31:B31"/>
    <mergeCell ref="C4:C5"/>
    <mergeCell ref="D4:D5"/>
    <mergeCell ref="I4:I5"/>
    <mergeCell ref="J4:J5"/>
  </mergeCells>
  <printOptions/>
  <pageMargins left="0.25" right="0.25" top="0.37" bottom="0.26" header="0.18" footer="0.26"/>
  <pageSetup fitToHeight="1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8"/>
  <sheetViews>
    <sheetView workbookViewId="0" topLeftCell="A209">
      <selection activeCell="A199" sqref="A199:IV199"/>
    </sheetView>
  </sheetViews>
  <sheetFormatPr defaultColWidth="9.140625" defaultRowHeight="15" customHeight="1"/>
  <cols>
    <col min="1" max="1" width="43.28125" style="385" customWidth="1"/>
    <col min="2" max="3" width="13.57421875" style="385" customWidth="1"/>
    <col min="4" max="5" width="7.8515625" style="385" customWidth="1"/>
    <col min="6" max="6" width="11.57421875" style="385" customWidth="1"/>
    <col min="7" max="16384" width="7.8515625" style="385" customWidth="1"/>
  </cols>
  <sheetData>
    <row r="1" ht="15" customHeight="1">
      <c r="C1" s="386" t="s">
        <v>2144</v>
      </c>
    </row>
    <row r="3" spans="1:4" ht="15" customHeight="1">
      <c r="A3" s="504" t="s">
        <v>2145</v>
      </c>
      <c r="B3" s="504"/>
      <c r="C3" s="504"/>
      <c r="D3" s="387"/>
    </row>
    <row r="4" spans="1:4" ht="15" customHeight="1">
      <c r="A4" s="505" t="s">
        <v>2146</v>
      </c>
      <c r="B4" s="505"/>
      <c r="C4" s="505"/>
      <c r="D4" s="387"/>
    </row>
    <row r="5" spans="1:4" ht="15" customHeight="1">
      <c r="A5" s="505" t="s">
        <v>2147</v>
      </c>
      <c r="B5" s="505"/>
      <c r="C5" s="505"/>
      <c r="D5" s="387"/>
    </row>
    <row r="6" spans="1:4" ht="15" customHeight="1">
      <c r="A6" s="388"/>
      <c r="B6" s="389"/>
      <c r="C6" s="389"/>
      <c r="D6" s="388"/>
    </row>
    <row r="7" spans="1:4" ht="15" customHeight="1">
      <c r="A7" s="390" t="s">
        <v>2148</v>
      </c>
      <c r="B7" s="390" t="s">
        <v>2149</v>
      </c>
      <c r="C7" s="390" t="s">
        <v>2150</v>
      </c>
      <c r="D7" s="391"/>
    </row>
    <row r="8" spans="1:4" ht="15" customHeight="1">
      <c r="A8" s="391"/>
      <c r="B8" s="391"/>
      <c r="C8" s="391"/>
      <c r="D8" s="391"/>
    </row>
    <row r="9" spans="1:4" s="394" customFormat="1" ht="15" customHeight="1">
      <c r="A9" s="392" t="s">
        <v>2151</v>
      </c>
      <c r="B9" s="393">
        <f>SUM(B11+B18)</f>
        <v>14597437</v>
      </c>
      <c r="C9" s="392"/>
      <c r="D9" s="392"/>
    </row>
    <row r="10" spans="1:4" ht="12.75">
      <c r="A10" s="395"/>
      <c r="B10" s="395"/>
      <c r="C10" s="142"/>
      <c r="D10" s="396"/>
    </row>
    <row r="11" spans="1:4" ht="11.25">
      <c r="A11" s="397" t="s">
        <v>2152</v>
      </c>
      <c r="B11" s="144">
        <f>SUM(B13:B16)</f>
        <v>14526858</v>
      </c>
      <c r="C11" s="142"/>
      <c r="D11" s="396"/>
    </row>
    <row r="12" spans="1:4" ht="11.25">
      <c r="A12" s="397"/>
      <c r="B12" s="144"/>
      <c r="C12" s="142"/>
      <c r="D12" s="396"/>
    </row>
    <row r="13" spans="1:3" ht="11.25">
      <c r="A13" s="398" t="s">
        <v>2153</v>
      </c>
      <c r="B13" s="142">
        <v>13971974</v>
      </c>
      <c r="C13" s="142"/>
    </row>
    <row r="14" spans="1:3" ht="11.25">
      <c r="A14" s="398" t="s">
        <v>2154</v>
      </c>
      <c r="B14" s="142">
        <v>44458</v>
      </c>
      <c r="C14" s="142"/>
    </row>
    <row r="15" spans="1:3" ht="22.5">
      <c r="A15" s="398" t="s">
        <v>2155</v>
      </c>
      <c r="B15" s="142">
        <v>98133</v>
      </c>
      <c r="C15" s="142"/>
    </row>
    <row r="16" spans="1:3" ht="22.5">
      <c r="A16" s="398" t="s">
        <v>2156</v>
      </c>
      <c r="B16" s="142">
        <v>412293</v>
      </c>
      <c r="C16" s="142"/>
    </row>
    <row r="17" spans="1:3" ht="11.25">
      <c r="A17" s="398"/>
      <c r="B17" s="142"/>
      <c r="C17" s="142"/>
    </row>
    <row r="18" spans="1:3" ht="11.25">
      <c r="A18" s="397" t="s">
        <v>2157</v>
      </c>
      <c r="B18" s="144">
        <f>B21+B30+B34+B40</f>
        <v>70579</v>
      </c>
      <c r="C18" s="142"/>
    </row>
    <row r="19" spans="1:3" ht="11.25">
      <c r="A19" s="397"/>
      <c r="B19" s="144"/>
      <c r="C19" s="142"/>
    </row>
    <row r="20" spans="1:3" ht="11.25">
      <c r="A20" s="397"/>
      <c r="B20" s="144"/>
      <c r="C20" s="142"/>
    </row>
    <row r="21" spans="1:3" ht="11.25">
      <c r="A21" s="399" t="s">
        <v>1510</v>
      </c>
      <c r="B21" s="400">
        <f>SUM(B23:B28)</f>
        <v>11042</v>
      </c>
      <c r="C21" s="400"/>
    </row>
    <row r="22" spans="1:3" ht="6.75" customHeight="1">
      <c r="A22" s="399"/>
      <c r="B22" s="400"/>
      <c r="C22" s="400"/>
    </row>
    <row r="23" spans="1:3" ht="11.25">
      <c r="A23" s="398" t="s">
        <v>2158</v>
      </c>
      <c r="B23" s="142">
        <v>739</v>
      </c>
      <c r="C23" s="142"/>
    </row>
    <row r="24" spans="1:3" ht="11.25">
      <c r="A24" s="398" t="s">
        <v>2159</v>
      </c>
      <c r="B24" s="142">
        <v>741</v>
      </c>
      <c r="C24" s="142"/>
    </row>
    <row r="25" spans="1:3" ht="11.25">
      <c r="A25" s="398" t="s">
        <v>2160</v>
      </c>
      <c r="B25" s="142">
        <v>2861</v>
      </c>
      <c r="C25" s="142"/>
    </row>
    <row r="26" spans="1:3" ht="11.25">
      <c r="A26" s="398" t="s">
        <v>2161</v>
      </c>
      <c r="B26" s="142">
        <v>2470</v>
      </c>
      <c r="C26" s="142"/>
    </row>
    <row r="27" spans="1:3" ht="11.25">
      <c r="A27" s="398" t="s">
        <v>2162</v>
      </c>
      <c r="B27" s="142">
        <v>1332</v>
      </c>
      <c r="C27" s="142"/>
    </row>
    <row r="28" spans="1:3" ht="11.25">
      <c r="A28" s="398" t="s">
        <v>2163</v>
      </c>
      <c r="B28" s="142">
        <v>2899</v>
      </c>
      <c r="C28" s="142"/>
    </row>
    <row r="29" spans="1:3" ht="11.25">
      <c r="A29" s="398"/>
      <c r="B29" s="142"/>
      <c r="C29" s="142"/>
    </row>
    <row r="30" spans="1:3" ht="11.25">
      <c r="A30" s="399" t="s">
        <v>2164</v>
      </c>
      <c r="B30" s="400">
        <f>B32</f>
        <v>1284</v>
      </c>
      <c r="C30" s="142"/>
    </row>
    <row r="31" spans="1:3" ht="6.75" customHeight="1">
      <c r="A31" s="399"/>
      <c r="B31" s="400"/>
      <c r="C31" s="142"/>
    </row>
    <row r="32" spans="1:3" ht="11.25">
      <c r="A32" s="398" t="s">
        <v>2165</v>
      </c>
      <c r="B32" s="142">
        <v>1284</v>
      </c>
      <c r="C32" s="142"/>
    </row>
    <row r="33" spans="1:3" ht="11.25">
      <c r="A33" s="398"/>
      <c r="B33" s="142"/>
      <c r="C33" s="142"/>
    </row>
    <row r="34" spans="1:3" ht="11.25">
      <c r="A34" s="399" t="s">
        <v>1513</v>
      </c>
      <c r="B34" s="400">
        <f>SUM(B36:B38)</f>
        <v>11101</v>
      </c>
      <c r="C34" s="142"/>
    </row>
    <row r="35" spans="1:3" ht="6.75" customHeight="1">
      <c r="A35" s="399"/>
      <c r="B35" s="400"/>
      <c r="C35" s="142"/>
    </row>
    <row r="36" spans="1:3" ht="11.25">
      <c r="A36" s="398" t="s">
        <v>2166</v>
      </c>
      <c r="B36" s="142">
        <v>6146</v>
      </c>
      <c r="C36" s="142"/>
    </row>
    <row r="37" spans="1:3" ht="11.25">
      <c r="A37" s="398" t="s">
        <v>2167</v>
      </c>
      <c r="B37" s="142">
        <v>957</v>
      </c>
      <c r="C37" s="142"/>
    </row>
    <row r="38" spans="1:3" ht="11.25">
      <c r="A38" s="398" t="s">
        <v>2168</v>
      </c>
      <c r="B38" s="142">
        <v>3998</v>
      </c>
      <c r="C38" s="142"/>
    </row>
    <row r="39" spans="1:3" ht="11.25">
      <c r="A39" s="398"/>
      <c r="B39" s="142"/>
      <c r="C39" s="142"/>
    </row>
    <row r="40" spans="1:3" ht="15" customHeight="1">
      <c r="A40" s="399" t="s">
        <v>1506</v>
      </c>
      <c r="B40" s="400">
        <f>SUM(B42:B63)</f>
        <v>47152</v>
      </c>
      <c r="C40" s="142"/>
    </row>
    <row r="41" spans="1:3" ht="6.75" customHeight="1">
      <c r="A41" s="399"/>
      <c r="B41" s="400"/>
      <c r="C41" s="142"/>
    </row>
    <row r="42" spans="1:3" ht="11.25">
      <c r="A42" s="398" t="s">
        <v>2169</v>
      </c>
      <c r="B42" s="142">
        <v>3689</v>
      </c>
      <c r="C42" s="142"/>
    </row>
    <row r="43" spans="1:3" ht="11.25">
      <c r="A43" s="398" t="s">
        <v>2170</v>
      </c>
      <c r="B43" s="142">
        <v>3238</v>
      </c>
      <c r="C43" s="142"/>
    </row>
    <row r="44" spans="1:3" ht="11.25">
      <c r="A44" s="398" t="s">
        <v>2171</v>
      </c>
      <c r="B44" s="142">
        <v>1840</v>
      </c>
      <c r="C44" s="142"/>
    </row>
    <row r="45" spans="1:3" ht="11.25">
      <c r="A45" s="398" t="s">
        <v>2172</v>
      </c>
      <c r="B45" s="142">
        <v>3190</v>
      </c>
      <c r="C45" s="142"/>
    </row>
    <row r="46" spans="1:3" ht="11.25">
      <c r="A46" s="398" t="s">
        <v>2173</v>
      </c>
      <c r="B46" s="142">
        <v>1163</v>
      </c>
      <c r="C46" s="142"/>
    </row>
    <row r="47" spans="1:3" ht="11.25">
      <c r="A47" s="398" t="s">
        <v>2174</v>
      </c>
      <c r="B47" s="142">
        <v>1010</v>
      </c>
      <c r="C47" s="142"/>
    </row>
    <row r="48" spans="1:3" ht="11.25">
      <c r="A48" s="398" t="s">
        <v>2175</v>
      </c>
      <c r="B48" s="142">
        <v>3099</v>
      </c>
      <c r="C48" s="142"/>
    </row>
    <row r="49" spans="1:3" ht="11.25">
      <c r="A49" s="398" t="s">
        <v>2176</v>
      </c>
      <c r="B49" s="142">
        <v>3137</v>
      </c>
      <c r="C49" s="142"/>
    </row>
    <row r="50" spans="1:3" ht="11.25">
      <c r="A50" s="398" t="s">
        <v>2177</v>
      </c>
      <c r="B50" s="142">
        <v>1119</v>
      </c>
      <c r="C50" s="142"/>
    </row>
    <row r="51" spans="1:3" ht="11.25">
      <c r="A51" s="398" t="s">
        <v>2178</v>
      </c>
      <c r="B51" s="142">
        <v>2619</v>
      </c>
      <c r="C51" s="142"/>
    </row>
    <row r="52" spans="1:3" ht="11.25">
      <c r="A52" s="398" t="s">
        <v>2179</v>
      </c>
      <c r="B52" s="142">
        <v>2150</v>
      </c>
      <c r="C52" s="142"/>
    </row>
    <row r="53" spans="1:3" ht="11.25">
      <c r="A53" s="398" t="s">
        <v>2180</v>
      </c>
      <c r="B53" s="142">
        <v>288</v>
      </c>
      <c r="C53" s="142"/>
    </row>
    <row r="54" spans="1:3" ht="11.25">
      <c r="A54" s="398" t="s">
        <v>2181</v>
      </c>
      <c r="B54" s="142">
        <v>1968</v>
      </c>
      <c r="C54" s="142"/>
    </row>
    <row r="55" spans="1:3" ht="11.25">
      <c r="A55" s="398" t="s">
        <v>2182</v>
      </c>
      <c r="B55" s="142">
        <v>3824</v>
      </c>
      <c r="C55" s="142"/>
    </row>
    <row r="56" spans="1:3" ht="11.25">
      <c r="A56" s="398" t="s">
        <v>2183</v>
      </c>
      <c r="B56" s="142">
        <v>112</v>
      </c>
      <c r="C56" s="142"/>
    </row>
    <row r="57" spans="1:3" ht="11.25">
      <c r="A57" s="398" t="s">
        <v>0</v>
      </c>
      <c r="B57" s="142">
        <v>3904</v>
      </c>
      <c r="C57" s="142"/>
    </row>
    <row r="58" spans="1:3" ht="11.25">
      <c r="A58" s="398" t="s">
        <v>1</v>
      </c>
      <c r="B58" s="142">
        <v>0</v>
      </c>
      <c r="C58" s="142"/>
    </row>
    <row r="59" spans="1:3" ht="11.25">
      <c r="A59" s="398" t="s">
        <v>2</v>
      </c>
      <c r="B59" s="142">
        <v>1716</v>
      </c>
      <c r="C59" s="142"/>
    </row>
    <row r="60" spans="1:3" ht="11.25">
      <c r="A60" s="398" t="s">
        <v>3</v>
      </c>
      <c r="B60" s="142">
        <v>331</v>
      </c>
      <c r="C60" s="142"/>
    </row>
    <row r="61" spans="1:3" ht="11.25">
      <c r="A61" s="398" t="s">
        <v>4</v>
      </c>
      <c r="B61" s="142">
        <v>7521</v>
      </c>
      <c r="C61" s="142"/>
    </row>
    <row r="62" spans="1:3" ht="11.25">
      <c r="A62" s="398" t="s">
        <v>5</v>
      </c>
      <c r="B62" s="142">
        <v>1234</v>
      </c>
      <c r="C62" s="142"/>
    </row>
    <row r="63" spans="1:3" ht="11.25">
      <c r="A63" s="398"/>
      <c r="B63" s="142"/>
      <c r="C63" s="142"/>
    </row>
    <row r="64" spans="1:3" ht="11.25">
      <c r="A64" s="398"/>
      <c r="B64" s="142"/>
      <c r="C64" s="142"/>
    </row>
    <row r="65" spans="1:4" s="394" customFormat="1" ht="15" customHeight="1">
      <c r="A65" s="392" t="s">
        <v>6</v>
      </c>
      <c r="B65" s="393">
        <f>B67+B105</f>
        <v>9276007.43</v>
      </c>
      <c r="C65" s="392"/>
      <c r="D65" s="392"/>
    </row>
    <row r="66" spans="1:3" ht="11.25">
      <c r="A66" s="398"/>
      <c r="B66" s="142"/>
      <c r="C66" s="142"/>
    </row>
    <row r="67" spans="1:3" ht="11.25">
      <c r="A67" s="397" t="s">
        <v>2152</v>
      </c>
      <c r="B67" s="144">
        <f>B69+B79+B85+B97</f>
        <v>6593976.43</v>
      </c>
      <c r="C67" s="142"/>
    </row>
    <row r="68" spans="1:3" ht="11.25">
      <c r="A68" s="397"/>
      <c r="B68" s="144"/>
      <c r="C68" s="142"/>
    </row>
    <row r="69" spans="1:3" ht="11.25">
      <c r="A69" s="399" t="s">
        <v>7</v>
      </c>
      <c r="B69" s="400">
        <f>SUM(B71:B77)</f>
        <v>2633634</v>
      </c>
      <c r="C69" s="142"/>
    </row>
    <row r="70" spans="1:3" ht="6.75" customHeight="1">
      <c r="A70" s="399"/>
      <c r="B70" s="400"/>
      <c r="C70" s="142"/>
    </row>
    <row r="71" spans="1:3" ht="22.5">
      <c r="A71" s="398" t="s">
        <v>8</v>
      </c>
      <c r="B71" s="142">
        <v>136210</v>
      </c>
      <c r="C71" s="142">
        <v>222202</v>
      </c>
    </row>
    <row r="72" spans="1:3" ht="22.5">
      <c r="A72" s="398" t="s">
        <v>9</v>
      </c>
      <c r="B72" s="142">
        <v>9056</v>
      </c>
      <c r="C72" s="142">
        <v>15886</v>
      </c>
    </row>
    <row r="73" spans="1:3" ht="22.5">
      <c r="A73" s="398" t="s">
        <v>10</v>
      </c>
      <c r="B73" s="142">
        <v>1484024</v>
      </c>
      <c r="C73" s="142">
        <v>2603359</v>
      </c>
    </row>
    <row r="74" spans="1:3" ht="22.5">
      <c r="A74" s="398" t="s">
        <v>11</v>
      </c>
      <c r="B74" s="142">
        <v>570778</v>
      </c>
      <c r="C74" s="142">
        <v>1001292</v>
      </c>
    </row>
    <row r="75" spans="1:3" ht="11.25">
      <c r="A75" s="398" t="s">
        <v>12</v>
      </c>
      <c r="B75" s="142">
        <v>414383</v>
      </c>
      <c r="C75" s="142">
        <v>675992</v>
      </c>
    </row>
    <row r="76" spans="1:3" ht="11.25">
      <c r="A76" s="398" t="s">
        <v>13</v>
      </c>
      <c r="B76" s="142">
        <v>16113</v>
      </c>
      <c r="C76" s="142">
        <v>28266</v>
      </c>
    </row>
    <row r="77" spans="1:3" ht="11.25">
      <c r="A77" s="398" t="s">
        <v>14</v>
      </c>
      <c r="B77" s="142">
        <v>3070</v>
      </c>
      <c r="C77" s="142">
        <v>3839</v>
      </c>
    </row>
    <row r="78" spans="1:3" ht="11.25">
      <c r="A78" s="398"/>
      <c r="B78" s="142"/>
      <c r="C78" s="142"/>
    </row>
    <row r="79" spans="1:3" ht="11.25">
      <c r="A79" s="399" t="s">
        <v>15</v>
      </c>
      <c r="B79" s="400">
        <f>SUM(B81:B82)</f>
        <v>2500055</v>
      </c>
      <c r="C79" s="142"/>
    </row>
    <row r="80" spans="1:3" ht="6.75" customHeight="1">
      <c r="A80" s="398"/>
      <c r="B80" s="142"/>
      <c r="C80" s="142"/>
    </row>
    <row r="81" spans="1:3" ht="22.5">
      <c r="A81" s="398" t="s">
        <v>16</v>
      </c>
      <c r="B81" s="142">
        <v>745388</v>
      </c>
      <c r="C81" s="142">
        <v>1307603</v>
      </c>
    </row>
    <row r="82" spans="1:3" ht="22.5">
      <c r="A82" s="398" t="s">
        <v>17</v>
      </c>
      <c r="B82" s="142">
        <v>1754667</v>
      </c>
      <c r="C82" s="142">
        <v>2862426</v>
      </c>
    </row>
    <row r="83" spans="1:3" ht="11.25" hidden="1">
      <c r="A83" s="398" t="s">
        <v>18</v>
      </c>
      <c r="B83" s="142"/>
      <c r="C83" s="142"/>
    </row>
    <row r="84" spans="1:3" ht="11.25">
      <c r="A84" s="398"/>
      <c r="B84" s="142"/>
      <c r="C84" s="142"/>
    </row>
    <row r="85" spans="1:3" ht="11.25">
      <c r="A85" s="401" t="s">
        <v>19</v>
      </c>
      <c r="B85" s="402">
        <f>SUM(B87:B95)</f>
        <v>975063.43</v>
      </c>
      <c r="C85" s="142"/>
    </row>
    <row r="86" spans="1:3" ht="6.75" customHeight="1">
      <c r="A86" s="401"/>
      <c r="B86" s="402"/>
      <c r="C86" s="142"/>
    </row>
    <row r="87" spans="1:3" ht="11.25">
      <c r="A87" s="403" t="s">
        <v>20</v>
      </c>
      <c r="B87" s="142">
        <v>21003</v>
      </c>
      <c r="C87" s="142">
        <v>36844</v>
      </c>
    </row>
    <row r="88" spans="1:3" ht="11.25">
      <c r="A88" s="403" t="s">
        <v>21</v>
      </c>
      <c r="B88" s="142">
        <v>24584</v>
      </c>
      <c r="C88" s="142">
        <v>43127</v>
      </c>
    </row>
    <row r="89" spans="1:3" ht="11.25">
      <c r="A89" s="403" t="s">
        <v>22</v>
      </c>
      <c r="B89" s="142">
        <v>5584</v>
      </c>
      <c r="C89" s="142">
        <v>9796</v>
      </c>
    </row>
    <row r="90" spans="1:3" ht="11.25">
      <c r="A90" s="403" t="s">
        <v>23</v>
      </c>
      <c r="B90" s="142">
        <v>122293</v>
      </c>
      <c r="C90" s="142">
        <v>214534</v>
      </c>
    </row>
    <row r="91" spans="1:3" ht="11.25">
      <c r="A91" s="403" t="s">
        <v>24</v>
      </c>
      <c r="B91" s="142">
        <v>546770</v>
      </c>
      <c r="C91" s="142">
        <v>959175</v>
      </c>
    </row>
    <row r="92" spans="1:3" ht="11.25">
      <c r="A92" s="403" t="s">
        <v>25</v>
      </c>
      <c r="B92" s="142">
        <v>72433</v>
      </c>
      <c r="C92" s="142">
        <v>127066</v>
      </c>
    </row>
    <row r="93" spans="1:3" ht="11.25">
      <c r="A93" s="403" t="s">
        <v>26</v>
      </c>
      <c r="B93" s="142">
        <v>5756.43</v>
      </c>
      <c r="C93" s="142">
        <v>10098</v>
      </c>
    </row>
    <row r="94" spans="1:3" ht="11.25">
      <c r="A94" s="403" t="s">
        <v>27</v>
      </c>
      <c r="B94" s="142">
        <v>5627</v>
      </c>
      <c r="C94" s="142">
        <v>9871</v>
      </c>
    </row>
    <row r="95" spans="1:3" ht="22.5">
      <c r="A95" s="403" t="s">
        <v>28</v>
      </c>
      <c r="B95" s="142">
        <v>171013</v>
      </c>
      <c r="C95" s="142">
        <v>300000</v>
      </c>
    </row>
    <row r="96" spans="1:3" ht="11.25">
      <c r="A96" s="403"/>
      <c r="B96" s="142"/>
      <c r="C96" s="142"/>
    </row>
    <row r="97" spans="1:3" ht="11.25">
      <c r="A97" s="399" t="s">
        <v>29</v>
      </c>
      <c r="B97" s="400">
        <f>SUM(B99:B103)</f>
        <v>485224</v>
      </c>
      <c r="C97" s="142"/>
    </row>
    <row r="98" spans="1:3" ht="6.75" customHeight="1">
      <c r="A98" s="399"/>
      <c r="B98" s="400"/>
      <c r="C98" s="142"/>
    </row>
    <row r="99" spans="1:3" ht="11.25">
      <c r="A99" s="403" t="s">
        <v>30</v>
      </c>
      <c r="B99" s="142">
        <v>521</v>
      </c>
      <c r="C99" s="142">
        <v>913</v>
      </c>
    </row>
    <row r="100" spans="1:3" ht="22.5">
      <c r="A100" s="403" t="s">
        <v>31</v>
      </c>
      <c r="B100" s="142">
        <v>40</v>
      </c>
      <c r="C100" s="142">
        <v>69</v>
      </c>
    </row>
    <row r="101" spans="1:3" ht="11.25">
      <c r="A101" s="403" t="s">
        <v>32</v>
      </c>
      <c r="B101" s="142">
        <v>482014</v>
      </c>
      <c r="C101" s="142">
        <v>845577</v>
      </c>
    </row>
    <row r="102" spans="1:3" ht="11.25">
      <c r="A102" s="403" t="s">
        <v>33</v>
      </c>
      <c r="B102" s="142">
        <v>2526</v>
      </c>
      <c r="C102" s="142">
        <v>4431</v>
      </c>
    </row>
    <row r="103" spans="1:3" ht="11.25">
      <c r="A103" s="403" t="s">
        <v>34</v>
      </c>
      <c r="B103" s="142">
        <v>123</v>
      </c>
      <c r="C103" s="142">
        <v>216</v>
      </c>
    </row>
    <row r="104" spans="1:3" ht="11.25">
      <c r="A104" s="398"/>
      <c r="B104" s="142"/>
      <c r="C104" s="142"/>
    </row>
    <row r="105" spans="1:3" ht="11.25">
      <c r="A105" s="397" t="s">
        <v>35</v>
      </c>
      <c r="B105" s="144">
        <f>B107+B116+B145+B149+B158+B163+B171+B153</f>
        <v>2682031</v>
      </c>
      <c r="C105" s="404"/>
    </row>
    <row r="106" spans="1:3" ht="11.25">
      <c r="A106" s="398"/>
      <c r="B106" s="142"/>
      <c r="C106" s="404"/>
    </row>
    <row r="107" spans="1:3" ht="11.25">
      <c r="A107" s="399" t="s">
        <v>36</v>
      </c>
      <c r="B107" s="400">
        <f>SUM(B109:B114)</f>
        <v>42362</v>
      </c>
      <c r="C107" s="142"/>
    </row>
    <row r="108" spans="1:3" ht="6.75" customHeight="1">
      <c r="A108" s="399"/>
      <c r="B108" s="400"/>
      <c r="C108" s="142"/>
    </row>
    <row r="109" spans="1:3" ht="11.25">
      <c r="A109" s="398" t="s">
        <v>37</v>
      </c>
      <c r="B109" s="142">
        <v>4</v>
      </c>
      <c r="C109" s="142">
        <v>174</v>
      </c>
    </row>
    <row r="110" spans="1:3" ht="11.25">
      <c r="A110" s="398" t="s">
        <v>38</v>
      </c>
      <c r="B110" s="142">
        <v>2530</v>
      </c>
      <c r="C110" s="142">
        <v>4128</v>
      </c>
    </row>
    <row r="111" spans="1:3" ht="11.25">
      <c r="A111" s="398" t="s">
        <v>39</v>
      </c>
      <c r="B111" s="142">
        <v>77</v>
      </c>
      <c r="C111" s="142">
        <v>14281</v>
      </c>
    </row>
    <row r="112" spans="1:3" ht="11.25">
      <c r="A112" s="398" t="s">
        <v>40</v>
      </c>
      <c r="B112" s="142">
        <v>22</v>
      </c>
      <c r="C112" s="142">
        <v>24</v>
      </c>
    </row>
    <row r="113" spans="1:3" ht="11.25">
      <c r="A113" s="398" t="s">
        <v>41</v>
      </c>
      <c r="B113" s="142">
        <v>2566</v>
      </c>
      <c r="C113" s="142">
        <v>6860</v>
      </c>
    </row>
    <row r="114" spans="1:3" ht="11.25">
      <c r="A114" s="398" t="s">
        <v>42</v>
      </c>
      <c r="B114" s="142">
        <v>37163</v>
      </c>
      <c r="C114" s="142">
        <v>65194</v>
      </c>
    </row>
    <row r="115" spans="1:3" ht="11.25">
      <c r="A115" s="398"/>
      <c r="B115" s="142"/>
      <c r="C115" s="142"/>
    </row>
    <row r="116" spans="1:3" ht="11.25">
      <c r="A116" s="399" t="s">
        <v>43</v>
      </c>
      <c r="B116" s="400">
        <f>SUM(B118:B143)</f>
        <v>1068181</v>
      </c>
      <c r="C116" s="400"/>
    </row>
    <row r="117" spans="1:3" ht="6.75" customHeight="1">
      <c r="A117" s="399"/>
      <c r="B117" s="400"/>
      <c r="C117" s="400"/>
    </row>
    <row r="118" spans="1:3" ht="11.25">
      <c r="A118" s="405" t="s">
        <v>44</v>
      </c>
      <c r="B118" s="142">
        <v>215237</v>
      </c>
      <c r="C118" s="142">
        <v>377582</v>
      </c>
    </row>
    <row r="119" spans="1:3" ht="11.25">
      <c r="A119" s="405" t="s">
        <v>45</v>
      </c>
      <c r="B119" s="142">
        <v>413842</v>
      </c>
      <c r="C119" s="142">
        <v>675109</v>
      </c>
    </row>
    <row r="120" spans="1:3" ht="11.25">
      <c r="A120" s="405" t="s">
        <v>46</v>
      </c>
      <c r="B120" s="142">
        <v>7255</v>
      </c>
      <c r="C120" s="142">
        <v>17871</v>
      </c>
    </row>
    <row r="121" spans="1:3" ht="11.25">
      <c r="A121" s="405" t="s">
        <v>47</v>
      </c>
      <c r="B121" s="142">
        <v>149</v>
      </c>
      <c r="C121" s="142">
        <v>435</v>
      </c>
    </row>
    <row r="122" spans="1:3" ht="6.75" customHeight="1">
      <c r="A122" s="405"/>
      <c r="B122" s="142"/>
      <c r="C122" s="142"/>
    </row>
    <row r="123" spans="1:3" ht="11.25">
      <c r="A123" s="405" t="s">
        <v>48</v>
      </c>
      <c r="B123" s="142">
        <v>8088</v>
      </c>
      <c r="C123" s="142">
        <v>21625</v>
      </c>
    </row>
    <row r="124" spans="1:3" ht="11.25">
      <c r="A124" s="405" t="s">
        <v>49</v>
      </c>
      <c r="B124" s="142">
        <v>20414</v>
      </c>
      <c r="C124" s="142">
        <v>267547</v>
      </c>
    </row>
    <row r="125" spans="1:3" ht="11.25">
      <c r="A125" s="405" t="s">
        <v>50</v>
      </c>
      <c r="B125" s="142">
        <v>27389</v>
      </c>
      <c r="C125" s="142">
        <v>396937</v>
      </c>
    </row>
    <row r="126" spans="1:3" ht="11.25">
      <c r="A126" s="405" t="s">
        <v>51</v>
      </c>
      <c r="B126" s="142">
        <v>19140</v>
      </c>
      <c r="C126" s="142">
        <v>20872</v>
      </c>
    </row>
    <row r="127" spans="1:3" ht="11.25">
      <c r="A127" s="405" t="s">
        <v>52</v>
      </c>
      <c r="B127" s="142">
        <v>2616</v>
      </c>
      <c r="C127" s="142">
        <v>71870</v>
      </c>
    </row>
    <row r="128" spans="1:3" ht="11.25">
      <c r="A128" s="405" t="s">
        <v>53</v>
      </c>
      <c r="B128" s="142">
        <v>8264</v>
      </c>
      <c r="C128" s="142">
        <v>128717</v>
      </c>
    </row>
    <row r="129" spans="1:3" ht="11.25">
      <c r="A129" s="405" t="s">
        <v>54</v>
      </c>
      <c r="B129" s="142">
        <v>27044</v>
      </c>
      <c r="C129" s="142">
        <v>5045514</v>
      </c>
    </row>
    <row r="130" spans="1:3" ht="11.25">
      <c r="A130" s="405" t="s">
        <v>55</v>
      </c>
      <c r="B130" s="142">
        <v>22563</v>
      </c>
      <c r="C130" s="142">
        <v>39581</v>
      </c>
    </row>
    <row r="131" spans="1:3" ht="11.25">
      <c r="A131" s="405" t="s">
        <v>56</v>
      </c>
      <c r="B131" s="142">
        <v>1498</v>
      </c>
      <c r="C131" s="142">
        <v>2443</v>
      </c>
    </row>
    <row r="132" spans="1:3" ht="11.25">
      <c r="A132" s="405" t="s">
        <v>57</v>
      </c>
      <c r="B132" s="142">
        <v>1104</v>
      </c>
      <c r="C132" s="142">
        <v>1802</v>
      </c>
    </row>
    <row r="133" spans="1:3" ht="11.25">
      <c r="A133" s="405" t="s">
        <v>58</v>
      </c>
      <c r="B133" s="142">
        <v>9265</v>
      </c>
      <c r="C133" s="142">
        <v>15114</v>
      </c>
    </row>
    <row r="134" spans="1:3" ht="11.25">
      <c r="A134" s="405" t="s">
        <v>59</v>
      </c>
      <c r="B134" s="142">
        <v>29364</v>
      </c>
      <c r="C134" s="142">
        <v>47903</v>
      </c>
    </row>
    <row r="135" spans="1:3" ht="11.25">
      <c r="A135" s="405" t="s">
        <v>60</v>
      </c>
      <c r="B135" s="142">
        <v>81534</v>
      </c>
      <c r="C135" s="142">
        <v>133007</v>
      </c>
    </row>
    <row r="136" spans="1:3" ht="11.25">
      <c r="A136" s="405" t="s">
        <v>61</v>
      </c>
      <c r="B136" s="142">
        <v>34</v>
      </c>
      <c r="C136" s="142">
        <v>59</v>
      </c>
    </row>
    <row r="137" spans="1:3" ht="11.25">
      <c r="A137" s="405" t="s">
        <v>62</v>
      </c>
      <c r="B137" s="142">
        <v>4169</v>
      </c>
      <c r="C137" s="142">
        <v>7314</v>
      </c>
    </row>
    <row r="138" spans="1:3" ht="11.25">
      <c r="A138" s="405" t="s">
        <v>63</v>
      </c>
      <c r="B138" s="142">
        <v>546</v>
      </c>
      <c r="C138" s="142">
        <v>25258</v>
      </c>
    </row>
    <row r="139" spans="1:3" ht="11.25">
      <c r="A139" s="405" t="s">
        <v>64</v>
      </c>
      <c r="B139" s="142">
        <v>15965</v>
      </c>
      <c r="C139" s="142">
        <v>28007</v>
      </c>
    </row>
    <row r="140" spans="1:3" ht="11.25">
      <c r="A140" s="405" t="s">
        <v>65</v>
      </c>
      <c r="B140" s="142">
        <v>125710</v>
      </c>
      <c r="C140" s="142">
        <v>220527</v>
      </c>
    </row>
    <row r="141" spans="1:3" ht="11.25">
      <c r="A141" s="405" t="s">
        <v>66</v>
      </c>
      <c r="B141" s="142">
        <v>10141</v>
      </c>
      <c r="C141" s="142">
        <v>17790</v>
      </c>
    </row>
    <row r="142" spans="1:3" ht="11.25">
      <c r="A142" s="398" t="s">
        <v>67</v>
      </c>
      <c r="B142" s="142">
        <v>15952</v>
      </c>
      <c r="C142" s="142">
        <v>104263</v>
      </c>
    </row>
    <row r="143" spans="1:3" ht="11.25">
      <c r="A143" s="398" t="s">
        <v>68</v>
      </c>
      <c r="B143" s="142">
        <v>898</v>
      </c>
      <c r="C143" s="142">
        <v>6029</v>
      </c>
    </row>
    <row r="144" spans="1:3" ht="11.25">
      <c r="A144" s="398"/>
      <c r="B144" s="142"/>
      <c r="C144" s="142"/>
    </row>
    <row r="145" spans="1:3" ht="11.25">
      <c r="A145" s="399" t="s">
        <v>69</v>
      </c>
      <c r="B145" s="400">
        <f>B147</f>
        <v>1683</v>
      </c>
      <c r="C145" s="142"/>
    </row>
    <row r="146" spans="1:3" ht="6.75" customHeight="1">
      <c r="A146" s="404"/>
      <c r="B146" s="404"/>
      <c r="C146" s="404"/>
    </row>
    <row r="147" spans="1:3" ht="11.25">
      <c r="A147" s="398" t="s">
        <v>70</v>
      </c>
      <c r="B147" s="142">
        <v>1683</v>
      </c>
      <c r="C147" s="142">
        <v>2746</v>
      </c>
    </row>
    <row r="148" spans="1:3" ht="11.25">
      <c r="A148" s="398"/>
      <c r="B148" s="142"/>
      <c r="C148" s="142"/>
    </row>
    <row r="149" spans="1:3" ht="11.25">
      <c r="A149" s="399" t="s">
        <v>71</v>
      </c>
      <c r="B149" s="400">
        <f>SUM(B151:B151)</f>
        <v>37031</v>
      </c>
      <c r="C149" s="142"/>
    </row>
    <row r="150" spans="1:3" ht="6.75" customHeight="1">
      <c r="A150" s="399"/>
      <c r="B150" s="400"/>
      <c r="C150" s="142"/>
    </row>
    <row r="151" spans="1:3" ht="11.25">
      <c r="A151" s="398" t="s">
        <v>72</v>
      </c>
      <c r="B151" s="142">
        <v>37031</v>
      </c>
      <c r="C151" s="142">
        <v>60409</v>
      </c>
    </row>
    <row r="152" spans="1:3" ht="11.25">
      <c r="A152" s="398"/>
      <c r="B152" s="142"/>
      <c r="C152" s="142"/>
    </row>
    <row r="153" spans="1:3" ht="11.25">
      <c r="A153" s="399" t="s">
        <v>73</v>
      </c>
      <c r="B153" s="400">
        <f>SUM(B155:B156)</f>
        <v>120897</v>
      </c>
      <c r="C153" s="142"/>
    </row>
    <row r="154" spans="1:3" ht="6.75" customHeight="1">
      <c r="A154" s="399"/>
      <c r="B154" s="400"/>
      <c r="C154" s="142"/>
    </row>
    <row r="155" spans="1:3" ht="11.25">
      <c r="A155" s="398" t="s">
        <v>74</v>
      </c>
      <c r="B155" s="142">
        <v>120045</v>
      </c>
      <c r="C155" s="142">
        <v>210589</v>
      </c>
    </row>
    <row r="156" spans="1:3" ht="11.25">
      <c r="A156" s="398" t="s">
        <v>75</v>
      </c>
      <c r="B156" s="142">
        <v>852</v>
      </c>
      <c r="C156" s="142">
        <v>1495</v>
      </c>
    </row>
    <row r="157" spans="1:3" ht="11.25">
      <c r="A157" s="398"/>
      <c r="B157" s="142"/>
      <c r="C157" s="142"/>
    </row>
    <row r="158" spans="1:3" ht="11.25">
      <c r="A158" s="399" t="s">
        <v>76</v>
      </c>
      <c r="B158" s="400">
        <f>SUM(B160:B161)</f>
        <v>492140</v>
      </c>
      <c r="C158" s="142"/>
    </row>
    <row r="159" spans="1:3" ht="6.75" customHeight="1">
      <c r="A159" s="399"/>
      <c r="B159" s="400"/>
      <c r="C159" s="142"/>
    </row>
    <row r="160" spans="1:3" ht="11.25">
      <c r="A160" s="398" t="s">
        <v>77</v>
      </c>
      <c r="B160" s="142">
        <v>107662</v>
      </c>
      <c r="C160" s="142">
        <v>175632</v>
      </c>
    </row>
    <row r="161" spans="1:3" ht="11.25">
      <c r="A161" s="398" t="s">
        <v>78</v>
      </c>
      <c r="B161" s="142">
        <v>384478</v>
      </c>
      <c r="C161" s="142">
        <v>627208</v>
      </c>
    </row>
    <row r="162" spans="1:3" ht="11.25">
      <c r="A162" s="398"/>
      <c r="B162" s="142"/>
      <c r="C162" s="142"/>
    </row>
    <row r="163" spans="1:3" ht="11.25">
      <c r="A163" s="399" t="s">
        <v>79</v>
      </c>
      <c r="B163" s="400">
        <f>SUM(B165:B169)</f>
        <v>158837</v>
      </c>
      <c r="C163" s="406"/>
    </row>
    <row r="164" spans="1:3" ht="6.75" customHeight="1">
      <c r="A164" s="399"/>
      <c r="B164" s="400"/>
      <c r="C164" s="406"/>
    </row>
    <row r="165" spans="1:3" ht="11.25">
      <c r="A165" s="398" t="s">
        <v>80</v>
      </c>
      <c r="B165" s="142">
        <v>255</v>
      </c>
      <c r="C165" s="142">
        <v>417</v>
      </c>
    </row>
    <row r="166" spans="1:3" ht="11.25">
      <c r="A166" s="398" t="s">
        <v>81</v>
      </c>
      <c r="B166" s="142">
        <v>6636</v>
      </c>
      <c r="C166" s="142">
        <v>10826</v>
      </c>
    </row>
    <row r="167" spans="1:3" ht="11.25">
      <c r="A167" s="398" t="s">
        <v>82</v>
      </c>
      <c r="B167" s="142">
        <v>70230</v>
      </c>
      <c r="C167" s="142">
        <v>114567</v>
      </c>
    </row>
    <row r="168" spans="1:3" ht="11.25">
      <c r="A168" s="398" t="s">
        <v>83</v>
      </c>
      <c r="B168" s="142">
        <v>27234</v>
      </c>
      <c r="C168" s="142">
        <v>44428</v>
      </c>
    </row>
    <row r="169" spans="1:3" ht="11.25">
      <c r="A169" s="398" t="s">
        <v>84</v>
      </c>
      <c r="B169" s="142">
        <v>54482</v>
      </c>
      <c r="C169" s="142">
        <v>88877</v>
      </c>
    </row>
    <row r="170" spans="1:3" ht="11.25">
      <c r="A170" s="398"/>
      <c r="B170" s="142"/>
      <c r="C170" s="142"/>
    </row>
    <row r="171" spans="1:3" ht="11.25">
      <c r="A171" s="399" t="s">
        <v>85</v>
      </c>
      <c r="B171" s="400">
        <f>SUM(B173:B180)</f>
        <v>760900</v>
      </c>
      <c r="C171" s="400"/>
    </row>
    <row r="172" spans="1:3" ht="6.75" customHeight="1">
      <c r="A172" s="399"/>
      <c r="B172" s="400"/>
      <c r="C172" s="400"/>
    </row>
    <row r="173" spans="1:3" ht="11.25">
      <c r="A173" s="398" t="s">
        <v>86</v>
      </c>
      <c r="B173" s="142">
        <v>80410</v>
      </c>
      <c r="C173" s="142">
        <v>131175</v>
      </c>
    </row>
    <row r="174" spans="1:3" ht="11.25">
      <c r="A174" s="398" t="s">
        <v>87</v>
      </c>
      <c r="B174" s="142">
        <v>58388</v>
      </c>
      <c r="C174" s="142">
        <v>95249</v>
      </c>
    </row>
    <row r="175" spans="1:3" ht="11.25">
      <c r="A175" s="398" t="s">
        <v>88</v>
      </c>
      <c r="B175" s="142">
        <v>12856</v>
      </c>
      <c r="C175" s="142">
        <v>20972</v>
      </c>
    </row>
    <row r="176" spans="1:3" ht="11.25">
      <c r="A176" s="398" t="s">
        <v>89</v>
      </c>
      <c r="B176" s="142">
        <v>24808</v>
      </c>
      <c r="C176" s="142">
        <v>85118</v>
      </c>
    </row>
    <row r="177" spans="1:3" ht="11.25">
      <c r="A177" s="398" t="s">
        <v>90</v>
      </c>
      <c r="B177" s="142">
        <v>32025</v>
      </c>
      <c r="C177" s="142">
        <v>109879</v>
      </c>
    </row>
    <row r="178" spans="1:3" ht="11.25">
      <c r="A178" s="398" t="s">
        <v>91</v>
      </c>
      <c r="B178" s="142">
        <v>35230</v>
      </c>
      <c r="C178" s="142">
        <v>120876</v>
      </c>
    </row>
    <row r="179" spans="1:3" ht="11.25">
      <c r="A179" s="398" t="s">
        <v>92</v>
      </c>
      <c r="B179" s="142">
        <v>368086</v>
      </c>
      <c r="C179" s="142">
        <v>645717</v>
      </c>
    </row>
    <row r="180" spans="1:3" ht="11.25">
      <c r="A180" s="398" t="s">
        <v>93</v>
      </c>
      <c r="B180" s="142">
        <v>149097</v>
      </c>
      <c r="C180" s="142">
        <v>2322387</v>
      </c>
    </row>
    <row r="181" spans="1:3" ht="11.25">
      <c r="A181" s="398"/>
      <c r="B181" s="142"/>
      <c r="C181" s="404"/>
    </row>
    <row r="182" spans="1:3" ht="12.75">
      <c r="A182" s="506" t="s">
        <v>94</v>
      </c>
      <c r="B182" s="506"/>
      <c r="C182" s="404"/>
    </row>
    <row r="183" spans="1:3" ht="12.75">
      <c r="A183" s="395"/>
      <c r="B183" s="395"/>
      <c r="C183" s="404"/>
    </row>
    <row r="184" spans="1:3" ht="11.25">
      <c r="A184" s="397" t="s">
        <v>95</v>
      </c>
      <c r="B184" s="144">
        <f>B187+B191</f>
        <v>24813848</v>
      </c>
      <c r="C184" s="404"/>
    </row>
    <row r="185" spans="1:3" ht="11.25" customHeight="1">
      <c r="A185" s="397"/>
      <c r="B185" s="395"/>
      <c r="C185" s="404"/>
    </row>
    <row r="186" spans="1:3" ht="7.5" customHeight="1">
      <c r="A186" s="397"/>
      <c r="B186" s="395"/>
      <c r="C186" s="404"/>
    </row>
    <row r="187" spans="1:3" ht="11.25">
      <c r="A187" s="397" t="s">
        <v>96</v>
      </c>
      <c r="B187" s="144">
        <f>B189</f>
        <v>11000000</v>
      </c>
      <c r="C187" s="404"/>
    </row>
    <row r="188" spans="1:3" ht="11.25" customHeight="1">
      <c r="A188" s="395"/>
      <c r="B188" s="395"/>
      <c r="C188" s="404"/>
    </row>
    <row r="189" spans="1:3" ht="11.25">
      <c r="A189" s="398" t="s">
        <v>1887</v>
      </c>
      <c r="B189" s="142">
        <v>11000000</v>
      </c>
      <c r="C189" s="144"/>
    </row>
    <row r="190" spans="1:3" ht="11.25" customHeight="1">
      <c r="A190" s="395"/>
      <c r="B190" s="395"/>
      <c r="C190" s="404"/>
    </row>
    <row r="191" spans="1:3" ht="11.25">
      <c r="A191" s="397" t="s">
        <v>97</v>
      </c>
      <c r="B191" s="407">
        <f>B193+B199</f>
        <v>13813848</v>
      </c>
      <c r="C191" s="404"/>
    </row>
    <row r="192" spans="1:3" ht="6.75" customHeight="1">
      <c r="A192" s="397"/>
      <c r="B192" s="142"/>
      <c r="C192" s="142"/>
    </row>
    <row r="193" spans="1:3" ht="11.25">
      <c r="A193" s="399" t="s">
        <v>2152</v>
      </c>
      <c r="B193" s="400">
        <f>SUM(B195:B197)</f>
        <v>13804509</v>
      </c>
      <c r="C193" s="142"/>
    </row>
    <row r="194" spans="1:3" ht="6.75" customHeight="1">
      <c r="A194" s="397"/>
      <c r="B194" s="142"/>
      <c r="C194" s="142"/>
    </row>
    <row r="195" spans="1:3" ht="11.25">
      <c r="A195" s="398" t="s">
        <v>98</v>
      </c>
      <c r="B195" s="142">
        <v>8265609</v>
      </c>
      <c r="C195" s="142">
        <v>14500000</v>
      </c>
    </row>
    <row r="196" spans="1:3" ht="22.5">
      <c r="A196" s="398" t="s">
        <v>99</v>
      </c>
      <c r="B196" s="142">
        <v>2719100</v>
      </c>
      <c r="C196" s="142">
        <v>4770000</v>
      </c>
    </row>
    <row r="197" spans="1:3" ht="11.25">
      <c r="A197" s="398" t="s">
        <v>100</v>
      </c>
      <c r="B197" s="142">
        <v>2819800</v>
      </c>
      <c r="C197" s="142">
        <v>4600000</v>
      </c>
    </row>
    <row r="198" spans="1:3" ht="11.25">
      <c r="A198" s="398"/>
      <c r="B198" s="142"/>
      <c r="C198" s="142"/>
    </row>
    <row r="199" spans="1:3" ht="11.25">
      <c r="A199" s="399" t="s">
        <v>101</v>
      </c>
      <c r="B199" s="400">
        <f>SUM(B201)</f>
        <v>9339</v>
      </c>
      <c r="C199" s="142"/>
    </row>
    <row r="200" spans="1:3" ht="6.75" customHeight="1">
      <c r="A200" s="398"/>
      <c r="B200" s="142"/>
      <c r="C200" s="142"/>
    </row>
    <row r="201" spans="1:3" s="408" customFormat="1" ht="11.25">
      <c r="A201" s="399" t="s">
        <v>102</v>
      </c>
      <c r="B201" s="400">
        <f>SUM(B202:B203)</f>
        <v>9339</v>
      </c>
      <c r="C201" s="400"/>
    </row>
    <row r="202" spans="1:3" ht="11.25">
      <c r="A202" s="398" t="s">
        <v>103</v>
      </c>
      <c r="B202" s="142">
        <v>3065</v>
      </c>
      <c r="C202" s="142">
        <v>5000</v>
      </c>
    </row>
    <row r="203" spans="1:3" ht="11.25">
      <c r="A203" s="398" t="s">
        <v>104</v>
      </c>
      <c r="B203" s="142">
        <v>6274</v>
      </c>
      <c r="C203" s="142">
        <v>10234</v>
      </c>
    </row>
    <row r="204" spans="1:3" ht="11.25">
      <c r="A204" s="398"/>
      <c r="B204" s="142"/>
      <c r="C204" s="142"/>
    </row>
    <row r="205" spans="1:3" ht="11.25">
      <c r="A205" s="409" t="s">
        <v>429</v>
      </c>
      <c r="B205" s="410">
        <f>B207</f>
        <v>344350</v>
      </c>
      <c r="C205" s="142"/>
    </row>
    <row r="206" spans="1:3" ht="11.25">
      <c r="A206" s="398"/>
      <c r="B206" s="404"/>
      <c r="C206" s="142"/>
    </row>
    <row r="207" spans="1:3" ht="11.25">
      <c r="A207" s="398" t="s">
        <v>105</v>
      </c>
      <c r="B207" s="142">
        <v>344350</v>
      </c>
      <c r="C207" s="142">
        <v>561745</v>
      </c>
    </row>
    <row r="208" spans="1:3" ht="11.25">
      <c r="A208" s="398"/>
      <c r="B208" s="142"/>
      <c r="C208" s="142"/>
    </row>
    <row r="209" spans="1:3" ht="15" customHeight="1">
      <c r="A209" s="397" t="s">
        <v>106</v>
      </c>
      <c r="B209" s="144">
        <f>B11+B18+B67+B105+B184</f>
        <v>48687292.43</v>
      </c>
      <c r="C209" s="144"/>
    </row>
    <row r="210" spans="1:3" ht="15" customHeight="1">
      <c r="A210" s="397"/>
      <c r="B210" s="144"/>
      <c r="C210" s="144"/>
    </row>
    <row r="211" spans="1:3" ht="15" customHeight="1">
      <c r="A211" s="397" t="s">
        <v>107</v>
      </c>
      <c r="B211" s="144">
        <f>B209+B205</f>
        <v>49031642.43</v>
      </c>
      <c r="C211" s="142"/>
    </row>
    <row r="212" spans="1:3" ht="15" customHeight="1">
      <c r="A212" s="411"/>
      <c r="B212" s="412"/>
      <c r="C212" s="412"/>
    </row>
    <row r="213" spans="1:3" ht="11.25">
      <c r="A213" s="411" t="s">
        <v>108</v>
      </c>
      <c r="B213" s="412"/>
      <c r="C213" s="412"/>
    </row>
    <row r="214" spans="1:3" ht="11.25">
      <c r="A214" s="411" t="s">
        <v>109</v>
      </c>
      <c r="B214" s="413"/>
      <c r="C214" s="414"/>
    </row>
    <row r="215" spans="1:2" ht="11.25">
      <c r="A215" s="415"/>
      <c r="B215" s="416"/>
    </row>
    <row r="216" ht="11.25">
      <c r="A216" s="411" t="s">
        <v>110</v>
      </c>
    </row>
    <row r="217" ht="11.25">
      <c r="A217" s="411" t="s">
        <v>111</v>
      </c>
    </row>
    <row r="218" ht="11.25">
      <c r="A218" s="411"/>
    </row>
    <row r="219" ht="11.25">
      <c r="A219" s="411" t="s">
        <v>112</v>
      </c>
    </row>
    <row r="220" ht="11.25">
      <c r="A220" s="411"/>
    </row>
    <row r="221" ht="11.25">
      <c r="A221" s="411" t="s">
        <v>113</v>
      </c>
    </row>
    <row r="222" ht="11.25">
      <c r="A222" s="411" t="s">
        <v>114</v>
      </c>
    </row>
    <row r="223" ht="11.25">
      <c r="A223" s="411"/>
    </row>
    <row r="224" ht="11.25">
      <c r="A224" s="411" t="s">
        <v>115</v>
      </c>
    </row>
    <row r="225" ht="11.25">
      <c r="A225" s="411" t="s">
        <v>116</v>
      </c>
    </row>
    <row r="226" spans="1:3" ht="11.25">
      <c r="A226" s="415"/>
      <c r="B226" s="413"/>
      <c r="C226" s="414"/>
    </row>
    <row r="227" ht="11.25">
      <c r="A227" s="411" t="s">
        <v>117</v>
      </c>
    </row>
    <row r="228" ht="11.25">
      <c r="A228" s="411" t="s">
        <v>118</v>
      </c>
    </row>
    <row r="229" ht="11.25">
      <c r="A229" s="411"/>
    </row>
    <row r="230" ht="11.25">
      <c r="A230" s="411"/>
    </row>
    <row r="231" spans="1:3" s="418" customFormat="1" ht="15.75">
      <c r="A231" s="387" t="s">
        <v>119</v>
      </c>
      <c r="B231" s="108"/>
      <c r="C231" s="417">
        <v>80596075</v>
      </c>
    </row>
    <row r="232" ht="11.25">
      <c r="A232" s="411"/>
    </row>
    <row r="233" ht="11.25">
      <c r="A233" s="415" t="s">
        <v>120</v>
      </c>
    </row>
    <row r="234" spans="1:2" ht="15" customHeight="1">
      <c r="A234" s="396"/>
      <c r="B234" s="396"/>
    </row>
    <row r="235" spans="2:3" ht="15" customHeight="1">
      <c r="B235" s="394"/>
      <c r="C235" s="394"/>
    </row>
    <row r="238" spans="1:3" s="419" customFormat="1" ht="15" customHeight="1">
      <c r="A238" s="419" t="s">
        <v>121</v>
      </c>
      <c r="C238" s="419" t="s">
        <v>196</v>
      </c>
    </row>
  </sheetData>
  <mergeCells count="4">
    <mergeCell ref="A3:C3"/>
    <mergeCell ref="A4:C4"/>
    <mergeCell ref="A5:C5"/>
    <mergeCell ref="A182:B182"/>
  </mergeCells>
  <printOptions/>
  <pageMargins left="1.19" right="0.75" top="0.65" bottom="0.46" header="0.5" footer="0.5"/>
  <pageSetup horizontalDpi="600" verticalDpi="600" orientation="portrait" paperSize="9" r:id="rId1"/>
  <rowBreaks count="2" manualBreakCount="2">
    <brk id="64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B69">
      <selection activeCell="A82" sqref="A82"/>
    </sheetView>
  </sheetViews>
  <sheetFormatPr defaultColWidth="9.140625" defaultRowHeight="12.75"/>
  <cols>
    <col min="1" max="1" width="31.8515625" style="0" customWidth="1"/>
    <col min="2" max="2" width="13.00390625" style="0" customWidth="1"/>
    <col min="3" max="3" width="14.8515625" style="0" customWidth="1"/>
    <col min="4" max="4" width="14.421875" style="0" customWidth="1"/>
    <col min="5" max="5" width="13.140625" style="35" customWidth="1"/>
    <col min="6" max="6" width="12.8515625" style="35" customWidth="1"/>
    <col min="7" max="7" width="11.57421875" style="35" customWidth="1"/>
    <col min="8" max="8" width="11.00390625" style="35" customWidth="1"/>
    <col min="9" max="10" width="11.00390625" style="35" hidden="1" customWidth="1"/>
  </cols>
  <sheetData>
    <row r="1" ht="12.75">
      <c r="H1" s="36" t="s">
        <v>197</v>
      </c>
    </row>
    <row r="2" spans="1:10" ht="15.75">
      <c r="A2" s="478" t="s">
        <v>198</v>
      </c>
      <c r="B2" s="478"/>
      <c r="C2" s="478"/>
      <c r="D2" s="478"/>
      <c r="E2" s="478"/>
      <c r="F2" s="478"/>
      <c r="G2" s="478"/>
      <c r="H2" s="478"/>
      <c r="I2" s="37"/>
      <c r="J2" s="37"/>
    </row>
    <row r="3" spans="1:10" ht="15">
      <c r="A3" s="38"/>
      <c r="B3" s="38"/>
      <c r="C3" s="38"/>
      <c r="D3" s="38"/>
      <c r="E3" s="39"/>
      <c r="F3" s="39"/>
      <c r="G3" s="40"/>
      <c r="H3" s="41" t="s">
        <v>199</v>
      </c>
      <c r="I3" s="41"/>
      <c r="J3" s="41"/>
    </row>
    <row r="4" spans="1:10" ht="12.75">
      <c r="A4" s="42"/>
      <c r="B4" s="42"/>
      <c r="C4" s="42"/>
      <c r="D4" s="42"/>
      <c r="E4" s="479" t="s">
        <v>200</v>
      </c>
      <c r="F4" s="480"/>
      <c r="G4" s="480"/>
      <c r="H4" s="481"/>
      <c r="I4" s="43"/>
      <c r="J4" s="43"/>
    </row>
    <row r="5" spans="1:10" ht="33.75">
      <c r="A5" s="44" t="s">
        <v>162</v>
      </c>
      <c r="B5" s="44" t="s">
        <v>163</v>
      </c>
      <c r="C5" s="44" t="s">
        <v>164</v>
      </c>
      <c r="D5" s="44" t="s">
        <v>165</v>
      </c>
      <c r="E5" s="45" t="s">
        <v>201</v>
      </c>
      <c r="F5" s="45" t="s">
        <v>202</v>
      </c>
      <c r="G5" s="45" t="s">
        <v>203</v>
      </c>
      <c r="H5" s="45" t="s">
        <v>204</v>
      </c>
      <c r="I5" s="45" t="s">
        <v>205</v>
      </c>
      <c r="J5" s="45" t="s">
        <v>206</v>
      </c>
    </row>
    <row r="6" spans="1:10" ht="12.75">
      <c r="A6" s="46">
        <v>1</v>
      </c>
      <c r="B6" s="46">
        <v>2</v>
      </c>
      <c r="C6" s="46">
        <v>3</v>
      </c>
      <c r="D6" s="46">
        <v>4</v>
      </c>
      <c r="E6" s="47">
        <v>5</v>
      </c>
      <c r="F6" s="48">
        <v>6</v>
      </c>
      <c r="G6" s="47">
        <v>7</v>
      </c>
      <c r="H6" s="48">
        <v>8</v>
      </c>
      <c r="I6" s="49"/>
      <c r="J6" s="49"/>
    </row>
    <row r="7" spans="1:10" ht="12.75">
      <c r="A7" s="50"/>
      <c r="B7" s="50"/>
      <c r="C7" s="50"/>
      <c r="D7" s="50"/>
      <c r="E7" s="51"/>
      <c r="F7" s="49"/>
      <c r="G7" s="51"/>
      <c r="H7" s="49"/>
      <c r="I7" s="49"/>
      <c r="J7" s="49"/>
    </row>
    <row r="8" spans="1:8" ht="12.75">
      <c r="A8" s="52" t="s">
        <v>207</v>
      </c>
      <c r="B8" s="53">
        <v>1589185849.23</v>
      </c>
      <c r="C8" s="53">
        <f>SUM(C9,C22,C32,C33,C34,C35)</f>
        <v>1657268345</v>
      </c>
      <c r="D8" s="54">
        <f>SUM(E8:H8)</f>
        <v>1623218345</v>
      </c>
      <c r="E8" s="54">
        <f>SUM(E9,E22,E32,E34)</f>
        <v>678728960</v>
      </c>
      <c r="F8" s="54">
        <f>SUM(F9,F22,F32,F33,F35,F34)</f>
        <v>626470336</v>
      </c>
      <c r="G8" s="54">
        <f>SUM(G9,G22,G32,G33,G35,G34)</f>
        <v>277773324</v>
      </c>
      <c r="H8" s="54">
        <f>SUM(H9,H22,H32,H33,H35,H34)</f>
        <v>40245725</v>
      </c>
    </row>
    <row r="9" spans="1:8" ht="12.75">
      <c r="A9" s="55" t="s">
        <v>167</v>
      </c>
      <c r="B9" s="53">
        <v>1335199878</v>
      </c>
      <c r="C9" s="56">
        <f>SUM(C10:C20)</f>
        <v>1392971219</v>
      </c>
      <c r="D9" s="54">
        <f aca="true" t="shared" si="0" ref="D9:D35">SUM(E9:H9)</f>
        <v>1373272818</v>
      </c>
      <c r="E9" s="54">
        <f>SUM(E10:E20)</f>
        <v>543644951</v>
      </c>
      <c r="F9" s="54">
        <f>SUM(F10:F20)</f>
        <v>595216487</v>
      </c>
      <c r="G9" s="54">
        <f>SUM(G10:G20)</f>
        <v>232051670</v>
      </c>
      <c r="H9" s="54">
        <f>SUM(H10:H20)</f>
        <v>2359710</v>
      </c>
    </row>
    <row r="10" spans="1:7" ht="12.75">
      <c r="A10" s="57" t="s">
        <v>208</v>
      </c>
      <c r="B10" s="58">
        <v>239701442</v>
      </c>
      <c r="C10" s="23">
        <v>260063566</v>
      </c>
      <c r="D10" s="35">
        <f t="shared" si="0"/>
        <v>261137488</v>
      </c>
      <c r="F10" s="35">
        <v>74218078</v>
      </c>
      <c r="G10" s="35">
        <v>186919410</v>
      </c>
    </row>
    <row r="11" spans="1:5" ht="12.75">
      <c r="A11" s="57" t="s">
        <v>209</v>
      </c>
      <c r="B11" s="58">
        <v>92211405.2</v>
      </c>
      <c r="C11" s="23">
        <v>74655000</v>
      </c>
      <c r="D11" s="35">
        <f t="shared" si="0"/>
        <v>73720569</v>
      </c>
      <c r="E11" s="35">
        <v>73720569</v>
      </c>
    </row>
    <row r="12" spans="1:6" ht="12.75">
      <c r="A12" s="57" t="s">
        <v>210</v>
      </c>
      <c r="B12" s="58">
        <v>452622033</v>
      </c>
      <c r="C12" s="23">
        <v>476999247</v>
      </c>
      <c r="D12" s="35">
        <f>SUM(F12:H12)</f>
        <v>466369991</v>
      </c>
      <c r="F12" s="35">
        <v>466369991</v>
      </c>
    </row>
    <row r="13" spans="1:7" ht="12.75">
      <c r="A13" s="57" t="s">
        <v>211</v>
      </c>
      <c r="B13" s="58">
        <v>20998263.99</v>
      </c>
      <c r="C13" s="23">
        <v>39409430</v>
      </c>
      <c r="D13" s="35">
        <f t="shared" si="0"/>
        <v>38301176</v>
      </c>
      <c r="G13" s="35">
        <v>38301176</v>
      </c>
    </row>
    <row r="14" spans="1:7" ht="12.75">
      <c r="A14" s="57" t="s">
        <v>212</v>
      </c>
      <c r="B14" s="58">
        <v>24460557</v>
      </c>
      <c r="C14" s="23">
        <v>4258246</v>
      </c>
      <c r="D14" s="35">
        <f t="shared" si="0"/>
        <v>4585872</v>
      </c>
      <c r="E14" s="35">
        <v>228867</v>
      </c>
      <c r="G14" s="35">
        <v>4357005</v>
      </c>
    </row>
    <row r="15" spans="1:7" ht="12.75">
      <c r="A15" s="57" t="s">
        <v>213</v>
      </c>
      <c r="B15" s="58">
        <v>1845305</v>
      </c>
      <c r="C15" s="23">
        <v>1598034</v>
      </c>
      <c r="D15" s="35">
        <f t="shared" si="0"/>
        <v>1298484</v>
      </c>
      <c r="G15" s="35">
        <v>1298484</v>
      </c>
    </row>
    <row r="16" spans="1:5" ht="12.75">
      <c r="A16" s="57" t="s">
        <v>214</v>
      </c>
      <c r="B16" s="58">
        <v>316206224.74</v>
      </c>
      <c r="C16" s="23">
        <v>346759678</v>
      </c>
      <c r="D16" s="35">
        <f t="shared" si="0"/>
        <v>337866713</v>
      </c>
      <c r="E16" s="35">
        <v>337866713</v>
      </c>
    </row>
    <row r="17" spans="1:6" ht="12.75">
      <c r="A17" s="57" t="s">
        <v>215</v>
      </c>
      <c r="B17" s="58">
        <v>155102887.01999998</v>
      </c>
      <c r="C17" s="23">
        <v>163758422</v>
      </c>
      <c r="D17" s="35">
        <f t="shared" si="0"/>
        <v>164037483</v>
      </c>
      <c r="E17" s="35">
        <v>117667472</v>
      </c>
      <c r="F17" s="35">
        <v>46370011</v>
      </c>
    </row>
    <row r="18" spans="1:8" ht="12.75">
      <c r="A18" s="57" t="s">
        <v>216</v>
      </c>
      <c r="B18" s="58">
        <v>10677890.83</v>
      </c>
      <c r="C18" s="23">
        <v>10518149</v>
      </c>
      <c r="D18" s="35">
        <f t="shared" si="0"/>
        <v>10364447</v>
      </c>
      <c r="E18" s="35">
        <v>-253670</v>
      </c>
      <c r="F18" s="35">
        <v>8258407</v>
      </c>
      <c r="H18" s="35">
        <v>2359710</v>
      </c>
    </row>
    <row r="19" spans="1:7" ht="12" customHeight="1">
      <c r="A19" s="22" t="s">
        <v>217</v>
      </c>
      <c r="B19" s="58">
        <v>5301160</v>
      </c>
      <c r="C19" s="23">
        <v>1151447</v>
      </c>
      <c r="D19" s="35">
        <f t="shared" si="0"/>
        <v>1175595</v>
      </c>
      <c r="G19" s="35">
        <v>1175595</v>
      </c>
    </row>
    <row r="20" spans="1:5" ht="12.75">
      <c r="A20" s="57" t="s">
        <v>218</v>
      </c>
      <c r="B20" s="58">
        <v>16072709.13</v>
      </c>
      <c r="C20" s="23">
        <v>13800000</v>
      </c>
      <c r="D20" s="35">
        <f t="shared" si="0"/>
        <v>14415000</v>
      </c>
      <c r="E20" s="35">
        <v>14415000</v>
      </c>
    </row>
    <row r="21" spans="1:4" ht="12.75">
      <c r="A21" s="57"/>
      <c r="B21" s="58"/>
      <c r="C21" s="23"/>
      <c r="D21" s="35"/>
    </row>
    <row r="22" spans="1:8" ht="12.75">
      <c r="A22" s="55" t="s">
        <v>168</v>
      </c>
      <c r="B22" s="53">
        <v>126830695</v>
      </c>
      <c r="C22" s="53">
        <v>123949598</v>
      </c>
      <c r="D22" s="54">
        <f t="shared" si="0"/>
        <v>130810731</v>
      </c>
      <c r="E22" s="54">
        <f>SUM(E23,E24,E25,E26,E30,E31)</f>
        <v>61679763</v>
      </c>
      <c r="F22" s="54">
        <f>SUM(F23,F24,F25,F26,F30,F31)</f>
        <v>20592572</v>
      </c>
      <c r="G22" s="54">
        <f>SUM(G23,G24,G25,G26,G30,G31)</f>
        <v>17946101</v>
      </c>
      <c r="H22" s="54">
        <f>SUM(H23,H24,H25,H26,H30,H31)</f>
        <v>30592295</v>
      </c>
    </row>
    <row r="23" spans="1:7" ht="12.75" customHeight="1">
      <c r="A23" s="22" t="s">
        <v>219</v>
      </c>
      <c r="B23" s="23">
        <v>19946638</v>
      </c>
      <c r="C23" s="23">
        <v>12721910</v>
      </c>
      <c r="D23" s="35">
        <f t="shared" si="0"/>
        <v>18444414</v>
      </c>
      <c r="E23" s="35">
        <v>15928477</v>
      </c>
      <c r="F23" s="35">
        <v>2146729</v>
      </c>
      <c r="G23" s="35">
        <v>369208</v>
      </c>
    </row>
    <row r="24" spans="1:7" ht="12" customHeight="1">
      <c r="A24" s="22" t="s">
        <v>220</v>
      </c>
      <c r="B24" s="23">
        <v>26612748</v>
      </c>
      <c r="C24" s="23">
        <v>41337735</v>
      </c>
      <c r="D24" s="35">
        <f t="shared" si="0"/>
        <v>43906950</v>
      </c>
      <c r="E24" s="35">
        <v>25812661</v>
      </c>
      <c r="F24" s="35">
        <v>14596610</v>
      </c>
      <c r="G24" s="35">
        <v>3497679</v>
      </c>
    </row>
    <row r="25" spans="1:7" ht="12.75">
      <c r="A25" s="57" t="s">
        <v>221</v>
      </c>
      <c r="B25" s="23">
        <v>6716670.93</v>
      </c>
      <c r="C25" s="23">
        <v>8768097</v>
      </c>
      <c r="D25" s="35">
        <f t="shared" si="0"/>
        <v>9401771</v>
      </c>
      <c r="E25" s="35">
        <v>9099829</v>
      </c>
      <c r="F25" s="35">
        <v>10033</v>
      </c>
      <c r="G25" s="35">
        <v>291909</v>
      </c>
    </row>
    <row r="26" spans="1:8" ht="12.75">
      <c r="A26" s="57" t="s">
        <v>222</v>
      </c>
      <c r="B26" s="23">
        <v>52120774</v>
      </c>
      <c r="C26" s="23">
        <v>57805666</v>
      </c>
      <c r="D26" s="35">
        <f t="shared" si="0"/>
        <v>42464147</v>
      </c>
      <c r="E26" s="35">
        <v>10482718</v>
      </c>
      <c r="F26" s="35">
        <v>3839200</v>
      </c>
      <c r="G26" s="35">
        <v>13058709</v>
      </c>
      <c r="H26" s="35">
        <v>15083520</v>
      </c>
    </row>
    <row r="27" spans="1:4" ht="12.75" hidden="1">
      <c r="A27" s="59" t="s">
        <v>223</v>
      </c>
      <c r="B27" s="23"/>
      <c r="D27" s="35">
        <f t="shared" si="0"/>
        <v>0</v>
      </c>
    </row>
    <row r="28" spans="1:5" ht="12.75" hidden="1">
      <c r="A28" s="60" t="s">
        <v>224</v>
      </c>
      <c r="D28" s="35">
        <f t="shared" si="0"/>
        <v>1201200</v>
      </c>
      <c r="E28" s="35">
        <v>1201200</v>
      </c>
    </row>
    <row r="29" spans="1:4" ht="12.75" hidden="1">
      <c r="A29" s="60" t="s">
        <v>225</v>
      </c>
      <c r="C29" s="23"/>
      <c r="D29" s="35">
        <f t="shared" si="0"/>
        <v>0</v>
      </c>
    </row>
    <row r="30" spans="1:8" ht="28.5" customHeight="1">
      <c r="A30" s="22" t="s">
        <v>226</v>
      </c>
      <c r="B30" s="23">
        <v>21362241.33</v>
      </c>
      <c r="C30" s="58">
        <v>2697575</v>
      </c>
      <c r="D30" s="35">
        <f t="shared" si="0"/>
        <v>16413586</v>
      </c>
      <c r="E30" s="35">
        <v>356078</v>
      </c>
      <c r="G30" s="35">
        <v>548733</v>
      </c>
      <c r="H30" s="35">
        <v>15508775</v>
      </c>
    </row>
    <row r="31" spans="1:7" ht="13.5" customHeight="1">
      <c r="A31" s="22" t="s">
        <v>227</v>
      </c>
      <c r="B31" s="23">
        <v>71623</v>
      </c>
      <c r="C31" s="58">
        <v>618615</v>
      </c>
      <c r="D31" s="35">
        <f t="shared" si="0"/>
        <v>179863</v>
      </c>
      <c r="G31" s="35">
        <v>179863</v>
      </c>
    </row>
    <row r="32" spans="1:7" ht="13.5" customHeight="1">
      <c r="A32" s="61" t="s">
        <v>172</v>
      </c>
      <c r="B32" s="23"/>
      <c r="C32" s="53">
        <v>33196047</v>
      </c>
      <c r="D32" s="54">
        <f t="shared" si="0"/>
        <v>19058715</v>
      </c>
      <c r="E32" s="54">
        <v>17959715</v>
      </c>
      <c r="F32" s="54">
        <v>1099000</v>
      </c>
      <c r="G32" s="54"/>
    </row>
    <row r="33" spans="1:8" ht="15" customHeight="1">
      <c r="A33" s="61" t="s">
        <v>171</v>
      </c>
      <c r="B33" s="53">
        <v>22544902</v>
      </c>
      <c r="C33" s="54">
        <f>6697809+6145602</f>
        <v>12843411</v>
      </c>
      <c r="D33" s="54">
        <f t="shared" si="0"/>
        <v>12949523</v>
      </c>
      <c r="F33" s="54">
        <v>6815936</v>
      </c>
      <c r="G33" s="54"/>
      <c r="H33" s="54">
        <v>6133587</v>
      </c>
    </row>
    <row r="34" spans="1:8" ht="40.5" customHeight="1">
      <c r="A34" s="61" t="s">
        <v>228</v>
      </c>
      <c r="B34" s="53">
        <v>103051437</v>
      </c>
      <c r="C34" s="54">
        <v>92530152</v>
      </c>
      <c r="D34" s="54">
        <f t="shared" si="0"/>
        <v>85170503</v>
      </c>
      <c r="E34" s="54">
        <v>55444531</v>
      </c>
      <c r="F34" s="54">
        <v>2746341</v>
      </c>
      <c r="G34" s="54">
        <v>25819498</v>
      </c>
      <c r="H34" s="54">
        <v>1160133</v>
      </c>
    </row>
    <row r="35" spans="1:7" ht="25.5" customHeight="1">
      <c r="A35" s="61" t="s">
        <v>229</v>
      </c>
      <c r="B35" s="53">
        <v>1558937</v>
      </c>
      <c r="C35" s="54">
        <v>1777918</v>
      </c>
      <c r="D35" s="54">
        <f t="shared" si="0"/>
        <v>1956055</v>
      </c>
      <c r="G35" s="54">
        <v>1956055</v>
      </c>
    </row>
    <row r="36" spans="1:2" ht="12.75">
      <c r="A36" s="57"/>
      <c r="B36" s="23"/>
    </row>
    <row r="37" spans="1:2" ht="12.75">
      <c r="A37" s="57"/>
      <c r="B37" s="7"/>
    </row>
    <row r="38" spans="1:10" ht="45">
      <c r="A38" s="62" t="s">
        <v>230</v>
      </c>
      <c r="B38" s="54">
        <v>1745115876</v>
      </c>
      <c r="C38" s="54">
        <f>SUM(C39:C52)</f>
        <v>1816217139</v>
      </c>
      <c r="D38" s="54">
        <f>SUM(E38:H38)</f>
        <v>1743264666</v>
      </c>
      <c r="E38" s="54">
        <f>SUM(E39,E40,E41,E42,E43,E44,E45,E46,E47,E48,E49,E50,E51,E52)</f>
        <v>576566997</v>
      </c>
      <c r="F38" s="54">
        <f>SUM(F39,F40,F41,F42,F43,F44,F45,F46,F47,F48,F49,F50,F51,F52)</f>
        <v>714128736</v>
      </c>
      <c r="G38" s="54">
        <f>SUM(G39:G44,G45:G52)</f>
        <v>406017488</v>
      </c>
      <c r="H38" s="54">
        <f aca="true" t="shared" si="1" ref="H38:H47">SUM(I38:J38)</f>
        <v>46551445</v>
      </c>
      <c r="I38" s="35">
        <f>SUM(I39:I44,I45,I50:I52)</f>
        <v>41492424</v>
      </c>
      <c r="J38" s="35">
        <f>SUM(J39:J44,J45:J47,J50:J52)</f>
        <v>5059021</v>
      </c>
    </row>
    <row r="39" spans="1:10" ht="12.75">
      <c r="A39" s="63" t="s">
        <v>231</v>
      </c>
      <c r="B39" s="64">
        <v>134591098</v>
      </c>
      <c r="C39" s="35">
        <f>135357088+9657+130540+92459+13070+50315</f>
        <v>135653129</v>
      </c>
      <c r="D39" s="35">
        <f aca="true" t="shared" si="2" ref="D39:D52">SUM(E39:H39)</f>
        <v>126203471</v>
      </c>
      <c r="E39" s="35">
        <v>80786299</v>
      </c>
      <c r="F39" s="35">
        <v>678421</v>
      </c>
      <c r="G39" s="35">
        <v>44367019</v>
      </c>
      <c r="H39" s="35">
        <f t="shared" si="1"/>
        <v>371732</v>
      </c>
      <c r="J39" s="35">
        <v>371732</v>
      </c>
    </row>
    <row r="40" spans="1:8" ht="12.75">
      <c r="A40" s="63" t="s">
        <v>232</v>
      </c>
      <c r="B40" s="64">
        <v>37789762</v>
      </c>
      <c r="C40" s="35">
        <f>41147773+196412</f>
        <v>41344185</v>
      </c>
      <c r="D40" s="35">
        <f t="shared" si="2"/>
        <v>40713101</v>
      </c>
      <c r="E40" s="35">
        <v>40447419</v>
      </c>
      <c r="F40" s="35">
        <v>151927</v>
      </c>
      <c r="G40" s="35">
        <v>113755</v>
      </c>
      <c r="H40" s="35">
        <f t="shared" si="1"/>
        <v>0</v>
      </c>
    </row>
    <row r="41" spans="1:10" ht="22.5">
      <c r="A41" s="63" t="s">
        <v>233</v>
      </c>
      <c r="B41" s="64">
        <v>116924903</v>
      </c>
      <c r="C41" s="35">
        <f>113847506+502351+647</f>
        <v>114350504</v>
      </c>
      <c r="D41" s="35">
        <f t="shared" si="2"/>
        <v>111867317</v>
      </c>
      <c r="E41" s="35">
        <v>105573625</v>
      </c>
      <c r="F41" s="35">
        <v>388096</v>
      </c>
      <c r="G41" s="35">
        <v>5850892</v>
      </c>
      <c r="H41" s="35">
        <f t="shared" si="1"/>
        <v>54704</v>
      </c>
      <c r="J41" s="35">
        <v>54704</v>
      </c>
    </row>
    <row r="42" spans="1:10" ht="12.75">
      <c r="A42" s="63" t="s">
        <v>234</v>
      </c>
      <c r="B42" s="64">
        <v>262715601</v>
      </c>
      <c r="C42" s="35">
        <f>300281024+2432132</f>
        <v>302713156</v>
      </c>
      <c r="D42" s="35">
        <f t="shared" si="2"/>
        <v>294230605</v>
      </c>
      <c r="E42" s="35">
        <v>84284893</v>
      </c>
      <c r="F42" s="35">
        <v>6993019</v>
      </c>
      <c r="G42" s="35">
        <v>200997446</v>
      </c>
      <c r="H42" s="35">
        <f t="shared" si="1"/>
        <v>1955247</v>
      </c>
      <c r="J42" s="35">
        <v>1955247</v>
      </c>
    </row>
    <row r="43" spans="1:10" ht="12.75">
      <c r="A43" s="63" t="s">
        <v>235</v>
      </c>
      <c r="B43" s="64">
        <v>159561458</v>
      </c>
      <c r="C43" s="35">
        <f>157740408+46142</f>
        <v>157786550</v>
      </c>
      <c r="D43" s="35">
        <f t="shared" si="2"/>
        <v>154277286</v>
      </c>
      <c r="E43" s="35">
        <v>13896562</v>
      </c>
      <c r="F43" s="35">
        <v>133879937</v>
      </c>
      <c r="G43" s="35">
        <v>6321587</v>
      </c>
      <c r="H43" s="35">
        <f t="shared" si="1"/>
        <v>179200</v>
      </c>
      <c r="J43" s="35">
        <v>179200</v>
      </c>
    </row>
    <row r="44" spans="1:10" ht="22.5">
      <c r="A44" s="63" t="s">
        <v>236</v>
      </c>
      <c r="B44" s="64">
        <v>626818640</v>
      </c>
      <c r="C44" s="35">
        <f>630970458+173582</f>
        <v>631144040</v>
      </c>
      <c r="D44" s="35">
        <f t="shared" si="2"/>
        <v>615805373</v>
      </c>
      <c r="E44" s="35">
        <v>77378565</v>
      </c>
      <c r="F44" s="35">
        <v>503725748</v>
      </c>
      <c r="G44" s="35">
        <v>34253070</v>
      </c>
      <c r="H44" s="35">
        <f t="shared" si="1"/>
        <v>447990</v>
      </c>
      <c r="I44" s="35">
        <v>251142</v>
      </c>
      <c r="J44" s="35">
        <v>196848</v>
      </c>
    </row>
    <row r="45" spans="1:10" ht="22.5">
      <c r="A45" s="63" t="s">
        <v>237</v>
      </c>
      <c r="B45" s="64">
        <v>79338353</v>
      </c>
      <c r="C45" s="35">
        <f>99044997+330859</f>
        <v>99375856</v>
      </c>
      <c r="D45" s="35">
        <f t="shared" si="2"/>
        <v>92896727</v>
      </c>
      <c r="E45" s="35">
        <v>9310430</v>
      </c>
      <c r="F45" s="35">
        <v>10058828</v>
      </c>
      <c r="G45" s="35">
        <v>67495279</v>
      </c>
      <c r="H45" s="35">
        <f t="shared" si="1"/>
        <v>6032190</v>
      </c>
      <c r="I45" s="35">
        <v>1781586</v>
      </c>
      <c r="J45" s="35">
        <v>4250604</v>
      </c>
    </row>
    <row r="46" spans="1:10" ht="12.75">
      <c r="A46" s="63" t="s">
        <v>238</v>
      </c>
      <c r="B46" s="64">
        <v>51343321</v>
      </c>
      <c r="C46" s="35">
        <f>59707699+1001167</f>
        <v>60708866</v>
      </c>
      <c r="D46" s="35">
        <f t="shared" si="2"/>
        <v>59704949</v>
      </c>
      <c r="E46" s="35">
        <v>24772308</v>
      </c>
      <c r="F46" s="35">
        <v>5574946</v>
      </c>
      <c r="G46" s="35">
        <v>28531222</v>
      </c>
      <c r="H46" s="35">
        <f t="shared" si="1"/>
        <v>826473</v>
      </c>
      <c r="J46" s="35">
        <v>826473</v>
      </c>
    </row>
    <row r="47" spans="1:10" ht="22.5">
      <c r="A47" s="63" t="s">
        <v>239</v>
      </c>
      <c r="B47" s="64">
        <v>2663393</v>
      </c>
      <c r="C47" s="35">
        <v>1681626</v>
      </c>
      <c r="D47" s="35">
        <f t="shared" si="2"/>
        <v>1666303</v>
      </c>
      <c r="E47" s="35">
        <v>156021</v>
      </c>
      <c r="G47" s="35">
        <v>1661590</v>
      </c>
      <c r="H47" s="35">
        <f t="shared" si="1"/>
        <v>-151308</v>
      </c>
      <c r="J47" s="35">
        <v>-151308</v>
      </c>
    </row>
    <row r="48" spans="1:7" ht="22.5">
      <c r="A48" s="63" t="s">
        <v>240</v>
      </c>
      <c r="B48" s="64">
        <v>82800304</v>
      </c>
      <c r="C48" s="35">
        <f>67843613+458489</f>
        <v>68302102</v>
      </c>
      <c r="D48" s="35">
        <f t="shared" si="2"/>
        <v>68161485</v>
      </c>
      <c r="E48" s="35">
        <v>63862678</v>
      </c>
      <c r="F48" s="35">
        <v>2993610</v>
      </c>
      <c r="G48" s="35">
        <v>1305197</v>
      </c>
    </row>
    <row r="49" spans="1:7" ht="33.75">
      <c r="A49" s="63" t="s">
        <v>241</v>
      </c>
      <c r="B49" s="64">
        <v>1347454</v>
      </c>
      <c r="C49" s="35">
        <v>894800</v>
      </c>
      <c r="D49" s="35">
        <f t="shared" si="2"/>
        <v>903564</v>
      </c>
      <c r="E49" s="35">
        <v>846299</v>
      </c>
      <c r="G49" s="35">
        <v>57265</v>
      </c>
    </row>
    <row r="50" spans="1:10" ht="12.75">
      <c r="A50" s="63" t="s">
        <v>242</v>
      </c>
      <c r="B50" s="64">
        <v>105977284</v>
      </c>
      <c r="C50" s="35">
        <v>88667902</v>
      </c>
      <c r="D50" s="35">
        <f t="shared" si="2"/>
        <v>85588940</v>
      </c>
      <c r="E50" s="35">
        <v>16903332</v>
      </c>
      <c r="F50" s="35">
        <v>46598990</v>
      </c>
      <c r="G50" s="35">
        <v>10761440</v>
      </c>
      <c r="H50" s="35">
        <f>SUM(I50:J50)</f>
        <v>11325178</v>
      </c>
      <c r="I50" s="35">
        <v>14473849</v>
      </c>
      <c r="J50" s="35">
        <v>-3148671</v>
      </c>
    </row>
    <row r="51" spans="1:10" ht="12.75">
      <c r="A51" s="63" t="s">
        <v>243</v>
      </c>
      <c r="B51" s="64">
        <v>30542614</v>
      </c>
      <c r="C51" s="35">
        <f>43349774+2525</f>
        <v>43352299</v>
      </c>
      <c r="D51" s="35">
        <f t="shared" si="2"/>
        <v>36439044</v>
      </c>
      <c r="E51" s="35">
        <v>21815783</v>
      </c>
      <c r="F51" s="35">
        <v>3085214</v>
      </c>
      <c r="G51" s="35">
        <v>1174074</v>
      </c>
      <c r="H51" s="35">
        <f>SUM(I51:J51)</f>
        <v>10363973</v>
      </c>
      <c r="I51" s="35">
        <v>9879285</v>
      </c>
      <c r="J51" s="35">
        <v>484688</v>
      </c>
    </row>
    <row r="52" spans="1:10" ht="22.5">
      <c r="A52" s="63" t="s">
        <v>244</v>
      </c>
      <c r="B52" s="64">
        <v>52701691</v>
      </c>
      <c r="C52" s="35">
        <v>70242124</v>
      </c>
      <c r="D52" s="35">
        <f t="shared" si="2"/>
        <v>54806501</v>
      </c>
      <c r="E52" s="35">
        <v>36532783</v>
      </c>
      <c r="G52" s="35">
        <v>3127652</v>
      </c>
      <c r="H52" s="35">
        <f>SUM(I52:J52)</f>
        <v>15146066</v>
      </c>
      <c r="I52" s="35">
        <v>15106562</v>
      </c>
      <c r="J52" s="35">
        <v>39504</v>
      </c>
    </row>
    <row r="54" spans="1:8" ht="60">
      <c r="A54" s="62" t="s">
        <v>245</v>
      </c>
      <c r="B54" s="54">
        <v>1745115876</v>
      </c>
      <c r="C54" s="54">
        <f aca="true" t="shared" si="3" ref="C54:H54">C55+C74</f>
        <v>1816217139</v>
      </c>
      <c r="D54" s="54">
        <f t="shared" si="3"/>
        <v>1743264666</v>
      </c>
      <c r="E54" s="54">
        <f t="shared" si="3"/>
        <v>576566997</v>
      </c>
      <c r="F54" s="54">
        <f t="shared" si="3"/>
        <v>714128736</v>
      </c>
      <c r="G54" s="54">
        <f t="shared" si="3"/>
        <v>406017488</v>
      </c>
      <c r="H54" s="54">
        <f t="shared" si="3"/>
        <v>46551445</v>
      </c>
    </row>
    <row r="55" spans="1:10" ht="12.75">
      <c r="A55" s="65" t="s">
        <v>246</v>
      </c>
      <c r="B55" s="66">
        <v>1732636831</v>
      </c>
      <c r="C55" s="66">
        <f aca="true" t="shared" si="4" ref="C55:H55">SUM(C56,C70)</f>
        <v>1804223145</v>
      </c>
      <c r="D55" s="54">
        <f t="shared" si="4"/>
        <v>1743967023</v>
      </c>
      <c r="E55" s="54">
        <f t="shared" si="4"/>
        <v>580092748</v>
      </c>
      <c r="F55" s="54">
        <f t="shared" si="4"/>
        <v>708763642</v>
      </c>
      <c r="G55" s="54">
        <f t="shared" si="4"/>
        <v>406240158</v>
      </c>
      <c r="H55" s="54">
        <f t="shared" si="4"/>
        <v>48870475</v>
      </c>
      <c r="I55" s="35">
        <f>SUM(I56,I70,I74)</f>
        <v>41492424</v>
      </c>
      <c r="J55" s="35">
        <f>SUM(J56,J70,J74)</f>
        <v>5059021</v>
      </c>
    </row>
    <row r="56" spans="1:10" ht="12.75">
      <c r="A56" s="67" t="s">
        <v>174</v>
      </c>
      <c r="B56" s="68">
        <v>1554977810</v>
      </c>
      <c r="C56" s="68">
        <f>SUM(C57,C68,C69)</f>
        <v>1616541952</v>
      </c>
      <c r="D56" s="54">
        <f aca="true" t="shared" si="5" ref="D56:D74">SUM(E56:H56)</f>
        <v>1567848511</v>
      </c>
      <c r="E56" s="54">
        <f>SUM(E57,E68,E69)</f>
        <v>526959617</v>
      </c>
      <c r="F56" s="54">
        <f>SUM(F57,F68,F69)</f>
        <v>677255825</v>
      </c>
      <c r="G56" s="54">
        <f>SUM(G57,G68,G69)</f>
        <v>331419306</v>
      </c>
      <c r="H56" s="54">
        <f>SUM(I56:J56)</f>
        <v>32213763</v>
      </c>
      <c r="I56" s="35">
        <f>SUM(I57,I68,I69)</f>
        <v>29164207</v>
      </c>
      <c r="J56" s="35">
        <f>SUM(J57,J68,J69)</f>
        <v>3049556</v>
      </c>
    </row>
    <row r="57" spans="1:10" ht="12.75">
      <c r="A57" s="69" t="s">
        <v>247</v>
      </c>
      <c r="B57" s="70">
        <v>700342978</v>
      </c>
      <c r="C57" s="70">
        <v>726947375</v>
      </c>
      <c r="D57" s="54">
        <f t="shared" si="5"/>
        <v>699146313</v>
      </c>
      <c r="E57" s="54">
        <f>SUM(E59:E67)</f>
        <v>350318818</v>
      </c>
      <c r="F57" s="54">
        <f>SUM(F59:F67)</f>
        <v>28444288</v>
      </c>
      <c r="G57" s="54">
        <f>SUM(G59:G67)</f>
        <v>297875470</v>
      </c>
      <c r="H57" s="54">
        <f>SUM(I57:J57)</f>
        <v>22507737</v>
      </c>
      <c r="I57" s="35">
        <f>SUM(I59:I67)</f>
        <v>19791001</v>
      </c>
      <c r="J57" s="35">
        <f>SUM(J59:J67)</f>
        <v>2716736</v>
      </c>
    </row>
    <row r="58" spans="1:4" ht="12.75">
      <c r="A58" s="63" t="s">
        <v>248</v>
      </c>
      <c r="B58" s="64">
        <v>11728131</v>
      </c>
      <c r="C58" s="64"/>
      <c r="D58" s="35"/>
    </row>
    <row r="59" spans="1:10" ht="12.75">
      <c r="A59" s="63" t="s">
        <v>249</v>
      </c>
      <c r="B59" s="64">
        <v>303799479</v>
      </c>
      <c r="C59" s="64">
        <f>316559063+581879</f>
        <v>317140942</v>
      </c>
      <c r="D59" s="35">
        <f t="shared" si="5"/>
        <v>313994396</v>
      </c>
      <c r="E59" s="35">
        <v>159645045</v>
      </c>
      <c r="F59" s="35">
        <v>1677625</v>
      </c>
      <c r="G59" s="35">
        <v>149731464</v>
      </c>
      <c r="H59" s="35">
        <f aca="true" t="shared" si="6" ref="H59:H64">SUM(I59:J59)</f>
        <v>2940262</v>
      </c>
      <c r="I59" s="35">
        <v>2577408</v>
      </c>
      <c r="J59" s="35">
        <v>362854</v>
      </c>
    </row>
    <row r="60" spans="1:10" ht="22.5">
      <c r="A60" s="63" t="s">
        <v>250</v>
      </c>
      <c r="B60" s="64">
        <v>82276811</v>
      </c>
      <c r="C60" s="64">
        <f>41465694+152320</f>
        <v>41618014</v>
      </c>
      <c r="D60" s="35">
        <f t="shared" si="5"/>
        <v>82389503</v>
      </c>
      <c r="E60" s="35">
        <v>41473880</v>
      </c>
      <c r="F60" s="35">
        <v>446521</v>
      </c>
      <c r="G60" s="35">
        <v>39734565</v>
      </c>
      <c r="H60" s="35">
        <f t="shared" si="6"/>
        <v>734537</v>
      </c>
      <c r="I60" s="35">
        <v>643363</v>
      </c>
      <c r="J60" s="35">
        <v>91174</v>
      </c>
    </row>
    <row r="61" spans="1:10" ht="22.5">
      <c r="A61" s="63" t="s">
        <v>251</v>
      </c>
      <c r="B61" s="64">
        <v>6761949</v>
      </c>
      <c r="C61" s="64">
        <f>1589059+420368</f>
        <v>2009427</v>
      </c>
      <c r="D61" s="35">
        <f t="shared" si="5"/>
        <v>7297889</v>
      </c>
      <c r="E61" s="35">
        <v>5066461</v>
      </c>
      <c r="F61" s="35">
        <v>788264</v>
      </c>
      <c r="G61" s="35">
        <v>1258533</v>
      </c>
      <c r="H61" s="35">
        <f t="shared" si="6"/>
        <v>184631</v>
      </c>
      <c r="I61" s="35">
        <v>89456</v>
      </c>
      <c r="J61" s="35">
        <v>95175</v>
      </c>
    </row>
    <row r="62" spans="1:10" ht="12.75">
      <c r="A62" s="63" t="s">
        <v>252</v>
      </c>
      <c r="B62" s="64">
        <v>172688485</v>
      </c>
      <c r="C62" s="64">
        <f>73148617+1933806</f>
        <v>75082423</v>
      </c>
      <c r="D62" s="35">
        <f t="shared" si="5"/>
        <v>171274724</v>
      </c>
      <c r="E62" s="35">
        <v>82044395</v>
      </c>
      <c r="F62" s="35">
        <v>21895375</v>
      </c>
      <c r="G62" s="35">
        <v>50800786</v>
      </c>
      <c r="H62" s="35">
        <f t="shared" si="6"/>
        <v>16534168</v>
      </c>
      <c r="I62" s="35">
        <v>14793033</v>
      </c>
      <c r="J62" s="35">
        <v>1741135</v>
      </c>
    </row>
    <row r="63" spans="1:10" ht="33.75">
      <c r="A63" s="63" t="s">
        <v>253</v>
      </c>
      <c r="B63" s="64">
        <v>119471804</v>
      </c>
      <c r="C63" s="64">
        <f>58601009+508690</f>
        <v>59109699</v>
      </c>
      <c r="D63" s="35">
        <f t="shared" si="5"/>
        <v>116898648</v>
      </c>
      <c r="E63" s="35">
        <v>59913737</v>
      </c>
      <c r="F63" s="35">
        <v>632393</v>
      </c>
      <c r="G63" s="35">
        <v>54319122</v>
      </c>
      <c r="H63" s="35">
        <f t="shared" si="6"/>
        <v>2033396</v>
      </c>
      <c r="I63" s="35">
        <v>1628629</v>
      </c>
      <c r="J63" s="35">
        <v>404767</v>
      </c>
    </row>
    <row r="64" spans="1:10" ht="12.75">
      <c r="A64" s="63" t="s">
        <v>254</v>
      </c>
      <c r="B64" s="64">
        <v>3616319</v>
      </c>
      <c r="C64" s="64">
        <f>2163738+36525</f>
        <v>2200263</v>
      </c>
      <c r="D64" s="35">
        <f t="shared" si="5"/>
        <v>3424187</v>
      </c>
      <c r="E64" s="35">
        <v>1294971</v>
      </c>
      <c r="F64" s="35">
        <v>17533</v>
      </c>
      <c r="G64" s="35">
        <v>2031000</v>
      </c>
      <c r="H64" s="35">
        <f t="shared" si="6"/>
        <v>80683</v>
      </c>
      <c r="I64" s="35">
        <v>59052</v>
      </c>
      <c r="J64" s="35">
        <v>21631</v>
      </c>
    </row>
    <row r="65" spans="1:6" ht="12.75">
      <c r="A65" s="63" t="s">
        <v>255</v>
      </c>
      <c r="B65" s="64">
        <v>2986577</v>
      </c>
      <c r="C65" s="64">
        <v>3851540</v>
      </c>
      <c r="D65" s="35">
        <f t="shared" si="5"/>
        <v>3866906</v>
      </c>
      <c r="E65" s="35">
        <v>880329</v>
      </c>
      <c r="F65" s="35">
        <v>2986577</v>
      </c>
    </row>
    <row r="66" spans="1:4" ht="12.75" customHeight="1" hidden="1">
      <c r="A66" s="63" t="s">
        <v>256</v>
      </c>
      <c r="B66" s="64"/>
      <c r="C66" s="64"/>
      <c r="D66" s="35">
        <f t="shared" si="5"/>
        <v>0</v>
      </c>
    </row>
    <row r="67" spans="1:9" ht="12.75">
      <c r="A67" s="63" t="s">
        <v>257</v>
      </c>
      <c r="B67" s="64"/>
      <c r="C67" s="64">
        <v>60</v>
      </c>
      <c r="D67" s="35"/>
      <c r="I67" s="35">
        <v>60</v>
      </c>
    </row>
    <row r="68" spans="1:10" ht="22.5">
      <c r="A68" s="69" t="s">
        <v>258</v>
      </c>
      <c r="B68" s="70">
        <v>29749783</v>
      </c>
      <c r="C68" s="70">
        <v>47948078</v>
      </c>
      <c r="D68" s="54">
        <f t="shared" si="5"/>
        <v>46859881</v>
      </c>
      <c r="E68" s="54">
        <v>39643663</v>
      </c>
      <c r="F68" s="54">
        <v>5549107</v>
      </c>
      <c r="G68" s="54">
        <v>1636861</v>
      </c>
      <c r="H68" s="54">
        <f aca="true" t="shared" si="7" ref="H68:H74">SUM(I68:J68)</f>
        <v>30250</v>
      </c>
      <c r="I68" s="35">
        <v>30203</v>
      </c>
      <c r="J68" s="35">
        <v>47</v>
      </c>
    </row>
    <row r="69" spans="1:10" ht="12.75">
      <c r="A69" s="69" t="s">
        <v>259</v>
      </c>
      <c r="B69" s="70">
        <v>839954237</v>
      </c>
      <c r="C69" s="70">
        <f>841109675+536824</f>
        <v>841646499</v>
      </c>
      <c r="D69" s="54">
        <f t="shared" si="5"/>
        <v>821842317</v>
      </c>
      <c r="E69" s="54">
        <v>136997136</v>
      </c>
      <c r="F69" s="54">
        <v>643262430</v>
      </c>
      <c r="G69" s="54">
        <v>31906975</v>
      </c>
      <c r="H69" s="54">
        <f t="shared" si="7"/>
        <v>9675776</v>
      </c>
      <c r="I69" s="35">
        <v>9343003</v>
      </c>
      <c r="J69" s="35">
        <v>332773</v>
      </c>
    </row>
    <row r="70" spans="1:10" ht="12.75">
      <c r="A70" s="67" t="s">
        <v>175</v>
      </c>
      <c r="B70" s="68">
        <v>177659021</v>
      </c>
      <c r="C70" s="68">
        <f>SUM(C71:C73)</f>
        <v>187681193</v>
      </c>
      <c r="D70" s="54">
        <f t="shared" si="5"/>
        <v>176118512</v>
      </c>
      <c r="E70" s="54">
        <f>SUM(E71:E73)</f>
        <v>53133131</v>
      </c>
      <c r="F70" s="54">
        <f>SUM(F71:F73)</f>
        <v>31507817</v>
      </c>
      <c r="G70" s="54">
        <f>SUM(G71:G73)</f>
        <v>74820852</v>
      </c>
      <c r="H70" s="54">
        <f t="shared" si="7"/>
        <v>16656712</v>
      </c>
      <c r="I70" s="35">
        <f>SUM(I71:I73)</f>
        <v>11187303</v>
      </c>
      <c r="J70" s="35">
        <f>SUM(J71:J73)</f>
        <v>5469409</v>
      </c>
    </row>
    <row r="71" spans="1:10" ht="12.75">
      <c r="A71" s="63" t="s">
        <v>260</v>
      </c>
      <c r="B71" s="64">
        <v>64171276</v>
      </c>
      <c r="C71" s="64">
        <f>77955679+1189310</f>
        <v>79144989</v>
      </c>
      <c r="D71" s="35">
        <f t="shared" si="5"/>
        <v>74752155</v>
      </c>
      <c r="E71" s="35">
        <v>22260133</v>
      </c>
      <c r="F71" s="35">
        <v>13018749</v>
      </c>
      <c r="G71" s="35">
        <v>23565296</v>
      </c>
      <c r="H71" s="35">
        <f t="shared" si="7"/>
        <v>15907977</v>
      </c>
      <c r="I71" s="35">
        <v>10440618</v>
      </c>
      <c r="J71" s="35">
        <v>5467359</v>
      </c>
    </row>
    <row r="72" spans="1:10" ht="12.75">
      <c r="A72" s="63" t="s">
        <v>261</v>
      </c>
      <c r="B72" s="64">
        <v>467329</v>
      </c>
      <c r="C72" s="64">
        <f>576849+22625</f>
        <v>599474</v>
      </c>
      <c r="D72" s="35">
        <f t="shared" si="5"/>
        <v>459157</v>
      </c>
      <c r="E72" s="35">
        <v>14200</v>
      </c>
      <c r="F72" s="35">
        <v>20298</v>
      </c>
      <c r="G72" s="35">
        <v>389505</v>
      </c>
      <c r="H72" s="35">
        <f t="shared" si="7"/>
        <v>35154</v>
      </c>
      <c r="I72" s="35">
        <v>33154</v>
      </c>
      <c r="J72" s="35">
        <v>2000</v>
      </c>
    </row>
    <row r="73" spans="1:10" ht="12.75">
      <c r="A73" s="63" t="s">
        <v>262</v>
      </c>
      <c r="B73" s="64">
        <v>113020416</v>
      </c>
      <c r="C73" s="64">
        <f>107878730+58000</f>
        <v>107936730</v>
      </c>
      <c r="D73" s="35">
        <f t="shared" si="5"/>
        <v>100907200</v>
      </c>
      <c r="E73" s="35">
        <v>30858798</v>
      </c>
      <c r="F73" s="35">
        <v>18468770</v>
      </c>
      <c r="G73" s="35">
        <v>50866051</v>
      </c>
      <c r="H73" s="35">
        <f t="shared" si="7"/>
        <v>713581</v>
      </c>
      <c r="I73" s="35">
        <v>713531</v>
      </c>
      <c r="J73" s="35">
        <v>50</v>
      </c>
    </row>
    <row r="74" spans="1:10" ht="12.75">
      <c r="A74" s="67" t="s">
        <v>263</v>
      </c>
      <c r="B74" s="68">
        <v>12479045</v>
      </c>
      <c r="C74" s="68">
        <v>11993994</v>
      </c>
      <c r="D74" s="54">
        <f t="shared" si="5"/>
        <v>-702357</v>
      </c>
      <c r="E74" s="54">
        <v>-3525751</v>
      </c>
      <c r="F74" s="54">
        <v>5365094</v>
      </c>
      <c r="G74" s="54">
        <v>-222670</v>
      </c>
      <c r="H74" s="54">
        <f t="shared" si="7"/>
        <v>-2319030</v>
      </c>
      <c r="I74" s="35">
        <v>1140914</v>
      </c>
      <c r="J74" s="35">
        <v>-3459944</v>
      </c>
    </row>
    <row r="77" spans="1:10" s="71" customFormat="1" ht="15">
      <c r="A77" s="71" t="s">
        <v>264</v>
      </c>
      <c r="E77" s="72"/>
      <c r="F77" s="72"/>
      <c r="G77" s="72" t="s">
        <v>265</v>
      </c>
      <c r="H77" s="72"/>
      <c r="I77" s="72"/>
      <c r="J77" s="72"/>
    </row>
    <row r="79" spans="1:8" ht="26.25" customHeight="1">
      <c r="A79" s="482" t="s">
        <v>1662</v>
      </c>
      <c r="B79" s="482"/>
      <c r="C79" s="482"/>
      <c r="D79" s="482"/>
      <c r="E79" s="482"/>
      <c r="F79" s="482"/>
      <c r="G79" s="482"/>
      <c r="H79" s="482"/>
    </row>
  </sheetData>
  <mergeCells count="3">
    <mergeCell ref="A2:H2"/>
    <mergeCell ref="E4:H4"/>
    <mergeCell ref="A79:H79"/>
  </mergeCells>
  <printOptions/>
  <pageMargins left="1.12" right="0.75" top="0.67" bottom="0.44" header="0.18" footer="0.26"/>
  <pageSetup horizontalDpi="600" verticalDpi="600" orientation="landscape" paperSize="9" r:id="rId3"/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F83">
      <selection activeCell="F51" sqref="A51:IV51"/>
    </sheetView>
  </sheetViews>
  <sheetFormatPr defaultColWidth="9.140625" defaultRowHeight="12.75"/>
  <cols>
    <col min="1" max="2" width="0.9921875" style="0" hidden="1" customWidth="1"/>
    <col min="3" max="3" width="3.00390625" style="0" hidden="1" customWidth="1"/>
    <col min="4" max="4" width="4.00390625" style="0" hidden="1" customWidth="1"/>
    <col min="5" max="5" width="5.140625" style="0" customWidth="1"/>
    <col min="6" max="6" width="46.421875" style="73" customWidth="1"/>
    <col min="7" max="7" width="4.7109375" style="35" hidden="1" customWidth="1"/>
    <col min="8" max="8" width="16.8515625" style="35" customWidth="1"/>
    <col min="9" max="9" width="17.00390625" style="35" customWidth="1"/>
    <col min="10" max="11" width="11.140625" style="0" customWidth="1"/>
  </cols>
  <sheetData>
    <row r="1" ht="12.75">
      <c r="I1" s="36" t="s">
        <v>266</v>
      </c>
    </row>
    <row r="2" ht="26.25" customHeight="1"/>
    <row r="3" spans="6:9" ht="35.25" customHeight="1">
      <c r="F3" s="483" t="s">
        <v>267</v>
      </c>
      <c r="G3" s="483"/>
      <c r="H3" s="483"/>
      <c r="I3" s="483"/>
    </row>
    <row r="4" spans="6:9" ht="15.75" customHeight="1">
      <c r="F4" s="74" t="s">
        <v>268</v>
      </c>
      <c r="G4" s="37"/>
      <c r="H4" s="37"/>
      <c r="I4" s="37"/>
    </row>
    <row r="5" ht="12.75">
      <c r="I5" s="41" t="s">
        <v>199</v>
      </c>
    </row>
    <row r="6" spans="6:9" ht="25.5">
      <c r="F6" s="75" t="s">
        <v>269</v>
      </c>
      <c r="G6" s="76"/>
      <c r="H6" s="75" t="s">
        <v>270</v>
      </c>
      <c r="I6" s="75" t="s">
        <v>271</v>
      </c>
    </row>
    <row r="7" spans="6:9" ht="12.75">
      <c r="F7" s="75">
        <v>1</v>
      </c>
      <c r="G7" s="76"/>
      <c r="H7" s="75">
        <v>2</v>
      </c>
      <c r="I7" s="75">
        <v>3</v>
      </c>
    </row>
    <row r="9" spans="1:9" ht="12.75" hidden="1">
      <c r="A9" t="s">
        <v>272</v>
      </c>
      <c r="B9" t="s">
        <v>273</v>
      </c>
      <c r="C9" t="s">
        <v>274</v>
      </c>
      <c r="D9" t="s">
        <v>275</v>
      </c>
      <c r="E9" t="s">
        <v>276</v>
      </c>
      <c r="F9" s="73" t="s">
        <v>277</v>
      </c>
      <c r="G9" s="35" t="s">
        <v>278</v>
      </c>
      <c r="H9" s="35" t="s">
        <v>279</v>
      </c>
      <c r="I9" s="35" t="s">
        <v>280</v>
      </c>
    </row>
    <row r="10" spans="1:7" ht="12.75">
      <c r="A10">
        <v>1</v>
      </c>
      <c r="B10" t="b">
        <v>0</v>
      </c>
      <c r="C10">
        <v>1</v>
      </c>
      <c r="D10">
        <v>74</v>
      </c>
      <c r="F10" s="77" t="s">
        <v>282</v>
      </c>
      <c r="G10" s="35" t="s">
        <v>281</v>
      </c>
    </row>
    <row r="11" spans="1:9" ht="12.75">
      <c r="A11">
        <v>1</v>
      </c>
      <c r="B11" t="b">
        <v>0</v>
      </c>
      <c r="C11">
        <v>2</v>
      </c>
      <c r="D11">
        <v>1</v>
      </c>
      <c r="F11" s="78" t="s">
        <v>283</v>
      </c>
      <c r="G11" s="35" t="s">
        <v>281</v>
      </c>
      <c r="H11" s="54">
        <f>'[1]pasvaldības'!H11+'[1]ministrijas'!H11</f>
        <v>1537054624</v>
      </c>
      <c r="I11" s="54">
        <f>'[1]pasvaldības'!I11+'[1]ministrijas'!I11</f>
        <v>1924275261</v>
      </c>
    </row>
    <row r="12" spans="8:9" ht="12.75">
      <c r="H12" s="54"/>
      <c r="I12" s="54"/>
    </row>
    <row r="13" spans="1:9" ht="12.75">
      <c r="A13">
        <v>1</v>
      </c>
      <c r="B13" t="b">
        <v>0</v>
      </c>
      <c r="C13">
        <v>3</v>
      </c>
      <c r="D13">
        <v>2</v>
      </c>
      <c r="F13" s="77" t="s">
        <v>284</v>
      </c>
      <c r="G13" s="35" t="s">
        <v>285</v>
      </c>
      <c r="H13" s="54">
        <f>'[1]pasvaldības'!H13+'[1]ministrijas'!H13</f>
        <v>7196027</v>
      </c>
      <c r="I13" s="54">
        <f>'[1]pasvaldības'!I13+'[1]ministrijas'!I13</f>
        <v>11565301</v>
      </c>
    </row>
    <row r="14" spans="1:9" ht="25.5">
      <c r="A14">
        <v>0</v>
      </c>
      <c r="B14" t="b">
        <v>1</v>
      </c>
      <c r="C14">
        <v>4</v>
      </c>
      <c r="D14">
        <v>80</v>
      </c>
      <c r="F14" s="73" t="s">
        <v>286</v>
      </c>
      <c r="G14" s="35" t="s">
        <v>287</v>
      </c>
      <c r="H14" s="54">
        <f>'[1]pasvaldības'!H14+'[1]ministrijas'!H14</f>
        <v>7026584</v>
      </c>
      <c r="I14" s="54">
        <f>'[1]pasvaldības'!I14+'[1]ministrijas'!I14</f>
        <v>10345484</v>
      </c>
    </row>
    <row r="15" spans="1:9" ht="12.75">
      <c r="A15">
        <v>0</v>
      </c>
      <c r="B15" t="b">
        <v>1</v>
      </c>
      <c r="C15">
        <v>5</v>
      </c>
      <c r="D15">
        <v>81</v>
      </c>
      <c r="F15" s="73" t="s">
        <v>288</v>
      </c>
      <c r="G15" s="35" t="s">
        <v>289</v>
      </c>
      <c r="H15" s="54">
        <f>'[1]pasvaldības'!H15+'[1]ministrijas'!H15</f>
        <v>169658</v>
      </c>
      <c r="I15" s="54">
        <f>'[1]pasvaldības'!I15+'[1]ministrijas'!I15</f>
        <v>1220032</v>
      </c>
    </row>
    <row r="16" spans="1:9" ht="12.75">
      <c r="A16">
        <v>1</v>
      </c>
      <c r="B16" t="b">
        <v>0</v>
      </c>
      <c r="C16">
        <v>6</v>
      </c>
      <c r="D16">
        <v>3</v>
      </c>
      <c r="F16" s="77" t="s">
        <v>290</v>
      </c>
      <c r="G16" s="35" t="s">
        <v>291</v>
      </c>
      <c r="H16" s="54">
        <f>'[1]pasvaldības'!H16+'[1]ministrijas'!H16</f>
        <v>1416791458</v>
      </c>
      <c r="I16" s="54">
        <f>'[1]pasvaldības'!I16+'[1]ministrijas'!I16</f>
        <v>1600691610</v>
      </c>
    </row>
    <row r="17" spans="1:9" ht="12.75">
      <c r="A17">
        <v>0</v>
      </c>
      <c r="B17" t="b">
        <v>1</v>
      </c>
      <c r="C17">
        <v>7</v>
      </c>
      <c r="D17">
        <v>76</v>
      </c>
      <c r="F17" s="73" t="s">
        <v>292</v>
      </c>
      <c r="G17" s="35" t="s">
        <v>293</v>
      </c>
      <c r="H17" s="54">
        <f>'[1]pasvaldības'!H17+'[1]ministrijas'!H17</f>
        <v>65461575</v>
      </c>
      <c r="I17" s="54">
        <f>'[1]pasvaldības'!I17+'[1]ministrijas'!I17</f>
        <v>206627741</v>
      </c>
    </row>
    <row r="18" spans="1:11" ht="12.75">
      <c r="A18">
        <v>0</v>
      </c>
      <c r="B18" t="b">
        <v>1</v>
      </c>
      <c r="C18">
        <v>8</v>
      </c>
      <c r="D18">
        <v>84</v>
      </c>
      <c r="F18" s="73" t="s">
        <v>294</v>
      </c>
      <c r="G18" s="35" t="s">
        <v>295</v>
      </c>
      <c r="H18" s="54">
        <f>'[1]pasvaldības'!H18+'[1]ministrijas'!H18</f>
        <v>1139488331</v>
      </c>
      <c r="I18" s="54">
        <f>'[1]pasvaldības'!I18+'[1]ministrijas'!I18</f>
        <v>1437917606</v>
      </c>
      <c r="J18" s="54"/>
      <c r="K18" s="54"/>
    </row>
    <row r="19" spans="6:9" ht="12.75">
      <c r="F19" s="79" t="s">
        <v>296</v>
      </c>
      <c r="H19" s="54">
        <f>'[1]pasvaldības'!H19+'[1]ministrijas'!H19</f>
        <v>216003033</v>
      </c>
      <c r="I19" s="54">
        <f>'[1]pasvaldības'!I19+'[1]ministrijas'!I19</f>
        <v>330719503</v>
      </c>
    </row>
    <row r="20" spans="6:9" ht="12.75">
      <c r="F20" s="79" t="s">
        <v>297</v>
      </c>
      <c r="H20" s="54">
        <f>'[1]pasvaldības'!H20+'[1]ministrijas'!H20</f>
        <v>298379252</v>
      </c>
      <c r="I20" s="54">
        <f>'[1]pasvaldības'!I20+'[1]ministrijas'!I20</f>
        <v>339049090</v>
      </c>
    </row>
    <row r="21" spans="6:9" ht="12.75">
      <c r="F21" s="79" t="s">
        <v>298</v>
      </c>
      <c r="H21" s="54">
        <f>'[1]pasvaldības'!H21+'[1]ministrijas'!H21</f>
        <v>220198705</v>
      </c>
      <c r="I21" s="54">
        <f>'[1]pasvaldības'!I21+'[1]ministrijas'!I21</f>
        <v>305124978</v>
      </c>
    </row>
    <row r="22" spans="6:9" ht="12.75">
      <c r="F22" s="79" t="s">
        <v>299</v>
      </c>
      <c r="H22" s="54">
        <f>'[1]pasvaldības'!H22+'[1]ministrijas'!H22</f>
        <v>256352065</v>
      </c>
      <c r="I22" s="54">
        <f>'[1]pasvaldības'!I22+'[1]ministrijas'!I22</f>
        <v>282664489</v>
      </c>
    </row>
    <row r="23" spans="6:9" ht="12.75">
      <c r="F23" s="79" t="s">
        <v>300</v>
      </c>
      <c r="H23" s="54">
        <f>'[1]pasvaldības'!H23+'[1]ministrijas'!H23</f>
        <v>128004489</v>
      </c>
      <c r="I23" s="54">
        <f>'[1]pasvaldības'!I23+'[1]ministrijas'!I23</f>
        <v>148390187</v>
      </c>
    </row>
    <row r="24" spans="6:9" ht="12.75">
      <c r="F24" s="79" t="s">
        <v>301</v>
      </c>
      <c r="H24" s="54">
        <f>'[1]pasvaldības'!H24+'[1]ministrijas'!H24</f>
        <v>186409</v>
      </c>
      <c r="I24" s="54">
        <f>'[1]pasvaldības'!I24+'[1]ministrijas'!I24</f>
        <v>2546303</v>
      </c>
    </row>
    <row r="25" spans="6:9" ht="12.75">
      <c r="F25" s="79" t="s">
        <v>302</v>
      </c>
      <c r="H25" s="54">
        <f>'[1]pasvaldības'!H25+'[1]ministrijas'!H25</f>
        <v>3463496</v>
      </c>
      <c r="I25" s="54">
        <f>'[1]pasvaldības'!I25+'[1]ministrijas'!I25</f>
        <v>8388629</v>
      </c>
    </row>
    <row r="26" spans="6:9" ht="12.75">
      <c r="F26" s="79" t="s">
        <v>303</v>
      </c>
      <c r="H26" s="54">
        <f>'[1]pasvaldības'!H26+'[1]ministrijas'!H26</f>
        <v>707</v>
      </c>
      <c r="I26" s="54">
        <f>'[1]pasvaldības'!I26+'[1]ministrijas'!I26</f>
        <v>7985</v>
      </c>
    </row>
    <row r="27" spans="6:9" ht="12.75">
      <c r="F27" s="79" t="s">
        <v>304</v>
      </c>
      <c r="H27" s="54">
        <f>'[1]pasvaldības'!H27+'[1]ministrijas'!H27</f>
        <v>126838</v>
      </c>
      <c r="I27" s="54">
        <f>'[1]pasvaldības'!I27+'[1]ministrijas'!I27</f>
        <v>139818</v>
      </c>
    </row>
    <row r="28" spans="6:9" ht="12.75">
      <c r="F28" s="79" t="s">
        <v>305</v>
      </c>
      <c r="H28" s="54">
        <f>'[1]pasvaldības'!H28+'[1]ministrijas'!H28</f>
        <v>16773337</v>
      </c>
      <c r="I28" s="54">
        <f>'[1]pasvaldības'!I28+'[1]ministrijas'!I28</f>
        <v>20886624</v>
      </c>
    </row>
    <row r="29" spans="6:9" ht="25.5">
      <c r="F29" s="73" t="s">
        <v>306</v>
      </c>
      <c r="G29" s="35" t="s">
        <v>307</v>
      </c>
      <c r="H29" s="54">
        <f>'[1]pasvaldības'!H29+'[1]ministrijas'!H29</f>
        <v>53873899</v>
      </c>
      <c r="I29" s="54">
        <f>'[1]pasvaldības'!I29+'[1]ministrijas'!I29</f>
        <v>49840038</v>
      </c>
    </row>
    <row r="30" spans="6:9" ht="12.75">
      <c r="F30" s="73" t="s">
        <v>308</v>
      </c>
      <c r="G30" s="35" t="s">
        <v>309</v>
      </c>
      <c r="H30" s="54">
        <f>'[1]pasvaldības'!H30+'[1]ministrijas'!H30</f>
        <v>123023476</v>
      </c>
      <c r="I30" s="54">
        <f>'[1]pasvaldības'!I30+'[1]ministrijas'!I30</f>
        <v>142639170</v>
      </c>
    </row>
    <row r="31" spans="1:11" ht="12.75">
      <c r="A31">
        <v>0</v>
      </c>
      <c r="B31" t="b">
        <v>1</v>
      </c>
      <c r="C31">
        <v>9</v>
      </c>
      <c r="D31">
        <v>85</v>
      </c>
      <c r="F31" s="80" t="s">
        <v>310</v>
      </c>
      <c r="G31" s="35" t="s">
        <v>311</v>
      </c>
      <c r="H31" s="54">
        <f>'[1]pasvaldības'!H31+'[1]ministrijas'!H31</f>
        <v>165867327</v>
      </c>
      <c r="I31" s="54">
        <f>'[1]pasvaldības'!I31+'[1]ministrijas'!I31</f>
        <v>176922537</v>
      </c>
      <c r="J31" s="54"/>
      <c r="K31" s="54"/>
    </row>
    <row r="32" spans="6:9" ht="12.75">
      <c r="F32" s="79" t="s">
        <v>312</v>
      </c>
      <c r="H32" s="54">
        <f>'[1]pasvaldības'!H32+'[1]ministrijas'!H32</f>
        <v>54416457</v>
      </c>
      <c r="I32" s="54">
        <f>'[1]pasvaldības'!I32+'[1]ministrijas'!I32</f>
        <v>53160101</v>
      </c>
    </row>
    <row r="33" spans="1:9" ht="12.75">
      <c r="A33">
        <v>0</v>
      </c>
      <c r="B33" t="b">
        <v>1</v>
      </c>
      <c r="C33">
        <v>10</v>
      </c>
      <c r="D33">
        <v>86</v>
      </c>
      <c r="F33" s="79" t="s">
        <v>313</v>
      </c>
      <c r="H33" s="54">
        <f>'[1]pasvaldības'!H33+'[1]ministrijas'!H33</f>
        <v>28289837</v>
      </c>
      <c r="I33" s="54">
        <f>'[1]pasvaldības'!I33+'[1]ministrijas'!I33</f>
        <v>33250669</v>
      </c>
    </row>
    <row r="34" spans="1:9" ht="12.75">
      <c r="A34">
        <v>0</v>
      </c>
      <c r="B34" t="b">
        <v>1</v>
      </c>
      <c r="C34">
        <v>11</v>
      </c>
      <c r="D34">
        <v>87</v>
      </c>
      <c r="F34" s="79" t="s">
        <v>314</v>
      </c>
      <c r="H34" s="54">
        <f>'[1]pasvaldības'!H34+'[1]ministrijas'!H34</f>
        <v>17915369</v>
      </c>
      <c r="I34" s="54">
        <f>'[1]pasvaldības'!I34+'[1]ministrijas'!I34</f>
        <v>20523160</v>
      </c>
    </row>
    <row r="35" spans="6:9" ht="12.75">
      <c r="F35" s="79" t="s">
        <v>315</v>
      </c>
      <c r="H35" s="54">
        <f>'[1]pasvaldības'!H35+'[1]ministrijas'!H35</f>
        <v>40634</v>
      </c>
      <c r="I35" s="54">
        <f>'[1]pasvaldības'!I35+'[1]ministrijas'!I35</f>
        <v>41269</v>
      </c>
    </row>
    <row r="36" spans="6:9" ht="12.75">
      <c r="F36" s="79" t="s">
        <v>316</v>
      </c>
      <c r="H36" s="54">
        <f>'[1]pasvaldības'!H36+'[1]ministrijas'!H36</f>
        <v>91875</v>
      </c>
      <c r="I36" s="54">
        <f>'[1]pasvaldības'!I36+'[1]ministrijas'!I36</f>
        <v>94825</v>
      </c>
    </row>
    <row r="37" spans="6:9" ht="12.75">
      <c r="F37" s="79" t="s">
        <v>317</v>
      </c>
      <c r="H37" s="54">
        <f>'[1]pasvaldības'!H37+'[1]ministrijas'!H37</f>
        <v>65113155</v>
      </c>
      <c r="I37" s="54">
        <f>'[1]pasvaldības'!I37+'[1]ministrijas'!I37</f>
        <v>69852513</v>
      </c>
    </row>
    <row r="38" spans="1:9" ht="12.75">
      <c r="A38">
        <v>1</v>
      </c>
      <c r="B38" t="b">
        <v>0</v>
      </c>
      <c r="C38">
        <v>12</v>
      </c>
      <c r="D38">
        <v>4</v>
      </c>
      <c r="F38" s="77" t="s">
        <v>318</v>
      </c>
      <c r="G38" s="35" t="s">
        <v>319</v>
      </c>
      <c r="H38" s="54">
        <f>'[1]pasvaldības'!H38+'[1]ministrijas'!H38</f>
        <v>113067139</v>
      </c>
      <c r="I38" s="54">
        <f>'[1]pasvaldības'!I38+'[1]ministrijas'!I38</f>
        <v>312017881</v>
      </c>
    </row>
    <row r="39" spans="1:9" ht="12.75">
      <c r="A39">
        <v>0</v>
      </c>
      <c r="B39" t="b">
        <v>1</v>
      </c>
      <c r="C39">
        <v>13</v>
      </c>
      <c r="D39">
        <v>89</v>
      </c>
      <c r="F39" s="73" t="s">
        <v>320</v>
      </c>
      <c r="G39" s="35" t="s">
        <v>321</v>
      </c>
      <c r="H39" s="54">
        <f>'[1]pasvaldības'!H39+'[1]ministrijas'!H39</f>
        <v>102542442</v>
      </c>
      <c r="I39" s="54">
        <f>'[1]pasvaldības'!I39+'[1]ministrijas'!I39</f>
        <v>182452165</v>
      </c>
    </row>
    <row r="40" spans="1:9" ht="12.75">
      <c r="A40">
        <v>0</v>
      </c>
      <c r="B40" t="b">
        <v>1</v>
      </c>
      <c r="C40">
        <v>14</v>
      </c>
      <c r="D40">
        <v>90</v>
      </c>
      <c r="F40" s="73" t="s">
        <v>322</v>
      </c>
      <c r="G40" s="35" t="s">
        <v>323</v>
      </c>
      <c r="H40" s="54">
        <f>'[1]pasvaldības'!H40+'[1]ministrijas'!H40</f>
        <v>7141938</v>
      </c>
      <c r="I40" s="54">
        <f>'[1]pasvaldības'!I40+'[1]ministrijas'!I40</f>
        <v>8434533</v>
      </c>
    </row>
    <row r="41" spans="1:9" ht="12.75">
      <c r="A41">
        <v>0</v>
      </c>
      <c r="B41" t="b">
        <v>1</v>
      </c>
      <c r="C41">
        <v>15</v>
      </c>
      <c r="D41">
        <v>91</v>
      </c>
      <c r="F41" s="73" t="s">
        <v>324</v>
      </c>
      <c r="G41" s="35" t="s">
        <v>325</v>
      </c>
      <c r="H41" s="54">
        <f>'[1]pasvaldības'!H41+'[1]ministrijas'!H41</f>
        <v>3246241</v>
      </c>
      <c r="I41" s="54">
        <f>'[1]pasvaldības'!I41+'[1]ministrijas'!I41</f>
        <v>16077543</v>
      </c>
    </row>
    <row r="42" spans="1:9" ht="12.75">
      <c r="A42">
        <v>0</v>
      </c>
      <c r="B42" t="b">
        <v>1</v>
      </c>
      <c r="C42">
        <v>16</v>
      </c>
      <c r="D42">
        <v>92</v>
      </c>
      <c r="F42" s="73" t="s">
        <v>326</v>
      </c>
      <c r="G42" s="35" t="s">
        <v>327</v>
      </c>
      <c r="H42" s="54">
        <f>'[1]pasvaldības'!H42+'[1]ministrijas'!H42</f>
        <v>136518</v>
      </c>
      <c r="I42" s="54">
        <f>'[1]pasvaldības'!I42+'[1]ministrijas'!I42</f>
        <v>105053640</v>
      </c>
    </row>
    <row r="43" spans="1:9" ht="12.75">
      <c r="A43">
        <v>1</v>
      </c>
      <c r="B43" t="b">
        <v>0</v>
      </c>
      <c r="C43">
        <v>18</v>
      </c>
      <c r="D43">
        <v>6</v>
      </c>
      <c r="F43" s="78" t="s">
        <v>328</v>
      </c>
      <c r="G43" s="35" t="s">
        <v>281</v>
      </c>
      <c r="H43" s="54">
        <f>'[1]pasvaldības'!H43+'[1]ministrijas'!H43</f>
        <v>128708792</v>
      </c>
      <c r="I43" s="54">
        <f>'[1]pasvaldības'!I43+'[1]ministrijas'!I43</f>
        <v>175844680</v>
      </c>
    </row>
    <row r="44" spans="1:9" ht="12.75">
      <c r="A44">
        <v>1</v>
      </c>
      <c r="B44" t="b">
        <v>1</v>
      </c>
      <c r="C44">
        <v>19</v>
      </c>
      <c r="D44">
        <v>7</v>
      </c>
      <c r="F44" s="77" t="s">
        <v>329</v>
      </c>
      <c r="G44" s="35" t="s">
        <v>330</v>
      </c>
      <c r="H44" s="54">
        <f>'[1]pasvaldības'!H44+'[1]ministrijas'!H44</f>
        <v>14060061</v>
      </c>
      <c r="I44" s="54">
        <f>'[1]pasvaldības'!I44+'[1]ministrijas'!I44</f>
        <v>14546233</v>
      </c>
    </row>
    <row r="45" spans="1:9" ht="12.75">
      <c r="A45">
        <v>0</v>
      </c>
      <c r="B45" t="b">
        <v>1</v>
      </c>
      <c r="C45">
        <v>20</v>
      </c>
      <c r="D45">
        <v>8</v>
      </c>
      <c r="F45" s="73" t="s">
        <v>331</v>
      </c>
      <c r="G45" s="35" t="s">
        <v>332</v>
      </c>
      <c r="H45" s="54">
        <f>'[1]pasvaldības'!H45+'[1]ministrijas'!H45</f>
        <v>13075481</v>
      </c>
      <c r="I45" s="54">
        <f>'[1]pasvaldības'!I45+'[1]ministrijas'!I45</f>
        <v>13309410</v>
      </c>
    </row>
    <row r="46" spans="1:9" ht="12.75">
      <c r="A46">
        <v>0</v>
      </c>
      <c r="B46" t="b">
        <v>1</v>
      </c>
      <c r="C46">
        <v>21</v>
      </c>
      <c r="D46">
        <v>9</v>
      </c>
      <c r="F46" s="73" t="s">
        <v>333</v>
      </c>
      <c r="G46" s="35" t="s">
        <v>334</v>
      </c>
      <c r="H46" s="54">
        <f>'[1]pasvaldības'!H46+'[1]ministrijas'!H46</f>
        <v>86485</v>
      </c>
      <c r="I46" s="54">
        <f>'[1]pasvaldības'!I46+'[1]ministrijas'!I46</f>
        <v>49581</v>
      </c>
    </row>
    <row r="47" spans="1:9" ht="12.75">
      <c r="A47">
        <v>0</v>
      </c>
      <c r="B47" t="b">
        <v>1</v>
      </c>
      <c r="C47">
        <v>22</v>
      </c>
      <c r="D47">
        <v>10</v>
      </c>
      <c r="F47" s="73" t="s">
        <v>335</v>
      </c>
      <c r="G47" s="35" t="s">
        <v>336</v>
      </c>
      <c r="H47" s="54">
        <f>'[1]pasvaldības'!H47+'[1]ministrijas'!H47</f>
        <v>889971</v>
      </c>
      <c r="I47" s="54">
        <f>'[1]pasvaldības'!I47+'[1]ministrijas'!I47</f>
        <v>864511</v>
      </c>
    </row>
    <row r="48" spans="1:9" ht="12.75">
      <c r="A48">
        <v>0</v>
      </c>
      <c r="B48" t="b">
        <v>1</v>
      </c>
      <c r="C48">
        <v>23</v>
      </c>
      <c r="D48">
        <v>11</v>
      </c>
      <c r="F48" s="73" t="s">
        <v>337</v>
      </c>
      <c r="G48" s="35" t="s">
        <v>338</v>
      </c>
      <c r="H48" s="54">
        <f>'[1]pasvaldības'!H48+'[1]ministrijas'!H48</f>
        <v>8124</v>
      </c>
      <c r="I48" s="54">
        <f>'[1]pasvaldības'!I48+'[1]ministrijas'!I48</f>
        <v>322719</v>
      </c>
    </row>
    <row r="49" spans="1:9" ht="12.75">
      <c r="A49">
        <v>0</v>
      </c>
      <c r="B49" t="b">
        <v>1</v>
      </c>
      <c r="C49">
        <v>24</v>
      </c>
      <c r="D49">
        <v>12</v>
      </c>
      <c r="F49" s="73" t="s">
        <v>339</v>
      </c>
      <c r="G49" s="35" t="s">
        <v>340</v>
      </c>
      <c r="H49" s="54">
        <f>'[1]pasvaldības'!H49+'[1]ministrijas'!H49</f>
        <v>0</v>
      </c>
      <c r="I49" s="54">
        <f>'[1]pasvaldības'!I49+'[1]ministrijas'!I49</f>
        <v>12</v>
      </c>
    </row>
    <row r="50" spans="8:9" ht="12.75">
      <c r="H50" s="54"/>
      <c r="I50" s="54"/>
    </row>
    <row r="51" spans="1:9" ht="12.75">
      <c r="A51">
        <v>1</v>
      </c>
      <c r="B51" t="b">
        <v>1</v>
      </c>
      <c r="C51">
        <v>25</v>
      </c>
      <c r="D51">
        <v>13</v>
      </c>
      <c r="F51" s="77" t="s">
        <v>341</v>
      </c>
      <c r="G51" s="35" t="s">
        <v>342</v>
      </c>
      <c r="H51" s="54">
        <f>'[1]pasvaldības'!H51+'[1]ministrijas'!H51</f>
        <v>370433</v>
      </c>
      <c r="I51" s="54">
        <f>'[1]pasvaldības'!I51+'[1]ministrijas'!I51</f>
        <v>250566</v>
      </c>
    </row>
    <row r="52" spans="1:9" ht="12.75">
      <c r="A52">
        <v>1</v>
      </c>
      <c r="B52" t="b">
        <v>1</v>
      </c>
      <c r="C52">
        <v>26</v>
      </c>
      <c r="D52">
        <v>14</v>
      </c>
      <c r="F52" s="77" t="s">
        <v>343</v>
      </c>
      <c r="G52" s="35" t="s">
        <v>344</v>
      </c>
      <c r="H52" s="54">
        <f>'[1]pasvaldības'!H52+'[1]ministrijas'!H52</f>
        <v>50024617</v>
      </c>
      <c r="I52" s="54">
        <f>'[1]pasvaldības'!I52+'[1]ministrijas'!I52</f>
        <v>92651853</v>
      </c>
    </row>
    <row r="53" spans="1:9" ht="12.75">
      <c r="A53">
        <v>1</v>
      </c>
      <c r="B53" t="b">
        <v>1</v>
      </c>
      <c r="C53">
        <v>27</v>
      </c>
      <c r="D53">
        <v>35</v>
      </c>
      <c r="F53" s="77" t="s">
        <v>345</v>
      </c>
      <c r="G53" s="35" t="s">
        <v>346</v>
      </c>
      <c r="H53" s="54">
        <f>'[1]pasvaldības'!H53+'[1]ministrijas'!H53</f>
        <v>8829254</v>
      </c>
      <c r="I53" s="54">
        <f>'[1]pasvaldības'!I53+'[1]ministrijas'!I53</f>
        <v>5142000</v>
      </c>
    </row>
    <row r="54" spans="1:9" ht="12.75">
      <c r="A54">
        <v>1</v>
      </c>
      <c r="B54" t="b">
        <v>1</v>
      </c>
      <c r="C54">
        <v>28</v>
      </c>
      <c r="D54">
        <v>15</v>
      </c>
      <c r="F54" s="77" t="s">
        <v>347</v>
      </c>
      <c r="G54" s="35" t="s">
        <v>348</v>
      </c>
      <c r="H54" s="54">
        <f>'[1]pasvaldības'!H54+'[1]ministrijas'!H54</f>
        <v>3413020</v>
      </c>
      <c r="I54" s="54">
        <f>'[1]pasvaldības'!I54+'[1]ministrijas'!I54</f>
        <v>13389440</v>
      </c>
    </row>
    <row r="55" spans="6:9" ht="12.75">
      <c r="F55" s="77"/>
      <c r="H55" s="54"/>
      <c r="I55" s="54"/>
    </row>
    <row r="56" spans="1:9" ht="12.75">
      <c r="A56">
        <v>1</v>
      </c>
      <c r="B56" t="b">
        <v>1</v>
      </c>
      <c r="C56">
        <v>29</v>
      </c>
      <c r="D56">
        <v>16</v>
      </c>
      <c r="F56" s="77" t="s">
        <v>349</v>
      </c>
      <c r="G56" s="35" t="s">
        <v>350</v>
      </c>
      <c r="H56" s="54">
        <f>'[1]pasvaldības'!H56+'[1]ministrijas'!H56</f>
        <v>52011407</v>
      </c>
      <c r="I56" s="54">
        <f>'[1]pasvaldības'!I56+'[1]ministrijas'!I56</f>
        <v>49863718</v>
      </c>
    </row>
    <row r="57" spans="1:9" ht="12.75">
      <c r="A57">
        <v>0</v>
      </c>
      <c r="B57" t="b">
        <v>1</v>
      </c>
      <c r="C57">
        <v>30</v>
      </c>
      <c r="D57">
        <v>17</v>
      </c>
      <c r="F57" s="73" t="s">
        <v>351</v>
      </c>
      <c r="G57" s="35" t="s">
        <v>352</v>
      </c>
      <c r="H57" s="54">
        <f>'[1]pasvaldības'!H57+'[1]ministrijas'!H57</f>
        <v>440553</v>
      </c>
      <c r="I57" s="54">
        <f>'[1]pasvaldības'!I57+'[1]ministrijas'!I57</f>
        <v>272146</v>
      </c>
    </row>
    <row r="58" spans="1:9" ht="12.75">
      <c r="A58">
        <v>0</v>
      </c>
      <c r="B58" t="b">
        <v>1</v>
      </c>
      <c r="C58">
        <v>31</v>
      </c>
      <c r="D58">
        <v>18</v>
      </c>
      <c r="F58" s="73" t="s">
        <v>353</v>
      </c>
      <c r="G58" s="35" t="s">
        <v>354</v>
      </c>
      <c r="H58" s="54">
        <f>'[1]pasvaldības'!H58+'[1]ministrijas'!H58</f>
        <v>19569315</v>
      </c>
      <c r="I58" s="54">
        <f>'[1]pasvaldības'!I58+'[1]ministrijas'!I58</f>
        <v>14546007</v>
      </c>
    </row>
    <row r="59" spans="1:9" ht="12.75">
      <c r="A59">
        <v>0</v>
      </c>
      <c r="B59" t="b">
        <v>1</v>
      </c>
      <c r="C59">
        <v>32</v>
      </c>
      <c r="D59">
        <v>19</v>
      </c>
      <c r="F59" s="73" t="s">
        <v>355</v>
      </c>
      <c r="G59" s="35" t="s">
        <v>356</v>
      </c>
      <c r="H59" s="54">
        <f>'[1]pasvaldības'!H59+'[1]ministrijas'!H59</f>
        <v>19819668</v>
      </c>
      <c r="I59" s="54">
        <f>'[1]pasvaldības'!I59+'[1]ministrijas'!I59</f>
        <v>27349573</v>
      </c>
    </row>
    <row r="60" spans="1:9" ht="12.75">
      <c r="A60">
        <v>0</v>
      </c>
      <c r="B60" t="b">
        <v>1</v>
      </c>
      <c r="C60">
        <v>33</v>
      </c>
      <c r="D60">
        <v>20</v>
      </c>
      <c r="F60" s="73" t="s">
        <v>357</v>
      </c>
      <c r="G60" s="35" t="s">
        <v>358</v>
      </c>
      <c r="H60" s="54">
        <f>'[1]pasvaldības'!H60+'[1]ministrijas'!H60</f>
        <v>4102635</v>
      </c>
      <c r="I60" s="54">
        <f>'[1]pasvaldības'!I60+'[1]ministrijas'!I60</f>
        <v>4691477</v>
      </c>
    </row>
    <row r="61" spans="1:9" ht="12.75">
      <c r="A61">
        <v>0</v>
      </c>
      <c r="B61" t="b">
        <v>1</v>
      </c>
      <c r="C61">
        <v>34</v>
      </c>
      <c r="D61">
        <v>21</v>
      </c>
      <c r="F61" s="73" t="s">
        <v>359</v>
      </c>
      <c r="G61" s="35" t="s">
        <v>360</v>
      </c>
      <c r="H61" s="54">
        <f>'[1]pasvaldības'!H61+'[1]ministrijas'!H61</f>
        <v>5112278</v>
      </c>
      <c r="I61" s="54">
        <f>'[1]pasvaldības'!I61+'[1]ministrijas'!I61</f>
        <v>2325898</v>
      </c>
    </row>
    <row r="62" spans="1:9" ht="12.75">
      <c r="A62">
        <v>0</v>
      </c>
      <c r="B62" t="b">
        <v>1</v>
      </c>
      <c r="C62">
        <v>35</v>
      </c>
      <c r="D62">
        <v>22</v>
      </c>
      <c r="F62" s="73" t="s">
        <v>361</v>
      </c>
      <c r="G62" s="35" t="s">
        <v>362</v>
      </c>
      <c r="H62" s="54">
        <f>'[1]pasvaldības'!H62+'[1]ministrijas'!H62</f>
        <v>682268</v>
      </c>
      <c r="I62" s="54">
        <f>'[1]pasvaldības'!I62+'[1]ministrijas'!I62</f>
        <v>124757</v>
      </c>
    </row>
    <row r="63" spans="1:9" ht="12.75">
      <c r="A63">
        <v>0</v>
      </c>
      <c r="B63" t="b">
        <v>1</v>
      </c>
      <c r="C63">
        <v>36</v>
      </c>
      <c r="D63">
        <v>23</v>
      </c>
      <c r="F63" s="73" t="s">
        <v>363</v>
      </c>
      <c r="G63" s="35" t="s">
        <v>364</v>
      </c>
      <c r="H63" s="54">
        <f>'[1]pasvaldības'!H63+'[1]ministrijas'!H63</f>
        <v>56858</v>
      </c>
      <c r="I63" s="54">
        <f>'[1]pasvaldības'!I63+'[1]ministrijas'!I63</f>
        <v>61435</v>
      </c>
    </row>
    <row r="64" spans="1:9" ht="12.75">
      <c r="A64">
        <v>0</v>
      </c>
      <c r="B64" t="b">
        <v>1</v>
      </c>
      <c r="C64">
        <v>37</v>
      </c>
      <c r="D64">
        <v>24</v>
      </c>
      <c r="F64" s="73" t="s">
        <v>365</v>
      </c>
      <c r="G64" s="35" t="s">
        <v>366</v>
      </c>
      <c r="H64" s="54">
        <f>'[1]pasvaldības'!H64+'[1]ministrijas'!H64</f>
        <v>2227832</v>
      </c>
      <c r="I64" s="54">
        <f>'[1]pasvaldības'!I64+'[1]ministrijas'!I64</f>
        <v>492425</v>
      </c>
    </row>
    <row r="65" spans="1:9" ht="12.75">
      <c r="A65">
        <v>2</v>
      </c>
      <c r="B65" t="b">
        <v>1</v>
      </c>
      <c r="C65">
        <v>38</v>
      </c>
      <c r="D65">
        <v>25</v>
      </c>
      <c r="G65" s="35" t="s">
        <v>367</v>
      </c>
      <c r="H65" s="54"/>
      <c r="I65" s="54"/>
    </row>
    <row r="66" spans="6:9" ht="12.75">
      <c r="F66" s="77" t="s">
        <v>368</v>
      </c>
      <c r="G66" s="54" t="s">
        <v>369</v>
      </c>
      <c r="H66" s="54">
        <f>'[1]pasvaldības'!H66+'[1]ministrijas'!H66</f>
        <v>1665763416</v>
      </c>
      <c r="I66" s="54">
        <f>'[1]pasvaldības'!I66+'[1]ministrijas'!I66</f>
        <v>2100119941</v>
      </c>
    </row>
    <row r="67" spans="1:9" ht="12.75">
      <c r="A67">
        <v>1</v>
      </c>
      <c r="B67" t="b">
        <v>1</v>
      </c>
      <c r="C67">
        <v>48</v>
      </c>
      <c r="D67">
        <v>34</v>
      </c>
      <c r="H67" s="54"/>
      <c r="I67" s="54"/>
    </row>
    <row r="68" spans="8:9" ht="12.75">
      <c r="H68" s="54"/>
      <c r="I68" s="54"/>
    </row>
    <row r="69" spans="1:9" ht="12.75">
      <c r="A69">
        <v>1</v>
      </c>
      <c r="B69" t="b">
        <v>1</v>
      </c>
      <c r="C69">
        <v>49</v>
      </c>
      <c r="D69">
        <v>75</v>
      </c>
      <c r="F69" s="77" t="s">
        <v>370</v>
      </c>
      <c r="G69" s="35" t="s">
        <v>281</v>
      </c>
      <c r="H69" s="54"/>
      <c r="I69" s="54"/>
    </row>
    <row r="70" spans="6:9" ht="12.75">
      <c r="F70" s="77"/>
      <c r="H70" s="54"/>
      <c r="I70" s="54"/>
    </row>
    <row r="71" spans="1:9" ht="12.75">
      <c r="A71">
        <v>1</v>
      </c>
      <c r="B71" t="b">
        <v>0</v>
      </c>
      <c r="C71">
        <v>50</v>
      </c>
      <c r="D71">
        <v>37</v>
      </c>
      <c r="F71" s="78" t="s">
        <v>371</v>
      </c>
      <c r="G71" s="35" t="s">
        <v>281</v>
      </c>
      <c r="H71" s="54">
        <f>'[1]pasvaldības'!H71+'[1]ministrijas'!H71</f>
        <v>1450619021</v>
      </c>
      <c r="I71" s="54">
        <f>'[1]pasvaldības'!I71+'[1]ministrijas'!I71</f>
        <v>1832159606</v>
      </c>
    </row>
    <row r="72" spans="6:9" ht="12.75">
      <c r="F72" s="78"/>
      <c r="H72" s="54"/>
      <c r="I72" s="54"/>
    </row>
    <row r="73" spans="1:9" ht="12.75">
      <c r="A73">
        <v>1</v>
      </c>
      <c r="B73" t="b">
        <v>1</v>
      </c>
      <c r="C73">
        <v>51</v>
      </c>
      <c r="D73">
        <v>38</v>
      </c>
      <c r="F73" s="73" t="s">
        <v>372</v>
      </c>
      <c r="G73" s="35" t="s">
        <v>373</v>
      </c>
      <c r="H73" s="54">
        <f>'[1]pasvaldības'!H73+'[1]ministrijas'!H73</f>
        <v>1446589960</v>
      </c>
      <c r="I73" s="54">
        <f>'[1]pasvaldības'!I73+'[1]ministrijas'!I73</f>
        <v>1828020146</v>
      </c>
    </row>
    <row r="74" spans="1:9" ht="12.75">
      <c r="A74">
        <v>1</v>
      </c>
      <c r="B74" t="b">
        <v>1</v>
      </c>
      <c r="C74">
        <v>52</v>
      </c>
      <c r="D74">
        <v>39</v>
      </c>
      <c r="F74" s="73" t="s">
        <v>374</v>
      </c>
      <c r="G74" s="35" t="s">
        <v>375</v>
      </c>
      <c r="H74" s="54">
        <f>'[1]pasvaldības'!H74+'[1]ministrijas'!H74</f>
        <v>8156969</v>
      </c>
      <c r="I74" s="54">
        <f>'[1]pasvaldības'!I74+'[1]ministrijas'!I74</f>
        <v>15381340</v>
      </c>
    </row>
    <row r="75" spans="1:9" ht="12.75">
      <c r="A75">
        <v>1</v>
      </c>
      <c r="B75" t="b">
        <v>1</v>
      </c>
      <c r="C75">
        <v>53</v>
      </c>
      <c r="D75">
        <v>40</v>
      </c>
      <c r="F75" s="73" t="s">
        <v>376</v>
      </c>
      <c r="G75" s="35" t="s">
        <v>377</v>
      </c>
      <c r="H75" s="54">
        <f>'[1]pasvaldības'!H75+'[1]ministrijas'!H75</f>
        <v>-4126007</v>
      </c>
      <c r="I75" s="54">
        <f>'[1]pasvaldības'!I75+'[1]ministrijas'!I75</f>
        <v>-11241880</v>
      </c>
    </row>
    <row r="76" spans="1:9" ht="12.75">
      <c r="A76">
        <v>0</v>
      </c>
      <c r="B76" t="b">
        <v>1</v>
      </c>
      <c r="C76">
        <v>54</v>
      </c>
      <c r="D76">
        <v>130</v>
      </c>
      <c r="F76" s="79" t="s">
        <v>378</v>
      </c>
      <c r="G76" s="35" t="s">
        <v>379</v>
      </c>
      <c r="H76" s="54">
        <f>'[1]pasvaldības'!H76+'[1]ministrijas'!H76</f>
        <v>20498925</v>
      </c>
      <c r="I76" s="54">
        <f>'[1]pasvaldības'!I76+'[1]ministrijas'!I76</f>
        <v>33814111</v>
      </c>
    </row>
    <row r="77" spans="1:9" ht="12.75">
      <c r="A77">
        <v>0</v>
      </c>
      <c r="B77" t="b">
        <v>1</v>
      </c>
      <c r="C77">
        <v>55</v>
      </c>
      <c r="D77">
        <v>131</v>
      </c>
      <c r="F77" s="79" t="s">
        <v>380</v>
      </c>
      <c r="G77" s="35" t="s">
        <v>381</v>
      </c>
      <c r="H77" s="54">
        <f>'[1]pasvaldības'!H77+'[1]ministrijas'!H77</f>
        <v>-43498639</v>
      </c>
      <c r="I77" s="54">
        <f>'[1]pasvaldības'!I77+'[1]ministrijas'!I77</f>
        <v>-60699717</v>
      </c>
    </row>
    <row r="78" spans="1:9" ht="12.75">
      <c r="A78">
        <v>0</v>
      </c>
      <c r="B78" t="b">
        <v>1</v>
      </c>
      <c r="C78">
        <v>56</v>
      </c>
      <c r="D78">
        <v>132</v>
      </c>
      <c r="F78" s="79" t="s">
        <v>382</v>
      </c>
      <c r="G78" s="35" t="s">
        <v>383</v>
      </c>
      <c r="H78" s="54">
        <f>'[1]pasvaldības'!H78+'[1]ministrijas'!H78</f>
        <v>5008952</v>
      </c>
      <c r="I78" s="54">
        <f>'[1]pasvaldības'!I78+'[1]ministrijas'!I78</f>
        <v>786658</v>
      </c>
    </row>
    <row r="79" spans="1:9" ht="12.75">
      <c r="A79">
        <v>0</v>
      </c>
      <c r="B79" t="b">
        <v>1</v>
      </c>
      <c r="C79">
        <v>57</v>
      </c>
      <c r="D79">
        <v>133</v>
      </c>
      <c r="F79" s="79" t="s">
        <v>384</v>
      </c>
      <c r="G79" s="35" t="s">
        <v>385</v>
      </c>
      <c r="H79" s="54">
        <f>'[1]pasvaldības'!H79+'[1]ministrijas'!H79</f>
        <v>13864755</v>
      </c>
      <c r="I79" s="54">
        <f>'[1]pasvaldības'!I79+'[1]ministrijas'!I79</f>
        <v>14857068</v>
      </c>
    </row>
    <row r="80" spans="6:9" ht="12.75">
      <c r="F80" s="81"/>
      <c r="H80" s="54"/>
      <c r="I80" s="54"/>
    </row>
    <row r="81" spans="1:9" ht="12.75">
      <c r="A81">
        <v>2</v>
      </c>
      <c r="B81" t="b">
        <v>1</v>
      </c>
      <c r="C81">
        <v>58</v>
      </c>
      <c r="D81">
        <v>41</v>
      </c>
      <c r="G81" s="35" t="s">
        <v>386</v>
      </c>
      <c r="H81" s="54"/>
      <c r="I81" s="54"/>
    </row>
    <row r="82" spans="1:9" ht="12.75">
      <c r="A82">
        <v>1</v>
      </c>
      <c r="B82" t="b">
        <v>0</v>
      </c>
      <c r="C82">
        <v>59</v>
      </c>
      <c r="D82">
        <v>42</v>
      </c>
      <c r="F82" s="78" t="s">
        <v>387</v>
      </c>
      <c r="G82" s="35" t="s">
        <v>281</v>
      </c>
      <c r="H82" s="54">
        <f>'[1]pasvaldības'!H82+'[1]ministrijas'!H82</f>
        <v>215144395</v>
      </c>
      <c r="I82" s="54">
        <f>'[1]pasvaldības'!I82+'[1]ministrijas'!I82</f>
        <v>267960335</v>
      </c>
    </row>
    <row r="83" spans="1:9" ht="12.75">
      <c r="A83">
        <v>1</v>
      </c>
      <c r="B83" t="b">
        <v>1</v>
      </c>
      <c r="C83">
        <v>60</v>
      </c>
      <c r="D83">
        <v>43</v>
      </c>
      <c r="F83" s="73" t="s">
        <v>388</v>
      </c>
      <c r="G83" s="35" t="s">
        <v>389</v>
      </c>
      <c r="H83" s="54">
        <f>'[1]pasvaldības'!H83+'[1]ministrijas'!H83</f>
        <v>136624445</v>
      </c>
      <c r="I83" s="54">
        <f>'[1]pasvaldības'!I83+'[1]ministrijas'!I83</f>
        <v>205472853</v>
      </c>
    </row>
    <row r="84" spans="1:9" ht="12.75">
      <c r="A84">
        <v>1</v>
      </c>
      <c r="B84" t="b">
        <v>1</v>
      </c>
      <c r="C84">
        <v>61</v>
      </c>
      <c r="D84">
        <v>44</v>
      </c>
      <c r="F84" s="73" t="s">
        <v>390</v>
      </c>
      <c r="G84" s="35" t="s">
        <v>391</v>
      </c>
      <c r="H84" s="54">
        <f>'[1]pasvaldības'!H84+'[1]ministrijas'!H84</f>
        <v>687304</v>
      </c>
      <c r="I84" s="54">
        <f>'[1]pasvaldības'!I84+'[1]ministrijas'!I84</f>
        <v>513591</v>
      </c>
    </row>
    <row r="85" spans="1:9" ht="12.75">
      <c r="A85">
        <v>1</v>
      </c>
      <c r="B85" t="b">
        <v>1</v>
      </c>
      <c r="C85">
        <v>62</v>
      </c>
      <c r="D85">
        <v>45</v>
      </c>
      <c r="F85" s="73" t="s">
        <v>392</v>
      </c>
      <c r="G85" s="35" t="s">
        <v>393</v>
      </c>
      <c r="H85" s="54">
        <f>'[1]pasvaldības'!H85+'[1]ministrijas'!H85</f>
        <v>27981404</v>
      </c>
      <c r="I85" s="54">
        <f>'[1]pasvaldības'!I85+'[1]ministrijas'!I85</f>
        <v>29179442</v>
      </c>
    </row>
    <row r="86" spans="1:9" ht="12.75">
      <c r="A86">
        <v>1</v>
      </c>
      <c r="B86" t="b">
        <v>1</v>
      </c>
      <c r="C86">
        <v>63</v>
      </c>
      <c r="D86">
        <v>46</v>
      </c>
      <c r="F86" s="73" t="s">
        <v>394</v>
      </c>
      <c r="G86" s="35" t="s">
        <v>395</v>
      </c>
      <c r="H86" s="54">
        <f>'[1]pasvaldības'!H86+'[1]ministrijas'!H86</f>
        <v>0</v>
      </c>
      <c r="I86" s="54">
        <f>'[1]pasvaldības'!I86+'[1]ministrijas'!I86</f>
        <v>0</v>
      </c>
    </row>
    <row r="87" spans="1:9" ht="15.75" customHeight="1">
      <c r="A87">
        <v>1</v>
      </c>
      <c r="B87" t="b">
        <v>1</v>
      </c>
      <c r="C87">
        <v>64</v>
      </c>
      <c r="D87">
        <v>47</v>
      </c>
      <c r="F87" s="73" t="s">
        <v>396</v>
      </c>
      <c r="G87" s="35" t="s">
        <v>397</v>
      </c>
      <c r="H87" s="54">
        <f>'[1]pasvaldības'!H87+'[1]ministrijas'!H87</f>
        <v>22651318</v>
      </c>
      <c r="I87" s="54">
        <f>'[1]pasvaldības'!I87+'[1]ministrijas'!I87</f>
        <v>6545360</v>
      </c>
    </row>
    <row r="88" spans="1:9" ht="25.5">
      <c r="A88">
        <v>1</v>
      </c>
      <c r="B88" t="b">
        <v>1</v>
      </c>
      <c r="C88">
        <v>65</v>
      </c>
      <c r="D88">
        <v>48</v>
      </c>
      <c r="F88" s="73" t="s">
        <v>398</v>
      </c>
      <c r="G88" s="35" t="s">
        <v>399</v>
      </c>
      <c r="H88" s="54">
        <f>'[1]pasvaldības'!H88+'[1]ministrijas'!H88</f>
        <v>11441288</v>
      </c>
      <c r="I88" s="54">
        <f>'[1]pasvaldības'!I88+'[1]ministrijas'!I88</f>
        <v>12263318</v>
      </c>
    </row>
    <row r="89" spans="1:9" ht="12.75">
      <c r="A89">
        <v>1</v>
      </c>
      <c r="B89" t="b">
        <v>1</v>
      </c>
      <c r="C89">
        <v>66</v>
      </c>
      <c r="D89">
        <v>49</v>
      </c>
      <c r="F89" s="73" t="s">
        <v>400</v>
      </c>
      <c r="G89" s="35" t="s">
        <v>401</v>
      </c>
      <c r="H89" s="54">
        <f>'[1]pasvaldības'!H89+'[1]ministrijas'!H89</f>
        <v>15758636</v>
      </c>
      <c r="I89" s="54">
        <f>'[1]pasvaldības'!I89+'[1]ministrijas'!I89</f>
        <v>13985771</v>
      </c>
    </row>
    <row r="90" spans="1:9" ht="12.75">
      <c r="A90">
        <v>2</v>
      </c>
      <c r="B90" t="b">
        <v>1</v>
      </c>
      <c r="C90">
        <v>67</v>
      </c>
      <c r="D90">
        <v>50</v>
      </c>
      <c r="G90" s="35" t="s">
        <v>402</v>
      </c>
      <c r="H90" s="54"/>
      <c r="I90" s="54"/>
    </row>
    <row r="91" spans="6:9" ht="12.75">
      <c r="F91" s="77" t="s">
        <v>403</v>
      </c>
      <c r="G91" s="54"/>
      <c r="H91" s="54">
        <f>'[1]pasvaldības'!H91+'[1]ministrijas'!H91</f>
        <v>1665763416</v>
      </c>
      <c r="I91" s="54">
        <f>'[1]pasvaldības'!I91+'[1]ministrijas'!I91</f>
        <v>2100119941</v>
      </c>
    </row>
    <row r="94" spans="6:9" ht="32.25" customHeight="1">
      <c r="F94" s="82" t="s">
        <v>264</v>
      </c>
      <c r="I94" s="83" t="s">
        <v>265</v>
      </c>
    </row>
  </sheetData>
  <mergeCells count="1">
    <mergeCell ref="F3:I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E38">
      <selection activeCell="I37" sqref="I37"/>
    </sheetView>
  </sheetViews>
  <sheetFormatPr defaultColWidth="9.140625" defaultRowHeight="12.75"/>
  <cols>
    <col min="1" max="2" width="0.9921875" style="0" hidden="1" customWidth="1"/>
    <col min="3" max="3" width="3.00390625" style="0" hidden="1" customWidth="1"/>
    <col min="4" max="4" width="4.00390625" style="0" hidden="1" customWidth="1"/>
    <col min="5" max="5" width="6.00390625" style="0" customWidth="1"/>
    <col min="6" max="6" width="46.421875" style="73" customWidth="1"/>
    <col min="7" max="7" width="4.7109375" style="35" hidden="1" customWidth="1"/>
    <col min="8" max="8" width="16.8515625" style="35" customWidth="1"/>
    <col min="9" max="9" width="17.00390625" style="35" customWidth="1"/>
    <col min="10" max="11" width="11.140625" style="0" customWidth="1"/>
  </cols>
  <sheetData>
    <row r="1" ht="12.75">
      <c r="I1" s="36" t="s">
        <v>404</v>
      </c>
    </row>
    <row r="2" ht="26.25" customHeight="1"/>
    <row r="3" spans="6:9" ht="35.25" customHeight="1">
      <c r="F3" s="483" t="s">
        <v>405</v>
      </c>
      <c r="G3" s="483"/>
      <c r="H3" s="483"/>
      <c r="I3" s="483"/>
    </row>
    <row r="4" spans="6:9" ht="15.75" customHeight="1">
      <c r="F4" s="74"/>
      <c r="G4" s="37"/>
      <c r="H4" s="37"/>
      <c r="I4" s="37"/>
    </row>
    <row r="5" ht="12.75">
      <c r="I5" s="41" t="s">
        <v>199</v>
      </c>
    </row>
    <row r="6" spans="6:9" ht="25.5">
      <c r="F6" s="75" t="s">
        <v>269</v>
      </c>
      <c r="G6" s="76"/>
      <c r="H6" s="75" t="s">
        <v>270</v>
      </c>
      <c r="I6" s="75" t="s">
        <v>271</v>
      </c>
    </row>
    <row r="7" spans="6:9" ht="12.75">
      <c r="F7" s="75">
        <v>1</v>
      </c>
      <c r="G7" s="76"/>
      <c r="H7" s="75">
        <v>2</v>
      </c>
      <c r="I7" s="75">
        <v>3</v>
      </c>
    </row>
    <row r="9" spans="1:9" ht="12.75" hidden="1">
      <c r="A9" t="s">
        <v>272</v>
      </c>
      <c r="B9" t="s">
        <v>273</v>
      </c>
      <c r="C9" t="s">
        <v>274</v>
      </c>
      <c r="D9" t="s">
        <v>275</v>
      </c>
      <c r="E9" t="s">
        <v>276</v>
      </c>
      <c r="F9" s="73" t="s">
        <v>277</v>
      </c>
      <c r="G9" s="35" t="s">
        <v>278</v>
      </c>
      <c r="H9" s="35" t="s">
        <v>279</v>
      </c>
      <c r="I9" s="35" t="s">
        <v>280</v>
      </c>
    </row>
    <row r="10" spans="1:7" ht="12.75">
      <c r="A10">
        <v>1</v>
      </c>
      <c r="B10" t="b">
        <v>0</v>
      </c>
      <c r="C10">
        <v>1</v>
      </c>
      <c r="D10">
        <v>74</v>
      </c>
      <c r="F10" s="77" t="s">
        <v>282</v>
      </c>
      <c r="G10" s="35" t="s">
        <v>281</v>
      </c>
    </row>
    <row r="11" spans="1:9" ht="12.75">
      <c r="A11">
        <v>1</v>
      </c>
      <c r="B11" t="b">
        <v>0</v>
      </c>
      <c r="C11">
        <v>2</v>
      </c>
      <c r="D11">
        <v>1</v>
      </c>
      <c r="F11" s="78" t="s">
        <v>283</v>
      </c>
      <c r="G11" s="35" t="s">
        <v>281</v>
      </c>
      <c r="H11" s="54">
        <f>SUM(H13,H16,H38)</f>
        <v>788978540</v>
      </c>
      <c r="I11" s="54">
        <f>SUM(I13,I16,I38)</f>
        <v>730692203</v>
      </c>
    </row>
    <row r="13" spans="1:9" ht="12.75">
      <c r="A13">
        <v>1</v>
      </c>
      <c r="B13" t="b">
        <v>0</v>
      </c>
      <c r="C13">
        <v>3</v>
      </c>
      <c r="D13">
        <v>2</v>
      </c>
      <c r="F13" s="77" t="s">
        <v>284</v>
      </c>
      <c r="G13" s="35" t="s">
        <v>285</v>
      </c>
      <c r="H13" s="31">
        <v>6131032</v>
      </c>
      <c r="I13" s="31">
        <v>9151000</v>
      </c>
    </row>
    <row r="14" spans="1:9" ht="25.5">
      <c r="A14">
        <v>0</v>
      </c>
      <c r="B14" t="b">
        <v>1</v>
      </c>
      <c r="C14">
        <v>4</v>
      </c>
      <c r="D14">
        <v>80</v>
      </c>
      <c r="F14" s="73" t="s">
        <v>286</v>
      </c>
      <c r="G14" s="35" t="s">
        <v>287</v>
      </c>
      <c r="H14" s="35">
        <v>6131032</v>
      </c>
      <c r="I14" s="35">
        <v>9151000</v>
      </c>
    </row>
    <row r="15" spans="1:7" ht="12.75">
      <c r="A15">
        <v>0</v>
      </c>
      <c r="B15" t="b">
        <v>1</v>
      </c>
      <c r="C15">
        <v>5</v>
      </c>
      <c r="D15">
        <v>81</v>
      </c>
      <c r="F15" s="73" t="s">
        <v>288</v>
      </c>
      <c r="G15" s="35" t="s">
        <v>289</v>
      </c>
    </row>
    <row r="16" spans="1:9" ht="12.75">
      <c r="A16">
        <v>1</v>
      </c>
      <c r="B16" t="b">
        <v>0</v>
      </c>
      <c r="C16">
        <v>6</v>
      </c>
      <c r="D16">
        <v>3</v>
      </c>
      <c r="F16" s="77" t="s">
        <v>290</v>
      </c>
      <c r="G16" s="35" t="s">
        <v>291</v>
      </c>
      <c r="H16" s="35">
        <f>H18+H29+H30+H31-H17</f>
        <v>774720931</v>
      </c>
      <c r="I16" s="35">
        <f>I18+I29+I30+I31-I17</f>
        <v>708143824</v>
      </c>
    </row>
    <row r="17" spans="1:9" ht="12.75">
      <c r="A17">
        <v>0</v>
      </c>
      <c r="B17" t="b">
        <v>1</v>
      </c>
      <c r="C17">
        <v>7</v>
      </c>
      <c r="D17">
        <v>76</v>
      </c>
      <c r="F17" s="73" t="s">
        <v>292</v>
      </c>
      <c r="G17" s="35" t="s">
        <v>293</v>
      </c>
      <c r="I17" s="35">
        <v>113353220</v>
      </c>
    </row>
    <row r="18" spans="1:11" ht="12.75">
      <c r="A18">
        <v>0</v>
      </c>
      <c r="B18" t="b">
        <v>1</v>
      </c>
      <c r="C18">
        <v>8</v>
      </c>
      <c r="D18">
        <v>84</v>
      </c>
      <c r="F18" s="73" t="s">
        <v>294</v>
      </c>
      <c r="G18" s="35" t="s">
        <v>295</v>
      </c>
      <c r="H18" s="31">
        <f>SUM(H19:H28)</f>
        <v>586500526</v>
      </c>
      <c r="I18" s="31">
        <f>SUM(I19:I28)</f>
        <v>613327053</v>
      </c>
      <c r="J18" s="54"/>
      <c r="K18" s="54"/>
    </row>
    <row r="19" spans="6:9" ht="12.75">
      <c r="F19" s="79" t="s">
        <v>296</v>
      </c>
      <c r="H19" s="35">
        <v>51860504</v>
      </c>
      <c r="I19" s="35">
        <v>51655305</v>
      </c>
    </row>
    <row r="20" spans="6:9" ht="12.75">
      <c r="F20" s="79" t="s">
        <v>297</v>
      </c>
      <c r="H20" s="35">
        <v>132501878</v>
      </c>
      <c r="I20" s="35">
        <v>146188322</v>
      </c>
    </row>
    <row r="21" spans="6:9" ht="12.75">
      <c r="F21" s="79" t="s">
        <v>298</v>
      </c>
      <c r="H21" s="35">
        <v>151776193</v>
      </c>
      <c r="I21" s="35">
        <v>140580675</v>
      </c>
    </row>
    <row r="22" spans="6:9" ht="12.75">
      <c r="F22" s="79" t="s">
        <v>299</v>
      </c>
      <c r="H22" s="35">
        <v>241587597</v>
      </c>
      <c r="I22" s="35">
        <v>257433327</v>
      </c>
    </row>
    <row r="23" spans="6:9" ht="12.75">
      <c r="F23" s="79" t="s">
        <v>300</v>
      </c>
      <c r="H23" s="35">
        <v>4447519</v>
      </c>
      <c r="I23" s="35">
        <v>10119910</v>
      </c>
    </row>
    <row r="24" spans="6:9" ht="12.75">
      <c r="F24" s="79" t="s">
        <v>301</v>
      </c>
      <c r="H24" s="35">
        <v>17303</v>
      </c>
      <c r="I24" s="35">
        <v>15094</v>
      </c>
    </row>
    <row r="25" spans="6:9" ht="12.75">
      <c r="F25" s="79" t="s">
        <v>302</v>
      </c>
      <c r="I25" s="35">
        <v>279958</v>
      </c>
    </row>
    <row r="26" ht="12.75">
      <c r="F26" s="79" t="s">
        <v>303</v>
      </c>
    </row>
    <row r="27" spans="6:9" ht="12.75">
      <c r="F27" s="79" t="s">
        <v>304</v>
      </c>
      <c r="H27" s="35">
        <v>3230</v>
      </c>
      <c r="I27" s="35">
        <v>3035</v>
      </c>
    </row>
    <row r="28" spans="6:9" ht="12.75">
      <c r="F28" s="79" t="s">
        <v>305</v>
      </c>
      <c r="H28" s="35">
        <v>4306302</v>
      </c>
      <c r="I28" s="35">
        <v>7051427</v>
      </c>
    </row>
    <row r="29" spans="6:9" ht="25.5">
      <c r="F29" s="73" t="s">
        <v>306</v>
      </c>
      <c r="G29" s="35" t="s">
        <v>307</v>
      </c>
      <c r="H29" s="35">
        <v>21720619</v>
      </c>
      <c r="I29" s="35">
        <v>20422834</v>
      </c>
    </row>
    <row r="30" spans="6:9" ht="12.75">
      <c r="F30" s="73" t="s">
        <v>308</v>
      </c>
      <c r="G30" s="35" t="s">
        <v>309</v>
      </c>
      <c r="H30" s="35">
        <v>72997933</v>
      </c>
      <c r="I30" s="35">
        <v>86789268</v>
      </c>
    </row>
    <row r="31" spans="1:11" ht="12.75">
      <c r="A31">
        <v>0</v>
      </c>
      <c r="B31" t="b">
        <v>1</v>
      </c>
      <c r="C31">
        <v>9</v>
      </c>
      <c r="D31">
        <v>85</v>
      </c>
      <c r="F31" s="80" t="s">
        <v>310</v>
      </c>
      <c r="G31" s="35" t="s">
        <v>311</v>
      </c>
      <c r="H31" s="31">
        <f>SUM(H32:H37)</f>
        <v>93501853</v>
      </c>
      <c r="I31" s="31">
        <f>SUM(I32:I37)</f>
        <v>100957889</v>
      </c>
      <c r="J31" s="54"/>
      <c r="K31" s="54"/>
    </row>
    <row r="32" spans="6:9" ht="12.75">
      <c r="F32" s="79" t="s">
        <v>312</v>
      </c>
      <c r="H32" s="35">
        <v>32845816</v>
      </c>
      <c r="I32" s="35">
        <v>33824595</v>
      </c>
    </row>
    <row r="33" spans="1:9" ht="12.75">
      <c r="A33">
        <v>0</v>
      </c>
      <c r="B33" t="b">
        <v>1</v>
      </c>
      <c r="C33">
        <v>10</v>
      </c>
      <c r="D33">
        <v>86</v>
      </c>
      <c r="F33" s="79" t="s">
        <v>313</v>
      </c>
      <c r="H33" s="35">
        <v>16404367</v>
      </c>
      <c r="I33" s="35">
        <v>19088173</v>
      </c>
    </row>
    <row r="34" spans="1:9" ht="12.75">
      <c r="A34">
        <v>0</v>
      </c>
      <c r="B34" t="b">
        <v>1</v>
      </c>
      <c r="C34">
        <v>11</v>
      </c>
      <c r="D34">
        <v>87</v>
      </c>
      <c r="F34" s="79" t="s">
        <v>314</v>
      </c>
      <c r="H34" s="35">
        <v>4910098</v>
      </c>
      <c r="I34" s="35">
        <v>5546000</v>
      </c>
    </row>
    <row r="35" spans="6:9" ht="12.75">
      <c r="F35" s="79" t="s">
        <v>315</v>
      </c>
      <c r="H35" s="35">
        <v>14033</v>
      </c>
      <c r="I35" s="35">
        <v>14018</v>
      </c>
    </row>
    <row r="36" spans="6:9" ht="12.75">
      <c r="F36" s="79" t="s">
        <v>316</v>
      </c>
      <c r="H36" s="35">
        <v>51475</v>
      </c>
      <c r="I36" s="35">
        <v>57356</v>
      </c>
    </row>
    <row r="37" spans="6:9" ht="12.75">
      <c r="F37" s="79" t="s">
        <v>317</v>
      </c>
      <c r="H37" s="35">
        <v>39276064</v>
      </c>
      <c r="I37" s="35">
        <v>42427747</v>
      </c>
    </row>
    <row r="38" spans="1:9" ht="12.75">
      <c r="A38">
        <v>1</v>
      </c>
      <c r="B38" t="b">
        <v>0</v>
      </c>
      <c r="C38">
        <v>12</v>
      </c>
      <c r="D38">
        <v>4</v>
      </c>
      <c r="F38" s="77" t="s">
        <v>318</v>
      </c>
      <c r="G38" s="35" t="s">
        <v>319</v>
      </c>
      <c r="H38" s="31">
        <f>SUM(H39:H42)</f>
        <v>8126577</v>
      </c>
      <c r="I38" s="31">
        <f>SUM(I39:I42)</f>
        <v>13397379</v>
      </c>
    </row>
    <row r="39" spans="1:9" ht="12.75">
      <c r="A39">
        <v>0</v>
      </c>
      <c r="B39" t="b">
        <v>1</v>
      </c>
      <c r="C39">
        <v>13</v>
      </c>
      <c r="D39">
        <v>89</v>
      </c>
      <c r="F39" s="73" t="s">
        <v>320</v>
      </c>
      <c r="G39" s="35" t="s">
        <v>321</v>
      </c>
      <c r="H39" s="35">
        <v>203600</v>
      </c>
      <c r="I39" s="35">
        <v>2167973</v>
      </c>
    </row>
    <row r="40" spans="1:9" ht="12.75">
      <c r="A40">
        <v>0</v>
      </c>
      <c r="B40" t="b">
        <v>1</v>
      </c>
      <c r="C40">
        <v>14</v>
      </c>
      <c r="D40">
        <v>90</v>
      </c>
      <c r="F40" s="73" t="s">
        <v>322</v>
      </c>
      <c r="G40" s="35" t="s">
        <v>323</v>
      </c>
      <c r="H40" s="35">
        <v>6909890</v>
      </c>
      <c r="I40" s="35">
        <v>5856813</v>
      </c>
    </row>
    <row r="41" spans="1:9" ht="12.75">
      <c r="A41">
        <v>0</v>
      </c>
      <c r="B41" t="b">
        <v>1</v>
      </c>
      <c r="C41">
        <v>15</v>
      </c>
      <c r="D41">
        <v>91</v>
      </c>
      <c r="F41" s="73" t="s">
        <v>324</v>
      </c>
      <c r="G41" s="35" t="s">
        <v>325</v>
      </c>
      <c r="H41" s="35">
        <v>893087</v>
      </c>
      <c r="I41" s="35">
        <v>5252593</v>
      </c>
    </row>
    <row r="42" spans="1:9" ht="12.75">
      <c r="A42">
        <v>0</v>
      </c>
      <c r="B42" t="b">
        <v>1</v>
      </c>
      <c r="C42">
        <v>16</v>
      </c>
      <c r="D42">
        <v>92</v>
      </c>
      <c r="F42" s="73" t="s">
        <v>326</v>
      </c>
      <c r="G42" s="35" t="s">
        <v>327</v>
      </c>
      <c r="H42" s="35">
        <v>120000</v>
      </c>
      <c r="I42" s="35">
        <v>120000</v>
      </c>
    </row>
    <row r="43" spans="1:9" ht="12.75">
      <c r="A43">
        <v>1</v>
      </c>
      <c r="B43" t="b">
        <v>0</v>
      </c>
      <c r="C43">
        <v>18</v>
      </c>
      <c r="D43">
        <v>6</v>
      </c>
      <c r="F43" s="78" t="s">
        <v>328</v>
      </c>
      <c r="G43" s="35" t="s">
        <v>281</v>
      </c>
      <c r="H43" s="54">
        <f>SUM(H44,H51:H54,H56)</f>
        <v>64406681</v>
      </c>
      <c r="I43" s="54">
        <f>SUM(I44,I51:I54,I56)</f>
        <v>66353894</v>
      </c>
    </row>
    <row r="44" spans="1:9" ht="12.75">
      <c r="A44">
        <v>1</v>
      </c>
      <c r="B44" t="b">
        <v>1</v>
      </c>
      <c r="C44">
        <v>19</v>
      </c>
      <c r="D44">
        <v>7</v>
      </c>
      <c r="F44" s="77" t="s">
        <v>329</v>
      </c>
      <c r="G44" s="35" t="s">
        <v>330</v>
      </c>
      <c r="H44" s="35">
        <f>SUM(H45:H49)</f>
        <v>10231071</v>
      </c>
      <c r="I44" s="35">
        <f>SUM(I45:I49)</f>
        <v>10254210</v>
      </c>
    </row>
    <row r="45" spans="1:9" ht="12.75">
      <c r="A45">
        <v>0</v>
      </c>
      <c r="B45" t="b">
        <v>1</v>
      </c>
      <c r="C45">
        <v>20</v>
      </c>
      <c r="D45">
        <v>8</v>
      </c>
      <c r="F45" s="73" t="s">
        <v>331</v>
      </c>
      <c r="G45" s="35" t="s">
        <v>332</v>
      </c>
      <c r="H45" s="35">
        <v>9318494</v>
      </c>
      <c r="I45" s="35">
        <v>9088907</v>
      </c>
    </row>
    <row r="46" spans="1:9" ht="12.75">
      <c r="A46">
        <v>0</v>
      </c>
      <c r="B46" t="b">
        <v>1</v>
      </c>
      <c r="C46">
        <v>21</v>
      </c>
      <c r="D46">
        <v>9</v>
      </c>
      <c r="F46" s="73" t="s">
        <v>333</v>
      </c>
      <c r="G46" s="35" t="s">
        <v>334</v>
      </c>
      <c r="H46" s="35">
        <v>84986</v>
      </c>
      <c r="I46" s="35">
        <v>47878</v>
      </c>
    </row>
    <row r="47" spans="1:9" ht="12.75">
      <c r="A47">
        <v>0</v>
      </c>
      <c r="B47" t="b">
        <v>1</v>
      </c>
      <c r="C47">
        <v>22</v>
      </c>
      <c r="D47">
        <v>10</v>
      </c>
      <c r="F47" s="73" t="s">
        <v>335</v>
      </c>
      <c r="G47" s="35" t="s">
        <v>336</v>
      </c>
      <c r="H47" s="35">
        <v>821670</v>
      </c>
      <c r="I47" s="35">
        <v>797598</v>
      </c>
    </row>
    <row r="48" spans="1:9" ht="12.75">
      <c r="A48">
        <v>0</v>
      </c>
      <c r="B48" t="b">
        <v>1</v>
      </c>
      <c r="C48">
        <v>23</v>
      </c>
      <c r="D48">
        <v>11</v>
      </c>
      <c r="F48" s="73" t="s">
        <v>337</v>
      </c>
      <c r="G48" s="35" t="s">
        <v>338</v>
      </c>
      <c r="H48" s="35">
        <v>5921</v>
      </c>
      <c r="I48" s="35">
        <v>319815</v>
      </c>
    </row>
    <row r="49" spans="1:9" ht="12.75">
      <c r="A49">
        <v>0</v>
      </c>
      <c r="B49" t="b">
        <v>1</v>
      </c>
      <c r="C49">
        <v>24</v>
      </c>
      <c r="D49">
        <v>12</v>
      </c>
      <c r="F49" s="73" t="s">
        <v>339</v>
      </c>
      <c r="G49" s="35" t="s">
        <v>340</v>
      </c>
      <c r="I49" s="35">
        <v>12</v>
      </c>
    </row>
    <row r="51" spans="1:9" ht="12.75">
      <c r="A51">
        <v>1</v>
      </c>
      <c r="B51" t="b">
        <v>1</v>
      </c>
      <c r="C51">
        <v>25</v>
      </c>
      <c r="D51">
        <v>13</v>
      </c>
      <c r="F51" s="77" t="s">
        <v>341</v>
      </c>
      <c r="G51" s="35" t="s">
        <v>342</v>
      </c>
      <c r="H51" s="35">
        <v>357250</v>
      </c>
      <c r="I51" s="35">
        <v>236052</v>
      </c>
    </row>
    <row r="52" spans="1:9" ht="12.75">
      <c r="A52">
        <v>1</v>
      </c>
      <c r="B52" t="b">
        <v>1</v>
      </c>
      <c r="C52">
        <v>26</v>
      </c>
      <c r="D52">
        <v>14</v>
      </c>
      <c r="F52" s="77" t="s">
        <v>343</v>
      </c>
      <c r="G52" s="35" t="s">
        <v>344</v>
      </c>
      <c r="H52" s="35">
        <v>22668982</v>
      </c>
      <c r="I52" s="35">
        <v>25919136</v>
      </c>
    </row>
    <row r="53" spans="1:9" ht="12.75">
      <c r="A53">
        <v>1</v>
      </c>
      <c r="B53" t="b">
        <v>1</v>
      </c>
      <c r="C53">
        <v>27</v>
      </c>
      <c r="D53">
        <v>35</v>
      </c>
      <c r="F53" s="77" t="s">
        <v>345</v>
      </c>
      <c r="G53" s="35" t="s">
        <v>346</v>
      </c>
      <c r="H53" s="35">
        <v>4470518</v>
      </c>
      <c r="I53" s="35">
        <v>2705154</v>
      </c>
    </row>
    <row r="54" spans="1:9" ht="12.75">
      <c r="A54">
        <v>1</v>
      </c>
      <c r="B54" t="b">
        <v>1</v>
      </c>
      <c r="C54">
        <v>28</v>
      </c>
      <c r="D54">
        <v>15</v>
      </c>
      <c r="F54" s="77" t="s">
        <v>347</v>
      </c>
      <c r="G54" s="35" t="s">
        <v>348</v>
      </c>
      <c r="H54" s="35">
        <v>136528</v>
      </c>
      <c r="I54" s="35">
        <v>8882251</v>
      </c>
    </row>
    <row r="55" ht="12.75">
      <c r="F55" s="77"/>
    </row>
    <row r="56" spans="1:9" ht="12.75">
      <c r="A56">
        <v>1</v>
      </c>
      <c r="B56" t="b">
        <v>1</v>
      </c>
      <c r="C56">
        <v>29</v>
      </c>
      <c r="D56">
        <v>16</v>
      </c>
      <c r="F56" s="77" t="s">
        <v>349</v>
      </c>
      <c r="G56" s="35" t="s">
        <v>350</v>
      </c>
      <c r="H56" s="35">
        <f>SUM(H57:H64)</f>
        <v>26542332</v>
      </c>
      <c r="I56" s="35">
        <f>SUM(I57:I64)</f>
        <v>18357091</v>
      </c>
    </row>
    <row r="57" spans="1:9" ht="12.75">
      <c r="A57">
        <v>0</v>
      </c>
      <c r="B57" t="b">
        <v>1</v>
      </c>
      <c r="C57">
        <v>30</v>
      </c>
      <c r="D57">
        <v>17</v>
      </c>
      <c r="F57" s="73" t="s">
        <v>351</v>
      </c>
      <c r="G57" s="35" t="s">
        <v>352</v>
      </c>
      <c r="H57" s="35">
        <v>179213</v>
      </c>
      <c r="I57" s="35">
        <v>38667</v>
      </c>
    </row>
    <row r="58" spans="1:9" ht="12.75">
      <c r="A58">
        <v>0</v>
      </c>
      <c r="B58" t="b">
        <v>1</v>
      </c>
      <c r="C58">
        <v>31</v>
      </c>
      <c r="D58">
        <v>18</v>
      </c>
      <c r="F58" s="73" t="s">
        <v>353</v>
      </c>
      <c r="G58" s="35" t="s">
        <v>354</v>
      </c>
      <c r="H58" s="35">
        <v>4796275</v>
      </c>
      <c r="I58" s="35">
        <v>2596114</v>
      </c>
    </row>
    <row r="59" spans="1:9" ht="12.75">
      <c r="A59">
        <v>0</v>
      </c>
      <c r="B59" t="b">
        <v>1</v>
      </c>
      <c r="C59">
        <v>32</v>
      </c>
      <c r="D59">
        <v>19</v>
      </c>
      <c r="F59" s="73" t="s">
        <v>355</v>
      </c>
      <c r="G59" s="35" t="s">
        <v>356</v>
      </c>
      <c r="H59" s="35">
        <v>10359217</v>
      </c>
      <c r="I59" s="35">
        <v>10022544</v>
      </c>
    </row>
    <row r="60" spans="1:9" ht="12.75">
      <c r="A60">
        <v>0</v>
      </c>
      <c r="B60" t="b">
        <v>1</v>
      </c>
      <c r="C60">
        <v>33</v>
      </c>
      <c r="D60">
        <v>20</v>
      </c>
      <c r="F60" s="73" t="s">
        <v>357</v>
      </c>
      <c r="G60" s="35" t="s">
        <v>358</v>
      </c>
      <c r="H60" s="35">
        <v>3347345</v>
      </c>
      <c r="I60" s="35">
        <v>2853676</v>
      </c>
    </row>
    <row r="61" spans="1:9" ht="12.75">
      <c r="A61">
        <v>0</v>
      </c>
      <c r="B61" t="b">
        <v>1</v>
      </c>
      <c r="C61">
        <v>34</v>
      </c>
      <c r="D61">
        <v>21</v>
      </c>
      <c r="F61" s="73" t="s">
        <v>359</v>
      </c>
      <c r="G61" s="35" t="s">
        <v>360</v>
      </c>
      <c r="H61" s="35">
        <v>5088739</v>
      </c>
      <c r="I61" s="35">
        <v>2260740</v>
      </c>
    </row>
    <row r="62" spans="1:9" ht="12.75">
      <c r="A62">
        <v>0</v>
      </c>
      <c r="B62" t="b">
        <v>1</v>
      </c>
      <c r="C62">
        <v>35</v>
      </c>
      <c r="D62">
        <v>22</v>
      </c>
      <c r="F62" s="73" t="s">
        <v>361</v>
      </c>
      <c r="G62" s="35" t="s">
        <v>362</v>
      </c>
      <c r="H62" s="35">
        <v>652806</v>
      </c>
      <c r="I62" s="35">
        <v>100538</v>
      </c>
    </row>
    <row r="63" spans="1:9" ht="12.75">
      <c r="A63">
        <v>0</v>
      </c>
      <c r="B63" t="b">
        <v>1</v>
      </c>
      <c r="C63">
        <v>36</v>
      </c>
      <c r="D63">
        <v>23</v>
      </c>
      <c r="F63" s="73" t="s">
        <v>363</v>
      </c>
      <c r="G63" s="35" t="s">
        <v>364</v>
      </c>
      <c r="H63" s="35">
        <v>56851</v>
      </c>
      <c r="I63" s="35">
        <v>61429</v>
      </c>
    </row>
    <row r="64" spans="1:9" ht="12.75">
      <c r="A64">
        <v>0</v>
      </c>
      <c r="B64" t="b">
        <v>1</v>
      </c>
      <c r="C64">
        <v>37</v>
      </c>
      <c r="D64">
        <v>24</v>
      </c>
      <c r="F64" s="73" t="s">
        <v>365</v>
      </c>
      <c r="G64" s="35" t="s">
        <v>366</v>
      </c>
      <c r="H64" s="35">
        <v>2061886</v>
      </c>
      <c r="I64" s="35">
        <v>423383</v>
      </c>
    </row>
    <row r="65" spans="1:7" ht="12.75">
      <c r="A65">
        <v>2</v>
      </c>
      <c r="B65" t="b">
        <v>1</v>
      </c>
      <c r="C65">
        <v>38</v>
      </c>
      <c r="D65">
        <v>25</v>
      </c>
      <c r="G65" s="35" t="s">
        <v>367</v>
      </c>
    </row>
    <row r="66" spans="6:9" ht="12.75">
      <c r="F66" s="77" t="s">
        <v>368</v>
      </c>
      <c r="G66" s="54" t="s">
        <v>369</v>
      </c>
      <c r="H66" s="54">
        <f>SUM(H43,H11)</f>
        <v>853385221</v>
      </c>
      <c r="I66" s="54">
        <f>SUM(I43,I11)</f>
        <v>797046097</v>
      </c>
    </row>
    <row r="67" spans="1:5" ht="12.75">
      <c r="A67">
        <v>1</v>
      </c>
      <c r="B67" t="b">
        <v>1</v>
      </c>
      <c r="C67">
        <v>48</v>
      </c>
      <c r="D67">
        <v>34</v>
      </c>
    </row>
    <row r="69" spans="1:7" ht="12.75">
      <c r="A69">
        <v>1</v>
      </c>
      <c r="B69" t="b">
        <v>1</v>
      </c>
      <c r="C69">
        <v>49</v>
      </c>
      <c r="D69">
        <v>75</v>
      </c>
      <c r="F69" s="77" t="s">
        <v>370</v>
      </c>
      <c r="G69" s="35" t="s">
        <v>281</v>
      </c>
    </row>
    <row r="70" ht="12.75">
      <c r="F70" s="77"/>
    </row>
    <row r="71" spans="1:9" ht="12.75">
      <c r="A71">
        <v>1</v>
      </c>
      <c r="B71" t="b">
        <v>0</v>
      </c>
      <c r="C71">
        <v>50</v>
      </c>
      <c r="D71">
        <v>37</v>
      </c>
      <c r="F71" s="78" t="s">
        <v>371</v>
      </c>
      <c r="G71" s="35" t="s">
        <v>281</v>
      </c>
      <c r="H71" s="54">
        <f>SUM(H73:H75)</f>
        <v>730804054</v>
      </c>
      <c r="I71" s="54">
        <f>SUM(I73:I75)</f>
        <v>642865482</v>
      </c>
    </row>
    <row r="72" ht="12.75">
      <c r="F72" s="78"/>
    </row>
    <row r="73" spans="1:9" ht="12.75">
      <c r="A73">
        <v>1</v>
      </c>
      <c r="B73" t="b">
        <v>1</v>
      </c>
      <c r="C73">
        <v>51</v>
      </c>
      <c r="D73">
        <v>38</v>
      </c>
      <c r="F73" s="73" t="s">
        <v>372</v>
      </c>
      <c r="G73" s="35" t="s">
        <v>373</v>
      </c>
      <c r="H73" s="35">
        <v>761771206</v>
      </c>
      <c r="I73" s="35">
        <v>699844473</v>
      </c>
    </row>
    <row r="74" spans="1:9" ht="12.75">
      <c r="A74">
        <v>1</v>
      </c>
      <c r="B74" t="b">
        <v>1</v>
      </c>
      <c r="C74">
        <v>52</v>
      </c>
      <c r="D74">
        <v>39</v>
      </c>
      <c r="F74" s="73" t="s">
        <v>374</v>
      </c>
      <c r="G74" s="35" t="s">
        <v>375</v>
      </c>
      <c r="H74" s="35">
        <v>6088632</v>
      </c>
      <c r="I74" s="35">
        <v>5768646</v>
      </c>
    </row>
    <row r="75" spans="1:9" ht="12.75">
      <c r="A75">
        <v>1</v>
      </c>
      <c r="B75" t="b">
        <v>1</v>
      </c>
      <c r="C75">
        <v>53</v>
      </c>
      <c r="D75">
        <v>40</v>
      </c>
      <c r="F75" s="73" t="s">
        <v>376</v>
      </c>
      <c r="G75" s="35" t="s">
        <v>377</v>
      </c>
      <c r="H75" s="35">
        <f>SUM(H76:H79)</f>
        <v>-37055784</v>
      </c>
      <c r="I75" s="35">
        <f>SUM(I76:I79)</f>
        <v>-62747637</v>
      </c>
    </row>
    <row r="76" spans="1:9" ht="12.75">
      <c r="A76">
        <v>0</v>
      </c>
      <c r="B76" t="b">
        <v>1</v>
      </c>
      <c r="C76">
        <v>54</v>
      </c>
      <c r="D76">
        <v>130</v>
      </c>
      <c r="F76" s="79" t="s">
        <v>378</v>
      </c>
      <c r="G76" s="35" t="s">
        <v>379</v>
      </c>
      <c r="H76" s="35">
        <v>22681109</v>
      </c>
      <c r="I76" s="35">
        <v>24197469</v>
      </c>
    </row>
    <row r="77" spans="1:9" ht="12.75">
      <c r="A77">
        <v>0</v>
      </c>
      <c r="B77" t="b">
        <v>1</v>
      </c>
      <c r="C77">
        <v>55</v>
      </c>
      <c r="D77">
        <v>131</v>
      </c>
      <c r="F77" s="79" t="s">
        <v>380</v>
      </c>
      <c r="G77" s="35" t="s">
        <v>381</v>
      </c>
      <c r="H77" s="35">
        <v>-65247794</v>
      </c>
      <c r="I77" s="35">
        <v>-91228435</v>
      </c>
    </row>
    <row r="78" spans="1:9" ht="12.75">
      <c r="A78">
        <v>0</v>
      </c>
      <c r="B78" t="b">
        <v>1</v>
      </c>
      <c r="C78">
        <v>56</v>
      </c>
      <c r="D78">
        <v>132</v>
      </c>
      <c r="F78" s="79" t="s">
        <v>382</v>
      </c>
      <c r="G78" s="35" t="s">
        <v>383</v>
      </c>
      <c r="H78" s="35">
        <v>1114886</v>
      </c>
      <c r="I78" s="35">
        <v>566191</v>
      </c>
    </row>
    <row r="79" spans="1:9" ht="12.75">
      <c r="A79">
        <v>0</v>
      </c>
      <c r="B79" t="b">
        <v>1</v>
      </c>
      <c r="C79">
        <v>57</v>
      </c>
      <c r="D79">
        <v>133</v>
      </c>
      <c r="F79" s="79" t="s">
        <v>384</v>
      </c>
      <c r="G79" s="35" t="s">
        <v>385</v>
      </c>
      <c r="H79" s="35">
        <v>4396015</v>
      </c>
      <c r="I79" s="35">
        <v>3717138</v>
      </c>
    </row>
    <row r="80" ht="12.75">
      <c r="F80" s="81"/>
    </row>
    <row r="81" spans="1:7" ht="12.75">
      <c r="A81">
        <v>2</v>
      </c>
      <c r="B81" t="b">
        <v>1</v>
      </c>
      <c r="C81">
        <v>58</v>
      </c>
      <c r="D81">
        <v>41</v>
      </c>
      <c r="G81" s="35" t="s">
        <v>386</v>
      </c>
    </row>
    <row r="82" spans="1:9" ht="12.75">
      <c r="A82">
        <v>1</v>
      </c>
      <c r="B82" t="b">
        <v>0</v>
      </c>
      <c r="C82">
        <v>59</v>
      </c>
      <c r="D82">
        <v>42</v>
      </c>
      <c r="F82" s="78" t="s">
        <v>387</v>
      </c>
      <c r="G82" s="35" t="s">
        <v>281</v>
      </c>
      <c r="H82" s="54">
        <f>SUM(H83:H89)</f>
        <v>122581167</v>
      </c>
      <c r="I82" s="54">
        <f>SUM(I83:I89)</f>
        <v>154180615</v>
      </c>
    </row>
    <row r="83" spans="1:9" ht="12.75">
      <c r="A83">
        <v>1</v>
      </c>
      <c r="B83" t="b">
        <v>1</v>
      </c>
      <c r="C83">
        <v>60</v>
      </c>
      <c r="D83">
        <v>43</v>
      </c>
      <c r="F83" s="73" t="s">
        <v>388</v>
      </c>
      <c r="G83" s="35" t="s">
        <v>389</v>
      </c>
      <c r="H83" s="35">
        <v>81538093</v>
      </c>
      <c r="I83" s="35">
        <v>119807310</v>
      </c>
    </row>
    <row r="84" spans="1:9" ht="12.75">
      <c r="A84">
        <v>1</v>
      </c>
      <c r="B84" t="b">
        <v>1</v>
      </c>
      <c r="C84">
        <v>61</v>
      </c>
      <c r="D84">
        <v>44</v>
      </c>
      <c r="F84" s="73" t="s">
        <v>390</v>
      </c>
      <c r="G84" s="35" t="s">
        <v>391</v>
      </c>
      <c r="H84" s="35">
        <v>571583</v>
      </c>
      <c r="I84" s="35">
        <v>410201</v>
      </c>
    </row>
    <row r="85" spans="1:9" ht="12.75">
      <c r="A85">
        <v>1</v>
      </c>
      <c r="B85" t="b">
        <v>1</v>
      </c>
      <c r="C85">
        <v>62</v>
      </c>
      <c r="D85">
        <v>45</v>
      </c>
      <c r="F85" s="73" t="s">
        <v>392</v>
      </c>
      <c r="G85" s="35" t="s">
        <v>393</v>
      </c>
      <c r="H85" s="35">
        <v>16153996</v>
      </c>
      <c r="I85" s="35">
        <v>16333373</v>
      </c>
    </row>
    <row r="86" spans="1:7" ht="12.75">
      <c r="A86">
        <v>1</v>
      </c>
      <c r="B86" t="b">
        <v>1</v>
      </c>
      <c r="C86">
        <v>63</v>
      </c>
      <c r="D86">
        <v>46</v>
      </c>
      <c r="F86" s="73" t="s">
        <v>394</v>
      </c>
      <c r="G86" s="35" t="s">
        <v>395</v>
      </c>
    </row>
    <row r="87" spans="1:9" ht="15.75" customHeight="1">
      <c r="A87">
        <v>1</v>
      </c>
      <c r="B87" t="b">
        <v>1</v>
      </c>
      <c r="C87">
        <v>64</v>
      </c>
      <c r="D87">
        <v>47</v>
      </c>
      <c r="F87" s="73" t="s">
        <v>396</v>
      </c>
      <c r="G87" s="35" t="s">
        <v>397</v>
      </c>
      <c r="H87" s="35">
        <v>7146089</v>
      </c>
      <c r="I87" s="35">
        <v>3177895</v>
      </c>
    </row>
    <row r="88" spans="1:9" ht="25.5">
      <c r="A88">
        <v>1</v>
      </c>
      <c r="B88" t="b">
        <v>1</v>
      </c>
      <c r="C88">
        <v>65</v>
      </c>
      <c r="D88">
        <v>48</v>
      </c>
      <c r="F88" s="73" t="s">
        <v>398</v>
      </c>
      <c r="G88" s="35" t="s">
        <v>399</v>
      </c>
      <c r="H88" s="35">
        <v>7177727</v>
      </c>
      <c r="I88" s="35">
        <v>7126715</v>
      </c>
    </row>
    <row r="89" spans="1:9" ht="12.75">
      <c r="A89">
        <v>1</v>
      </c>
      <c r="B89" t="b">
        <v>1</v>
      </c>
      <c r="C89">
        <v>66</v>
      </c>
      <c r="D89">
        <v>49</v>
      </c>
      <c r="F89" s="73" t="s">
        <v>400</v>
      </c>
      <c r="G89" s="35" t="s">
        <v>401</v>
      </c>
      <c r="H89" s="35">
        <v>9993679</v>
      </c>
      <c r="I89" s="35">
        <v>7325121</v>
      </c>
    </row>
    <row r="90" spans="1:7" ht="12.75">
      <c r="A90">
        <v>2</v>
      </c>
      <c r="B90" t="b">
        <v>1</v>
      </c>
      <c r="C90">
        <v>67</v>
      </c>
      <c r="D90">
        <v>50</v>
      </c>
      <c r="G90" s="35" t="s">
        <v>402</v>
      </c>
    </row>
    <row r="91" spans="6:9" ht="12.75">
      <c r="F91" s="77" t="s">
        <v>403</v>
      </c>
      <c r="G91" s="54"/>
      <c r="H91" s="54">
        <f>SUM(H71,H82)</f>
        <v>853385221</v>
      </c>
      <c r="I91" s="54">
        <f>SUM(I71,I82)</f>
        <v>797046097</v>
      </c>
    </row>
    <row r="95" spans="6:9" ht="27" customHeight="1">
      <c r="F95" s="82" t="s">
        <v>264</v>
      </c>
      <c r="I95" s="83" t="s">
        <v>265</v>
      </c>
    </row>
  </sheetData>
  <mergeCells count="1">
    <mergeCell ref="F3:I3"/>
  </mergeCells>
  <printOptions/>
  <pageMargins left="0.75" right="0.75" top="1" bottom="1" header="0.5" footer="0.5"/>
  <pageSetup firstPageNumber="13" useFirstPageNumber="1" horizontalDpi="600" verticalDpi="600" orientation="portrait" paperSize="9" r:id="rId1"/>
  <headerFooter alignWithMargins="0">
    <oddFooter>&amp;R&amp;P</oddFoot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F42">
      <selection activeCell="F49" sqref="F49"/>
    </sheetView>
  </sheetViews>
  <sheetFormatPr defaultColWidth="9.140625" defaultRowHeight="12.75"/>
  <cols>
    <col min="1" max="2" width="0.9921875" style="0" hidden="1" customWidth="1"/>
    <col min="3" max="3" width="3.00390625" style="0" hidden="1" customWidth="1"/>
    <col min="4" max="4" width="4.00390625" style="0" hidden="1" customWidth="1"/>
    <col min="5" max="5" width="5.140625" style="0" customWidth="1"/>
    <col min="6" max="6" width="46.421875" style="73" customWidth="1"/>
    <col min="7" max="7" width="4.7109375" style="35" hidden="1" customWidth="1"/>
    <col min="8" max="8" width="16.8515625" style="35" customWidth="1"/>
    <col min="9" max="9" width="17.00390625" style="35" customWidth="1"/>
    <col min="10" max="11" width="11.140625" style="0" customWidth="1"/>
  </cols>
  <sheetData>
    <row r="1" ht="12.75">
      <c r="I1" s="36" t="s">
        <v>406</v>
      </c>
    </row>
    <row r="2" ht="27" customHeight="1"/>
    <row r="3" spans="6:9" ht="35.25" customHeight="1">
      <c r="F3" s="483" t="s">
        <v>407</v>
      </c>
      <c r="G3" s="483"/>
      <c r="H3" s="483"/>
      <c r="I3" s="483"/>
    </row>
    <row r="4" spans="6:9" ht="15.75" customHeight="1">
      <c r="F4" s="74"/>
      <c r="G4" s="37"/>
      <c r="H4" s="37"/>
      <c r="I4" s="37"/>
    </row>
    <row r="5" ht="12.75">
      <c r="I5" s="41" t="s">
        <v>199</v>
      </c>
    </row>
    <row r="6" spans="6:9" ht="25.5">
      <c r="F6" s="75" t="s">
        <v>269</v>
      </c>
      <c r="G6" s="76"/>
      <c r="H6" s="75" t="s">
        <v>270</v>
      </c>
      <c r="I6" s="75" t="s">
        <v>271</v>
      </c>
    </row>
    <row r="7" spans="6:9" ht="12.75">
      <c r="F7" s="75">
        <v>1</v>
      </c>
      <c r="G7" s="76"/>
      <c r="H7" s="75">
        <v>2</v>
      </c>
      <c r="I7" s="75">
        <v>3</v>
      </c>
    </row>
    <row r="9" spans="1:9" ht="12.75" hidden="1">
      <c r="A9" t="s">
        <v>272</v>
      </c>
      <c r="B9" t="s">
        <v>273</v>
      </c>
      <c r="C9" t="s">
        <v>274</v>
      </c>
      <c r="D9" t="s">
        <v>275</v>
      </c>
      <c r="E9" t="s">
        <v>276</v>
      </c>
      <c r="F9" s="73" t="s">
        <v>277</v>
      </c>
      <c r="G9" s="35" t="s">
        <v>278</v>
      </c>
      <c r="H9" s="35" t="s">
        <v>279</v>
      </c>
      <c r="I9" s="35" t="s">
        <v>280</v>
      </c>
    </row>
    <row r="10" spans="1:7" ht="12.75">
      <c r="A10">
        <v>1</v>
      </c>
      <c r="B10" t="b">
        <v>0</v>
      </c>
      <c r="C10">
        <v>1</v>
      </c>
      <c r="D10">
        <v>74</v>
      </c>
      <c r="F10" s="77" t="s">
        <v>282</v>
      </c>
      <c r="G10" s="35" t="s">
        <v>281</v>
      </c>
    </row>
    <row r="11" spans="1:9" ht="12.75">
      <c r="A11">
        <v>1</v>
      </c>
      <c r="B11" t="b">
        <v>0</v>
      </c>
      <c r="C11">
        <v>2</v>
      </c>
      <c r="D11">
        <v>1</v>
      </c>
      <c r="F11" s="78" t="s">
        <v>283</v>
      </c>
      <c r="G11" s="35" t="s">
        <v>281</v>
      </c>
      <c r="H11" s="54">
        <v>748076084</v>
      </c>
      <c r="I11" s="54">
        <v>1193583058</v>
      </c>
    </row>
    <row r="13" spans="1:9" ht="12.75">
      <c r="A13">
        <v>1</v>
      </c>
      <c r="B13" t="b">
        <v>0</v>
      </c>
      <c r="C13">
        <v>3</v>
      </c>
      <c r="D13">
        <v>2</v>
      </c>
      <c r="F13" s="77" t="s">
        <v>284</v>
      </c>
      <c r="G13" s="35" t="s">
        <v>285</v>
      </c>
      <c r="H13" s="31">
        <v>1064995</v>
      </c>
      <c r="I13" s="31">
        <v>2414301</v>
      </c>
    </row>
    <row r="14" spans="1:9" ht="25.5">
      <c r="A14">
        <v>0</v>
      </c>
      <c r="B14" t="b">
        <v>1</v>
      </c>
      <c r="C14">
        <v>4</v>
      </c>
      <c r="D14">
        <v>80</v>
      </c>
      <c r="F14" s="73" t="s">
        <v>286</v>
      </c>
      <c r="G14" s="35" t="s">
        <v>287</v>
      </c>
      <c r="H14" s="35">
        <v>895552</v>
      </c>
      <c r="I14" s="35">
        <v>1194484</v>
      </c>
    </row>
    <row r="15" spans="1:9" ht="12.75">
      <c r="A15">
        <v>0</v>
      </c>
      <c r="B15" t="b">
        <v>1</v>
      </c>
      <c r="C15">
        <v>5</v>
      </c>
      <c r="D15">
        <v>81</v>
      </c>
      <c r="F15" s="73" t="s">
        <v>288</v>
      </c>
      <c r="G15" s="35" t="s">
        <v>289</v>
      </c>
      <c r="H15" s="35">
        <v>169658</v>
      </c>
      <c r="I15" s="35">
        <v>1220032</v>
      </c>
    </row>
    <row r="16" spans="1:9" ht="12.75">
      <c r="A16">
        <v>1</v>
      </c>
      <c r="B16" t="b">
        <v>0</v>
      </c>
      <c r="C16">
        <v>6</v>
      </c>
      <c r="D16">
        <v>3</v>
      </c>
      <c r="F16" s="77" t="s">
        <v>290</v>
      </c>
      <c r="G16" s="35" t="s">
        <v>291</v>
      </c>
      <c r="H16" s="35">
        <v>642070527</v>
      </c>
      <c r="I16" s="35">
        <v>892547786</v>
      </c>
    </row>
    <row r="17" spans="1:9" ht="12.75">
      <c r="A17">
        <v>0</v>
      </c>
      <c r="B17" t="b">
        <v>1</v>
      </c>
      <c r="C17">
        <v>7</v>
      </c>
      <c r="D17">
        <v>76</v>
      </c>
      <c r="F17" s="73" t="s">
        <v>292</v>
      </c>
      <c r="G17" s="35" t="s">
        <v>293</v>
      </c>
      <c r="H17" s="35">
        <v>65461575</v>
      </c>
      <c r="I17" s="35">
        <v>93274521</v>
      </c>
    </row>
    <row r="18" spans="1:11" ht="12.75">
      <c r="A18">
        <v>0</v>
      </c>
      <c r="B18" t="b">
        <v>1</v>
      </c>
      <c r="C18">
        <v>8</v>
      </c>
      <c r="D18">
        <v>84</v>
      </c>
      <c r="F18" s="73" t="s">
        <v>294</v>
      </c>
      <c r="G18" s="35" t="s">
        <v>295</v>
      </c>
      <c r="H18" s="31">
        <f>SUM(H19:H28)</f>
        <v>552528469</v>
      </c>
      <c r="I18" s="31">
        <f>SUM(I19:I28)</f>
        <v>823628067</v>
      </c>
      <c r="J18" s="54"/>
      <c r="K18" s="54"/>
    </row>
    <row r="19" spans="6:9" ht="12.75">
      <c r="F19" s="79" t="s">
        <v>296</v>
      </c>
      <c r="H19" s="35">
        <v>164142529</v>
      </c>
      <c r="I19" s="35">
        <v>279064198</v>
      </c>
    </row>
    <row r="20" spans="6:9" ht="12.75">
      <c r="F20" s="79" t="s">
        <v>297</v>
      </c>
      <c r="H20" s="35">
        <v>165877374</v>
      </c>
      <c r="I20" s="35">
        <v>192860768</v>
      </c>
    </row>
    <row r="21" spans="6:9" ht="12.75">
      <c r="F21" s="79" t="s">
        <v>298</v>
      </c>
      <c r="H21" s="35">
        <v>68422512</v>
      </c>
      <c r="I21" s="35">
        <v>164544303</v>
      </c>
    </row>
    <row r="22" spans="6:9" ht="12.75">
      <c r="F22" s="79" t="s">
        <v>299</v>
      </c>
      <c r="H22" s="35">
        <v>14764468</v>
      </c>
      <c r="I22" s="35">
        <v>25231162</v>
      </c>
    </row>
    <row r="23" spans="6:9" ht="12.75">
      <c r="F23" s="79" t="s">
        <v>300</v>
      </c>
      <c r="H23" s="35">
        <v>123556970</v>
      </c>
      <c r="I23" s="35">
        <v>138270277</v>
      </c>
    </row>
    <row r="24" spans="6:9" ht="12.75">
      <c r="F24" s="79" t="s">
        <v>301</v>
      </c>
      <c r="H24" s="35">
        <v>169106</v>
      </c>
      <c r="I24" s="35">
        <v>2531209</v>
      </c>
    </row>
    <row r="25" spans="6:9" ht="12.75">
      <c r="F25" s="79" t="s">
        <v>302</v>
      </c>
      <c r="H25" s="35">
        <v>3463496</v>
      </c>
      <c r="I25" s="35">
        <v>8108671</v>
      </c>
    </row>
    <row r="26" spans="6:9" ht="12.75">
      <c r="F26" s="79" t="s">
        <v>303</v>
      </c>
      <c r="H26" s="35">
        <v>707</v>
      </c>
      <c r="I26" s="35">
        <v>7985</v>
      </c>
    </row>
    <row r="27" spans="6:9" ht="12.75">
      <c r="F27" s="79" t="s">
        <v>304</v>
      </c>
      <c r="H27" s="35">
        <v>123608</v>
      </c>
      <c r="I27" s="35">
        <v>136783</v>
      </c>
    </row>
    <row r="28" spans="6:9" ht="12.75">
      <c r="F28" s="79" t="s">
        <v>305</v>
      </c>
      <c r="H28" s="35">
        <v>12007699</v>
      </c>
      <c r="I28" s="35">
        <f>12872787-76</f>
        <v>12872711</v>
      </c>
    </row>
    <row r="29" spans="6:9" ht="25.5">
      <c r="F29" s="73" t="s">
        <v>306</v>
      </c>
      <c r="G29" s="35" t="s">
        <v>307</v>
      </c>
      <c r="H29" s="35">
        <v>32153280</v>
      </c>
      <c r="I29" s="35">
        <v>29417204</v>
      </c>
    </row>
    <row r="30" spans="6:9" ht="12.75">
      <c r="F30" s="73" t="s">
        <v>308</v>
      </c>
      <c r="G30" s="35" t="s">
        <v>309</v>
      </c>
      <c r="H30" s="35">
        <v>50025543</v>
      </c>
      <c r="I30" s="35">
        <v>55849902</v>
      </c>
    </row>
    <row r="31" spans="1:11" ht="12.75">
      <c r="A31">
        <v>0</v>
      </c>
      <c r="B31" t="b">
        <v>1</v>
      </c>
      <c r="C31">
        <v>9</v>
      </c>
      <c r="D31">
        <v>85</v>
      </c>
      <c r="F31" s="80" t="s">
        <v>310</v>
      </c>
      <c r="G31" s="35" t="s">
        <v>311</v>
      </c>
      <c r="H31" s="31">
        <f>SUM(H32:H37)</f>
        <v>72824810</v>
      </c>
      <c r="I31" s="31">
        <f>SUM(I32:I37)</f>
        <v>76927134</v>
      </c>
      <c r="J31" s="54"/>
      <c r="K31" s="54"/>
    </row>
    <row r="32" spans="6:9" ht="12.75">
      <c r="F32" s="79" t="s">
        <v>312</v>
      </c>
      <c r="H32" s="35">
        <v>21570641</v>
      </c>
      <c r="I32" s="35">
        <v>19335506</v>
      </c>
    </row>
    <row r="33" spans="1:9" ht="12.75">
      <c r="A33">
        <v>0</v>
      </c>
      <c r="B33" t="b">
        <v>1</v>
      </c>
      <c r="C33">
        <v>10</v>
      </c>
      <c r="D33">
        <v>86</v>
      </c>
      <c r="F33" s="79" t="s">
        <v>313</v>
      </c>
      <c r="H33" s="35">
        <v>11885470</v>
      </c>
      <c r="I33" s="35">
        <v>14162496</v>
      </c>
    </row>
    <row r="34" spans="1:9" ht="12.75">
      <c r="A34">
        <v>0</v>
      </c>
      <c r="B34" t="b">
        <v>1</v>
      </c>
      <c r="C34">
        <v>11</v>
      </c>
      <c r="D34">
        <v>87</v>
      </c>
      <c r="F34" s="79" t="s">
        <v>314</v>
      </c>
      <c r="H34" s="35">
        <v>13005271</v>
      </c>
      <c r="I34" s="35">
        <v>14977160</v>
      </c>
    </row>
    <row r="35" spans="6:9" ht="12.75">
      <c r="F35" s="79" t="s">
        <v>315</v>
      </c>
      <c r="H35" s="35">
        <v>26601</v>
      </c>
      <c r="I35" s="35">
        <v>27251</v>
      </c>
    </row>
    <row r="36" spans="6:9" ht="12.75">
      <c r="F36" s="79" t="s">
        <v>316</v>
      </c>
      <c r="H36" s="35">
        <v>40400</v>
      </c>
      <c r="I36" s="35">
        <v>37469</v>
      </c>
    </row>
    <row r="37" spans="6:9" ht="12.75">
      <c r="F37" s="79" t="s">
        <v>317</v>
      </c>
      <c r="H37" s="35">
        <v>26296427</v>
      </c>
      <c r="I37" s="35">
        <v>28387252</v>
      </c>
    </row>
    <row r="38" spans="1:9" ht="12.75">
      <c r="A38">
        <v>1</v>
      </c>
      <c r="B38" t="b">
        <v>0</v>
      </c>
      <c r="C38">
        <v>12</v>
      </c>
      <c r="D38">
        <v>4</v>
      </c>
      <c r="F38" s="77" t="s">
        <v>318</v>
      </c>
      <c r="G38" s="35" t="s">
        <v>319</v>
      </c>
      <c r="H38" s="31">
        <v>104940562</v>
      </c>
      <c r="I38" s="31">
        <v>298620502</v>
      </c>
    </row>
    <row r="39" spans="1:9" ht="12.75">
      <c r="A39">
        <v>0</v>
      </c>
      <c r="B39" t="b">
        <v>1</v>
      </c>
      <c r="C39">
        <v>13</v>
      </c>
      <c r="D39">
        <v>89</v>
      </c>
      <c r="F39" s="73" t="s">
        <v>320</v>
      </c>
      <c r="G39" s="35" t="s">
        <v>321</v>
      </c>
      <c r="H39" s="35">
        <v>102338842</v>
      </c>
      <c r="I39" s="35">
        <v>180284192</v>
      </c>
    </row>
    <row r="40" spans="1:9" ht="12.75">
      <c r="A40">
        <v>0</v>
      </c>
      <c r="B40" t="b">
        <v>1</v>
      </c>
      <c r="C40">
        <v>14</v>
      </c>
      <c r="D40">
        <v>90</v>
      </c>
      <c r="F40" s="73" t="s">
        <v>322</v>
      </c>
      <c r="G40" s="35" t="s">
        <v>323</v>
      </c>
      <c r="H40" s="35">
        <v>232048</v>
      </c>
      <c r="I40" s="35">
        <v>2577720</v>
      </c>
    </row>
    <row r="41" spans="1:9" ht="12.75">
      <c r="A41">
        <v>0</v>
      </c>
      <c r="B41" t="b">
        <v>1</v>
      </c>
      <c r="C41">
        <v>15</v>
      </c>
      <c r="D41">
        <v>91</v>
      </c>
      <c r="F41" s="73" t="s">
        <v>324</v>
      </c>
      <c r="G41" s="35" t="s">
        <v>325</v>
      </c>
      <c r="H41" s="35">
        <v>2353154</v>
      </c>
      <c r="I41" s="35">
        <v>10824950</v>
      </c>
    </row>
    <row r="42" spans="1:9" ht="12.75">
      <c r="A42">
        <v>0</v>
      </c>
      <c r="B42" t="b">
        <v>1</v>
      </c>
      <c r="C42">
        <v>16</v>
      </c>
      <c r="D42">
        <v>92</v>
      </c>
      <c r="F42" s="73" t="s">
        <v>326</v>
      </c>
      <c r="G42" s="35" t="s">
        <v>327</v>
      </c>
      <c r="H42" s="35">
        <v>16518</v>
      </c>
      <c r="I42" s="35">
        <v>104933640</v>
      </c>
    </row>
    <row r="43" spans="1:9" ht="12.75">
      <c r="A43">
        <v>1</v>
      </c>
      <c r="B43" t="b">
        <v>0</v>
      </c>
      <c r="C43">
        <v>18</v>
      </c>
      <c r="D43">
        <v>6</v>
      </c>
      <c r="F43" s="78" t="s">
        <v>328</v>
      </c>
      <c r="G43" s="35" t="s">
        <v>281</v>
      </c>
      <c r="H43" s="54">
        <v>64302111</v>
      </c>
      <c r="I43" s="54">
        <v>109490786</v>
      </c>
    </row>
    <row r="44" spans="1:9" ht="12.75">
      <c r="A44">
        <v>1</v>
      </c>
      <c r="B44" t="b">
        <v>1</v>
      </c>
      <c r="C44">
        <v>19</v>
      </c>
      <c r="D44">
        <v>7</v>
      </c>
      <c r="F44" s="77" t="s">
        <v>329</v>
      </c>
      <c r="G44" s="35" t="s">
        <v>330</v>
      </c>
      <c r="H44" s="35">
        <v>3828990</v>
      </c>
      <c r="I44" s="35">
        <v>4292023</v>
      </c>
    </row>
    <row r="45" spans="1:9" ht="12.75">
      <c r="A45">
        <v>0</v>
      </c>
      <c r="B45" t="b">
        <v>1</v>
      </c>
      <c r="C45">
        <v>20</v>
      </c>
      <c r="D45">
        <v>8</v>
      </c>
      <c r="F45" s="73" t="s">
        <v>331</v>
      </c>
      <c r="G45" s="35" t="s">
        <v>332</v>
      </c>
      <c r="H45" s="35">
        <v>3756987</v>
      </c>
      <c r="I45" s="35">
        <v>4220503</v>
      </c>
    </row>
    <row r="46" spans="1:9" ht="12.75">
      <c r="A46">
        <v>0</v>
      </c>
      <c r="B46" t="b">
        <v>1</v>
      </c>
      <c r="C46">
        <v>21</v>
      </c>
      <c r="D46">
        <v>9</v>
      </c>
      <c r="F46" s="73" t="s">
        <v>333</v>
      </c>
      <c r="G46" s="35" t="s">
        <v>334</v>
      </c>
      <c r="H46" s="35">
        <v>1499</v>
      </c>
      <c r="I46" s="35">
        <v>1703</v>
      </c>
    </row>
    <row r="47" spans="1:9" ht="12.75">
      <c r="A47">
        <v>0</v>
      </c>
      <c r="B47" t="b">
        <v>1</v>
      </c>
      <c r="C47">
        <v>22</v>
      </c>
      <c r="D47">
        <v>10</v>
      </c>
      <c r="F47" s="73" t="s">
        <v>335</v>
      </c>
      <c r="G47" s="35" t="s">
        <v>336</v>
      </c>
      <c r="H47" s="35">
        <v>68301</v>
      </c>
      <c r="I47" s="35">
        <v>66913</v>
      </c>
    </row>
    <row r="48" spans="1:9" ht="12.75">
      <c r="A48">
        <v>0</v>
      </c>
      <c r="B48" t="b">
        <v>1</v>
      </c>
      <c r="C48">
        <v>23</v>
      </c>
      <c r="D48">
        <v>11</v>
      </c>
      <c r="F48" s="73" t="s">
        <v>337</v>
      </c>
      <c r="G48" s="35" t="s">
        <v>338</v>
      </c>
      <c r="H48" s="35">
        <v>2203</v>
      </c>
      <c r="I48" s="35">
        <v>2904</v>
      </c>
    </row>
    <row r="49" spans="1:7" ht="12.75">
      <c r="A49">
        <v>0</v>
      </c>
      <c r="B49" t="b">
        <v>1</v>
      </c>
      <c r="C49">
        <v>24</v>
      </c>
      <c r="D49">
        <v>12</v>
      </c>
      <c r="F49" s="73" t="s">
        <v>339</v>
      </c>
      <c r="G49" s="35" t="s">
        <v>340</v>
      </c>
    </row>
    <row r="51" spans="1:9" ht="12.75">
      <c r="A51">
        <v>1</v>
      </c>
      <c r="B51" t="b">
        <v>1</v>
      </c>
      <c r="C51">
        <v>25</v>
      </c>
      <c r="D51">
        <v>13</v>
      </c>
      <c r="F51" s="77" t="s">
        <v>341</v>
      </c>
      <c r="G51" s="35" t="s">
        <v>342</v>
      </c>
      <c r="H51" s="35">
        <v>13183</v>
      </c>
      <c r="I51" s="35">
        <v>14514</v>
      </c>
    </row>
    <row r="52" spans="1:9" ht="12.75">
      <c r="A52">
        <v>1</v>
      </c>
      <c r="B52" t="b">
        <v>1</v>
      </c>
      <c r="C52">
        <v>26</v>
      </c>
      <c r="D52">
        <v>14</v>
      </c>
      <c r="F52" s="77" t="s">
        <v>343</v>
      </c>
      <c r="G52" s="35" t="s">
        <v>344</v>
      </c>
      <c r="H52" s="35">
        <v>27355635</v>
      </c>
      <c r="I52" s="35">
        <v>66732717</v>
      </c>
    </row>
    <row r="53" spans="1:9" ht="12.75">
      <c r="A53">
        <v>1</v>
      </c>
      <c r="B53" t="b">
        <v>1</v>
      </c>
      <c r="C53">
        <v>27</v>
      </c>
      <c r="D53">
        <v>35</v>
      </c>
      <c r="F53" s="77" t="s">
        <v>345</v>
      </c>
      <c r="G53" s="35" t="s">
        <v>346</v>
      </c>
      <c r="H53" s="35">
        <v>4358736</v>
      </c>
      <c r="I53" s="35">
        <v>2436846</v>
      </c>
    </row>
    <row r="54" spans="1:9" ht="12.75">
      <c r="A54">
        <v>1</v>
      </c>
      <c r="B54" t="b">
        <v>1</v>
      </c>
      <c r="C54">
        <v>28</v>
      </c>
      <c r="D54">
        <v>15</v>
      </c>
      <c r="F54" s="77" t="s">
        <v>347</v>
      </c>
      <c r="G54" s="35" t="s">
        <v>348</v>
      </c>
      <c r="H54" s="35">
        <v>3276492</v>
      </c>
      <c r="I54" s="35">
        <v>4507189</v>
      </c>
    </row>
    <row r="55" ht="12.75">
      <c r="F55" s="77"/>
    </row>
    <row r="56" spans="1:9" ht="12.75">
      <c r="A56">
        <v>1</v>
      </c>
      <c r="B56" t="b">
        <v>1</v>
      </c>
      <c r="C56">
        <v>29</v>
      </c>
      <c r="D56">
        <v>16</v>
      </c>
      <c r="F56" s="77" t="s">
        <v>349</v>
      </c>
      <c r="G56" s="35" t="s">
        <v>350</v>
      </c>
      <c r="H56" s="35">
        <v>25469075</v>
      </c>
      <c r="I56" s="35">
        <v>31506627</v>
      </c>
    </row>
    <row r="57" spans="1:9" ht="12.75">
      <c r="A57">
        <v>0</v>
      </c>
      <c r="B57" t="b">
        <v>1</v>
      </c>
      <c r="C57">
        <v>30</v>
      </c>
      <c r="D57">
        <v>17</v>
      </c>
      <c r="F57" s="73" t="s">
        <v>351</v>
      </c>
      <c r="G57" s="35" t="s">
        <v>352</v>
      </c>
      <c r="H57" s="35">
        <v>261340</v>
      </c>
      <c r="I57" s="35">
        <v>233479</v>
      </c>
    </row>
    <row r="58" spans="1:9" ht="12.75">
      <c r="A58">
        <v>0</v>
      </c>
      <c r="B58" t="b">
        <v>1</v>
      </c>
      <c r="C58">
        <v>31</v>
      </c>
      <c r="D58">
        <v>18</v>
      </c>
      <c r="F58" s="73" t="s">
        <v>353</v>
      </c>
      <c r="G58" s="35" t="s">
        <v>354</v>
      </c>
      <c r="H58" s="35">
        <v>14773040</v>
      </c>
      <c r="I58" s="35">
        <v>11949893</v>
      </c>
    </row>
    <row r="59" spans="1:9" ht="12.75">
      <c r="A59">
        <v>0</v>
      </c>
      <c r="B59" t="b">
        <v>1</v>
      </c>
      <c r="C59">
        <v>32</v>
      </c>
      <c r="D59">
        <v>19</v>
      </c>
      <c r="F59" s="73" t="s">
        <v>355</v>
      </c>
      <c r="G59" s="35" t="s">
        <v>356</v>
      </c>
      <c r="H59" s="35">
        <v>9460451</v>
      </c>
      <c r="I59" s="35">
        <v>17327029</v>
      </c>
    </row>
    <row r="60" spans="1:9" ht="12.75">
      <c r="A60">
        <v>0</v>
      </c>
      <c r="B60" t="b">
        <v>1</v>
      </c>
      <c r="C60">
        <v>33</v>
      </c>
      <c r="D60">
        <v>20</v>
      </c>
      <c r="F60" s="73" t="s">
        <v>357</v>
      </c>
      <c r="G60" s="35" t="s">
        <v>358</v>
      </c>
      <c r="H60" s="35">
        <v>755290</v>
      </c>
      <c r="I60" s="35">
        <v>1837801</v>
      </c>
    </row>
    <row r="61" spans="1:9" ht="12.75">
      <c r="A61">
        <v>0</v>
      </c>
      <c r="B61" t="b">
        <v>1</v>
      </c>
      <c r="C61">
        <v>34</v>
      </c>
      <c r="D61">
        <v>21</v>
      </c>
      <c r="F61" s="73" t="s">
        <v>359</v>
      </c>
      <c r="G61" s="35" t="s">
        <v>360</v>
      </c>
      <c r="H61" s="35">
        <v>23539</v>
      </c>
      <c r="I61" s="35">
        <v>65158</v>
      </c>
    </row>
    <row r="62" spans="1:9" ht="12.75">
      <c r="A62">
        <v>0</v>
      </c>
      <c r="B62" t="b">
        <v>1</v>
      </c>
      <c r="C62">
        <v>35</v>
      </c>
      <c r="D62">
        <v>22</v>
      </c>
      <c r="F62" s="73" t="s">
        <v>361</v>
      </c>
      <c r="G62" s="35" t="s">
        <v>362</v>
      </c>
      <c r="H62" s="35">
        <v>29462</v>
      </c>
      <c r="I62" s="35">
        <v>24219</v>
      </c>
    </row>
    <row r="63" spans="1:9" ht="12.75">
      <c r="A63">
        <v>0</v>
      </c>
      <c r="B63" t="b">
        <v>1</v>
      </c>
      <c r="C63">
        <v>36</v>
      </c>
      <c r="D63">
        <v>23</v>
      </c>
      <c r="F63" s="73" t="s">
        <v>363</v>
      </c>
      <c r="G63" s="35" t="s">
        <v>364</v>
      </c>
      <c r="H63" s="35">
        <v>7</v>
      </c>
      <c r="I63" s="35">
        <v>6</v>
      </c>
    </row>
    <row r="64" spans="1:9" ht="12.75">
      <c r="A64">
        <v>0</v>
      </c>
      <c r="B64" t="b">
        <v>1</v>
      </c>
      <c r="C64">
        <v>37</v>
      </c>
      <c r="D64">
        <v>24</v>
      </c>
      <c r="F64" s="73" t="s">
        <v>365</v>
      </c>
      <c r="G64" s="35" t="s">
        <v>366</v>
      </c>
      <c r="H64" s="35">
        <v>165946</v>
      </c>
      <c r="I64" s="35">
        <v>69042</v>
      </c>
    </row>
    <row r="65" spans="1:7" ht="12.75">
      <c r="A65">
        <v>2</v>
      </c>
      <c r="B65" t="b">
        <v>1</v>
      </c>
      <c r="C65">
        <v>38</v>
      </c>
      <c r="D65">
        <v>25</v>
      </c>
      <c r="G65" s="35" t="s">
        <v>367</v>
      </c>
    </row>
    <row r="66" spans="6:9" ht="12.75">
      <c r="F66" s="77" t="s">
        <v>368</v>
      </c>
      <c r="G66" s="54" t="s">
        <v>369</v>
      </c>
      <c r="H66" s="54">
        <v>812378195</v>
      </c>
      <c r="I66" s="54">
        <v>1303073844</v>
      </c>
    </row>
    <row r="67" spans="1:5" ht="12.75">
      <c r="A67">
        <v>1</v>
      </c>
      <c r="B67" t="b">
        <v>1</v>
      </c>
      <c r="C67">
        <v>48</v>
      </c>
      <c r="D67">
        <v>34</v>
      </c>
    </row>
    <row r="69" spans="1:7" ht="12.75">
      <c r="A69">
        <v>1</v>
      </c>
      <c r="B69" t="b">
        <v>1</v>
      </c>
      <c r="C69">
        <v>49</v>
      </c>
      <c r="D69">
        <v>75</v>
      </c>
      <c r="F69" s="77" t="s">
        <v>370</v>
      </c>
      <c r="G69" s="35" t="s">
        <v>281</v>
      </c>
    </row>
    <row r="70" ht="12.75">
      <c r="F70" s="77"/>
    </row>
    <row r="71" spans="1:9" ht="12.75">
      <c r="A71">
        <v>1</v>
      </c>
      <c r="B71" t="b">
        <v>0</v>
      </c>
      <c r="C71">
        <v>50</v>
      </c>
      <c r="D71">
        <v>37</v>
      </c>
      <c r="F71" s="78" t="s">
        <v>371</v>
      </c>
      <c r="G71" s="35" t="s">
        <v>281</v>
      </c>
      <c r="H71" s="54">
        <v>719814967</v>
      </c>
      <c r="I71" s="54">
        <f>SUM(I73:I75)</f>
        <v>1189294124</v>
      </c>
    </row>
    <row r="72" ht="12.75">
      <c r="F72" s="78"/>
    </row>
    <row r="73" spans="1:9" ht="12.75">
      <c r="A73">
        <v>1</v>
      </c>
      <c r="B73" t="b">
        <v>1</v>
      </c>
      <c r="C73">
        <v>51</v>
      </c>
      <c r="D73">
        <v>38</v>
      </c>
      <c r="F73" s="73" t="s">
        <v>372</v>
      </c>
      <c r="G73" s="35" t="s">
        <v>373</v>
      </c>
      <c r="H73" s="35">
        <v>684818754</v>
      </c>
      <c r="I73" s="35">
        <f>1128190592-14919</f>
        <v>1128175673</v>
      </c>
    </row>
    <row r="74" spans="1:9" ht="12.75">
      <c r="A74">
        <v>1</v>
      </c>
      <c r="B74" t="b">
        <v>1</v>
      </c>
      <c r="C74">
        <v>52</v>
      </c>
      <c r="D74">
        <v>39</v>
      </c>
      <c r="F74" s="73" t="s">
        <v>374</v>
      </c>
      <c r="G74" s="35" t="s">
        <v>375</v>
      </c>
      <c r="H74" s="35">
        <v>2068337</v>
      </c>
      <c r="I74" s="35">
        <v>9612694</v>
      </c>
    </row>
    <row r="75" spans="1:9" ht="12.75">
      <c r="A75">
        <v>1</v>
      </c>
      <c r="B75" t="b">
        <v>1</v>
      </c>
      <c r="C75">
        <v>53</v>
      </c>
      <c r="D75">
        <v>40</v>
      </c>
      <c r="F75" s="73" t="s">
        <v>376</v>
      </c>
      <c r="G75" s="35" t="s">
        <v>377</v>
      </c>
      <c r="H75" s="35">
        <v>32929777</v>
      </c>
      <c r="I75" s="35">
        <f>SUM(I76:I79)</f>
        <v>51505757</v>
      </c>
    </row>
    <row r="76" spans="1:9" ht="12.75">
      <c r="A76">
        <v>0</v>
      </c>
      <c r="B76" t="b">
        <v>1</v>
      </c>
      <c r="C76">
        <v>54</v>
      </c>
      <c r="D76">
        <v>130</v>
      </c>
      <c r="F76" s="79" t="s">
        <v>378</v>
      </c>
      <c r="G76" s="35" t="s">
        <v>379</v>
      </c>
      <c r="H76" s="35">
        <v>-2182184</v>
      </c>
      <c r="I76" s="35">
        <v>9616642</v>
      </c>
    </row>
    <row r="77" spans="1:9" ht="12.75">
      <c r="A77">
        <v>0</v>
      </c>
      <c r="B77" t="b">
        <v>1</v>
      </c>
      <c r="C77">
        <v>55</v>
      </c>
      <c r="D77">
        <v>131</v>
      </c>
      <c r="F77" s="79" t="s">
        <v>380</v>
      </c>
      <c r="G77" s="35" t="s">
        <v>381</v>
      </c>
      <c r="H77" s="35">
        <v>21749155</v>
      </c>
      <c r="I77" s="35">
        <v>30528718</v>
      </c>
    </row>
    <row r="78" spans="1:9" ht="12.75">
      <c r="A78">
        <v>0</v>
      </c>
      <c r="B78" t="b">
        <v>1</v>
      </c>
      <c r="C78">
        <v>56</v>
      </c>
      <c r="D78">
        <v>132</v>
      </c>
      <c r="F78" s="79" t="s">
        <v>382</v>
      </c>
      <c r="G78" s="35" t="s">
        <v>383</v>
      </c>
      <c r="H78" s="35">
        <v>3894066</v>
      </c>
      <c r="I78" s="35">
        <v>220467</v>
      </c>
    </row>
    <row r="79" spans="1:9" ht="12.75">
      <c r="A79">
        <v>0</v>
      </c>
      <c r="B79" t="b">
        <v>1</v>
      </c>
      <c r="C79">
        <v>57</v>
      </c>
      <c r="D79">
        <v>133</v>
      </c>
      <c r="F79" s="79" t="s">
        <v>384</v>
      </c>
      <c r="G79" s="35" t="s">
        <v>385</v>
      </c>
      <c r="H79" s="35">
        <v>9468740</v>
      </c>
      <c r="I79" s="35">
        <v>11139930</v>
      </c>
    </row>
    <row r="80" ht="12.75">
      <c r="F80" s="81"/>
    </row>
    <row r="81" spans="1:7" ht="12.75">
      <c r="A81">
        <v>2</v>
      </c>
      <c r="B81" t="b">
        <v>1</v>
      </c>
      <c r="C81">
        <v>58</v>
      </c>
      <c r="D81">
        <v>41</v>
      </c>
      <c r="G81" s="35" t="s">
        <v>386</v>
      </c>
    </row>
    <row r="82" spans="1:9" ht="12.75">
      <c r="A82">
        <v>1</v>
      </c>
      <c r="B82" t="b">
        <v>0</v>
      </c>
      <c r="C82">
        <v>59</v>
      </c>
      <c r="D82">
        <v>42</v>
      </c>
      <c r="F82" s="78" t="s">
        <v>387</v>
      </c>
      <c r="G82" s="35" t="s">
        <v>281</v>
      </c>
      <c r="H82" s="54">
        <v>92563228</v>
      </c>
      <c r="I82" s="54">
        <v>113779720</v>
      </c>
    </row>
    <row r="83" spans="1:9" ht="12.75">
      <c r="A83">
        <v>1</v>
      </c>
      <c r="B83" t="b">
        <v>1</v>
      </c>
      <c r="C83">
        <v>60</v>
      </c>
      <c r="D83">
        <v>43</v>
      </c>
      <c r="F83" s="73" t="s">
        <v>388</v>
      </c>
      <c r="G83" s="35" t="s">
        <v>389</v>
      </c>
      <c r="H83" s="35">
        <v>55086352</v>
      </c>
      <c r="I83" s="35">
        <v>85665543</v>
      </c>
    </row>
    <row r="84" spans="1:9" ht="12.75">
      <c r="A84">
        <v>1</v>
      </c>
      <c r="B84" t="b">
        <v>1</v>
      </c>
      <c r="C84">
        <v>61</v>
      </c>
      <c r="D84">
        <v>44</v>
      </c>
      <c r="F84" s="73" t="s">
        <v>390</v>
      </c>
      <c r="G84" s="35" t="s">
        <v>391</v>
      </c>
      <c r="H84" s="35">
        <v>115721</v>
      </c>
      <c r="I84" s="35">
        <v>103390</v>
      </c>
    </row>
    <row r="85" spans="1:9" ht="12.75">
      <c r="A85">
        <v>1</v>
      </c>
      <c r="B85" t="b">
        <v>1</v>
      </c>
      <c r="C85">
        <v>62</v>
      </c>
      <c r="D85">
        <v>45</v>
      </c>
      <c r="F85" s="73" t="s">
        <v>392</v>
      </c>
      <c r="G85" s="35" t="s">
        <v>393</v>
      </c>
      <c r="H85" s="35">
        <v>11827408</v>
      </c>
      <c r="I85" s="35">
        <v>12846069</v>
      </c>
    </row>
    <row r="86" spans="1:7" ht="12.75">
      <c r="A86">
        <v>1</v>
      </c>
      <c r="B86" t="b">
        <v>1</v>
      </c>
      <c r="C86">
        <v>63</v>
      </c>
      <c r="D86">
        <v>46</v>
      </c>
      <c r="F86" s="73" t="s">
        <v>394</v>
      </c>
      <c r="G86" s="35" t="s">
        <v>395</v>
      </c>
    </row>
    <row r="87" spans="1:9" ht="15.75" customHeight="1">
      <c r="A87">
        <v>1</v>
      </c>
      <c r="B87" t="b">
        <v>1</v>
      </c>
      <c r="C87">
        <v>64</v>
      </c>
      <c r="D87">
        <v>47</v>
      </c>
      <c r="F87" s="73" t="s">
        <v>396</v>
      </c>
      <c r="G87" s="35" t="s">
        <v>397</v>
      </c>
      <c r="H87" s="35">
        <v>15505229</v>
      </c>
      <c r="I87" s="35">
        <v>3367465</v>
      </c>
    </row>
    <row r="88" spans="1:9" ht="25.5">
      <c r="A88">
        <v>1</v>
      </c>
      <c r="B88" t="b">
        <v>1</v>
      </c>
      <c r="C88">
        <v>65</v>
      </c>
      <c r="D88">
        <v>48</v>
      </c>
      <c r="F88" s="73" t="s">
        <v>398</v>
      </c>
      <c r="G88" s="35" t="s">
        <v>399</v>
      </c>
      <c r="H88" s="35">
        <v>4263561</v>
      </c>
      <c r="I88" s="35">
        <v>5136603</v>
      </c>
    </row>
    <row r="89" spans="1:9" ht="12.75">
      <c r="A89">
        <v>1</v>
      </c>
      <c r="B89" t="b">
        <v>1</v>
      </c>
      <c r="C89">
        <v>66</v>
      </c>
      <c r="D89">
        <v>49</v>
      </c>
      <c r="F89" s="73" t="s">
        <v>400</v>
      </c>
      <c r="G89" s="35" t="s">
        <v>401</v>
      </c>
      <c r="H89" s="35">
        <v>5764957</v>
      </c>
      <c r="I89" s="35">
        <v>6660650</v>
      </c>
    </row>
    <row r="90" spans="1:7" ht="12.75">
      <c r="A90">
        <v>2</v>
      </c>
      <c r="B90" t="b">
        <v>1</v>
      </c>
      <c r="C90">
        <v>67</v>
      </c>
      <c r="D90">
        <v>50</v>
      </c>
      <c r="G90" s="35" t="s">
        <v>402</v>
      </c>
    </row>
    <row r="91" spans="6:9" ht="12.75">
      <c r="F91" s="77" t="s">
        <v>403</v>
      </c>
      <c r="G91" s="54"/>
      <c r="H91" s="54">
        <v>812378195</v>
      </c>
      <c r="I91" s="54">
        <v>1303073844</v>
      </c>
    </row>
    <row r="95" spans="6:9" ht="21" customHeight="1">
      <c r="F95" s="82" t="s">
        <v>264</v>
      </c>
      <c r="I95" s="83" t="s">
        <v>265</v>
      </c>
    </row>
  </sheetData>
  <mergeCells count="1">
    <mergeCell ref="F3:I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77"/>
  <sheetViews>
    <sheetView workbookViewId="0" topLeftCell="A1">
      <selection activeCell="A6" sqref="A6"/>
    </sheetView>
  </sheetViews>
  <sheetFormatPr defaultColWidth="9.140625" defaultRowHeight="12.75"/>
  <cols>
    <col min="1" max="1" width="61.28125" style="31" customWidth="1"/>
    <col min="2" max="3" width="15.421875" style="31" customWidth="1"/>
    <col min="4" max="16384" width="9.28125" style="3" customWidth="1"/>
  </cols>
  <sheetData>
    <row r="1" ht="15.75" customHeight="1">
      <c r="C1" s="36" t="s">
        <v>408</v>
      </c>
    </row>
    <row r="2" spans="1:3" ht="40.5" customHeight="1">
      <c r="A2" s="484" t="s">
        <v>409</v>
      </c>
      <c r="B2" s="484"/>
      <c r="C2" s="484"/>
    </row>
    <row r="3" spans="1:3" ht="15.75">
      <c r="A3" s="37"/>
      <c r="B3" s="37"/>
      <c r="C3" s="31" t="s">
        <v>199</v>
      </c>
    </row>
    <row r="4" spans="1:3" ht="32.25" customHeight="1">
      <c r="A4" s="84" t="s">
        <v>162</v>
      </c>
      <c r="B4" s="6" t="s">
        <v>270</v>
      </c>
      <c r="C4" s="6" t="s">
        <v>271</v>
      </c>
    </row>
    <row r="5" spans="1:3" s="85" customFormat="1" ht="21.75" customHeight="1">
      <c r="A5" s="54" t="s">
        <v>282</v>
      </c>
      <c r="B5" s="54"/>
      <c r="C5" s="54"/>
    </row>
    <row r="6" spans="1:3" s="87" customFormat="1" ht="14.25">
      <c r="A6" s="86" t="s">
        <v>349</v>
      </c>
      <c r="B6" s="86">
        <v>39123295</v>
      </c>
      <c r="C6" s="86">
        <f>14016432+510426+70579+6593976+1112226+1569805</f>
        <v>23873444</v>
      </c>
    </row>
    <row r="7" spans="1:3" ht="12.75">
      <c r="A7" s="31" t="s">
        <v>410</v>
      </c>
      <c r="B7" s="31">
        <v>20400462</v>
      </c>
      <c r="C7" s="88">
        <v>14016432</v>
      </c>
    </row>
    <row r="8" spans="1:3" ht="12.75">
      <c r="A8" s="31" t="s">
        <v>411</v>
      </c>
      <c r="B8" s="31">
        <v>1055576</v>
      </c>
      <c r="C8" s="88">
        <v>510426</v>
      </c>
    </row>
    <row r="9" spans="1:3" ht="12.75">
      <c r="A9" s="31" t="s">
        <v>412</v>
      </c>
      <c r="B9" s="31">
        <v>147717</v>
      </c>
      <c r="C9" s="31">
        <f>66581.18+3998</f>
        <v>70579.18</v>
      </c>
    </row>
    <row r="10" spans="1:3" ht="12.75">
      <c r="A10" s="31" t="s">
        <v>413</v>
      </c>
      <c r="B10" s="31">
        <v>13531178</v>
      </c>
      <c r="C10" s="31">
        <f>5478039.25+1460286.83-344349.59</f>
        <v>6593976.49</v>
      </c>
    </row>
    <row r="11" spans="1:3" ht="12.75">
      <c r="A11" s="31" t="s">
        <v>414</v>
      </c>
      <c r="B11" s="31">
        <v>2583952</v>
      </c>
      <c r="C11" s="89">
        <f>42362+1068181+1683</f>
        <v>1112226</v>
      </c>
    </row>
    <row r="12" spans="1:3" ht="12.75">
      <c r="A12" s="31" t="s">
        <v>415</v>
      </c>
      <c r="B12" s="31">
        <v>1404410</v>
      </c>
      <c r="C12" s="89">
        <f>37031+120897+492140+158837+760900</f>
        <v>1569805</v>
      </c>
    </row>
    <row r="13" ht="12.75">
      <c r="C13" s="89"/>
    </row>
    <row r="14" spans="1:3" s="87" customFormat="1" ht="14.25">
      <c r="A14" s="86" t="s">
        <v>416</v>
      </c>
      <c r="B14" s="86">
        <v>54133567</v>
      </c>
      <c r="C14" s="90">
        <f>11000000+13804509+9339</f>
        <v>24813848</v>
      </c>
    </row>
    <row r="15" spans="1:3" ht="12.75">
      <c r="A15" s="31" t="s">
        <v>417</v>
      </c>
      <c r="C15" s="88">
        <v>11000000</v>
      </c>
    </row>
    <row r="16" spans="1:3" ht="12.75">
      <c r="A16" s="31" t="s">
        <v>418</v>
      </c>
      <c r="B16" s="31">
        <v>43974714</v>
      </c>
      <c r="C16" s="88">
        <v>13804509.34</v>
      </c>
    </row>
    <row r="17" spans="1:3" ht="12.75">
      <c r="A17" s="31" t="s">
        <v>419</v>
      </c>
      <c r="B17" s="31">
        <v>7221273</v>
      </c>
      <c r="C17" s="88"/>
    </row>
    <row r="18" spans="1:3" ht="12.75">
      <c r="A18" s="31" t="s">
        <v>420</v>
      </c>
      <c r="B18" s="31">
        <v>2937580</v>
      </c>
      <c r="C18" s="88">
        <v>9339.39</v>
      </c>
    </row>
    <row r="19" ht="12.75">
      <c r="C19" s="88"/>
    </row>
    <row r="20" spans="1:3" s="87" customFormat="1" ht="14.25">
      <c r="A20" s="86" t="s">
        <v>345</v>
      </c>
      <c r="B20" s="86">
        <v>10676797</v>
      </c>
      <c r="C20" s="90">
        <f>SUM(C21:C24)</f>
        <v>29604678.740000002</v>
      </c>
    </row>
    <row r="21" spans="1:3" ht="12.75">
      <c r="A21" s="31" t="s">
        <v>421</v>
      </c>
      <c r="B21" s="31">
        <v>4535203</v>
      </c>
      <c r="C21" s="88">
        <v>9880267.37</v>
      </c>
    </row>
    <row r="22" spans="1:3" ht="12.75">
      <c r="A22" s="31" t="s">
        <v>422</v>
      </c>
      <c r="B22" s="31">
        <v>6141594</v>
      </c>
      <c r="C22" s="88"/>
    </row>
    <row r="23" spans="1:3" ht="12.75">
      <c r="A23" s="88" t="s">
        <v>423</v>
      </c>
      <c r="C23" s="88">
        <v>1391562.5</v>
      </c>
    </row>
    <row r="24" spans="1:3" ht="12.75">
      <c r="A24" s="88" t="s">
        <v>424</v>
      </c>
      <c r="C24" s="88">
        <v>18332848.87</v>
      </c>
    </row>
    <row r="25" ht="12.75">
      <c r="C25" s="88"/>
    </row>
    <row r="26" spans="1:3" s="87" customFormat="1" ht="14.25">
      <c r="A26" s="86" t="s">
        <v>425</v>
      </c>
      <c r="B26" s="86">
        <v>213786678</v>
      </c>
      <c r="C26" s="90">
        <f>SUM(C27:C30)</f>
        <v>243791975.85000002</v>
      </c>
    </row>
    <row r="27" spans="1:3" ht="12.75">
      <c r="A27" s="31" t="s">
        <v>426</v>
      </c>
      <c r="B27" s="31">
        <v>90926138</v>
      </c>
      <c r="C27" s="88">
        <f>29281462.17+82345408.31+27638580+30636</f>
        <v>139296086.48000002</v>
      </c>
    </row>
    <row r="28" spans="1:3" ht="12.75">
      <c r="A28" s="31" t="s">
        <v>427</v>
      </c>
      <c r="B28" s="31">
        <v>92979218</v>
      </c>
      <c r="C28" s="88">
        <v>90790657</v>
      </c>
    </row>
    <row r="29" spans="1:3" ht="12.75">
      <c r="A29" s="31" t="s">
        <v>428</v>
      </c>
      <c r="B29" s="31">
        <v>15104594</v>
      </c>
      <c r="C29" s="88">
        <v>13360882.78</v>
      </c>
    </row>
    <row r="30" spans="1:3" ht="12.75">
      <c r="A30" s="31" t="s">
        <v>429</v>
      </c>
      <c r="B30" s="31">
        <v>14776728</v>
      </c>
      <c r="C30" s="88">
        <f>344349.59</f>
        <v>344349.59</v>
      </c>
    </row>
    <row r="31" spans="1:3" ht="12.75">
      <c r="A31" s="91"/>
      <c r="C31" s="88"/>
    </row>
    <row r="32" spans="1:3" s="85" customFormat="1" ht="12.75">
      <c r="A32" s="54" t="s">
        <v>430</v>
      </c>
      <c r="B32" s="54">
        <v>317720337</v>
      </c>
      <c r="C32" s="92">
        <f>C26+C14+C6</f>
        <v>292479267.85</v>
      </c>
    </row>
    <row r="33" spans="1:3" s="85" customFormat="1" ht="12.75">
      <c r="A33" s="54"/>
      <c r="B33" s="54"/>
      <c r="C33" s="92"/>
    </row>
    <row r="34" spans="1:3" s="85" customFormat="1" ht="12.75">
      <c r="A34" s="54" t="s">
        <v>370</v>
      </c>
      <c r="B34" s="54"/>
      <c r="C34" s="92"/>
    </row>
    <row r="35" spans="1:3" s="87" customFormat="1" ht="14.25">
      <c r="A35" s="86" t="s">
        <v>431</v>
      </c>
      <c r="B35" s="86">
        <v>6715969</v>
      </c>
      <c r="C35" s="90">
        <f>SUM(C36:C38)</f>
        <v>9182.31</v>
      </c>
    </row>
    <row r="36" spans="1:3" ht="12.75">
      <c r="A36" s="31" t="s">
        <v>432</v>
      </c>
      <c r="B36" s="31">
        <v>6706787</v>
      </c>
      <c r="C36" s="88"/>
    </row>
    <row r="37" spans="1:3" ht="12.75">
      <c r="A37" s="31" t="s">
        <v>433</v>
      </c>
      <c r="B37" s="31">
        <v>9182</v>
      </c>
      <c r="C37" s="88">
        <v>9182.31</v>
      </c>
    </row>
    <row r="38" spans="1:3" ht="12.75">
      <c r="A38" s="31" t="s">
        <v>434</v>
      </c>
      <c r="C38" s="88"/>
    </row>
    <row r="39" ht="12.75">
      <c r="C39" s="88"/>
    </row>
    <row r="40" spans="1:3" s="87" customFormat="1" ht="14.25">
      <c r="A40" s="86" t="s">
        <v>435</v>
      </c>
      <c r="B40" s="86">
        <v>510640075</v>
      </c>
      <c r="C40" s="90">
        <f>SUM(C41:C45)</f>
        <v>583556200.22</v>
      </c>
    </row>
    <row r="41" spans="1:3" ht="12.75">
      <c r="A41" s="31" t="s">
        <v>436</v>
      </c>
      <c r="B41" s="31">
        <v>358985024</v>
      </c>
      <c r="C41" s="88">
        <v>347990853</v>
      </c>
    </row>
    <row r="42" spans="1:3" ht="12.75">
      <c r="A42" s="31" t="s">
        <v>437</v>
      </c>
      <c r="B42" s="31">
        <v>4535203</v>
      </c>
      <c r="C42" s="88">
        <f>9880267.37</f>
        <v>9880267.37</v>
      </c>
    </row>
    <row r="43" spans="1:3" ht="12.75">
      <c r="A43" s="31" t="s">
        <v>438</v>
      </c>
      <c r="B43" s="31">
        <v>140978254</v>
      </c>
      <c r="C43" s="88">
        <v>222896853.22</v>
      </c>
    </row>
    <row r="44" spans="1:3" ht="12.75">
      <c r="A44" s="31" t="s">
        <v>439</v>
      </c>
      <c r="B44" s="31">
        <v>6141594</v>
      </c>
      <c r="C44" s="88"/>
    </row>
    <row r="45" spans="1:3" ht="12.75">
      <c r="A45" s="31" t="s">
        <v>440</v>
      </c>
      <c r="C45" s="88">
        <v>2788226.63</v>
      </c>
    </row>
    <row r="46" ht="12.75">
      <c r="C46" s="88"/>
    </row>
    <row r="47" spans="1:3" s="87" customFormat="1" ht="14.25">
      <c r="A47" s="86" t="s">
        <v>441</v>
      </c>
      <c r="B47" s="86">
        <v>-199635707</v>
      </c>
      <c r="C47" s="90">
        <f>C49-C35-C40</f>
        <v>-291086114.68</v>
      </c>
    </row>
    <row r="48" spans="1:3" s="87" customFormat="1" ht="14.25">
      <c r="A48" s="86"/>
      <c r="B48" s="86"/>
      <c r="C48" s="90"/>
    </row>
    <row r="49" spans="1:3" s="85" customFormat="1" ht="12.75">
      <c r="A49" s="54" t="s">
        <v>430</v>
      </c>
      <c r="B49" s="54">
        <v>317720337</v>
      </c>
      <c r="C49" s="92">
        <f>C32</f>
        <v>292479267.85</v>
      </c>
    </row>
    <row r="50" spans="1:3" s="85" customFormat="1" ht="12.75">
      <c r="A50" s="54"/>
      <c r="B50" s="54"/>
      <c r="C50" s="92"/>
    </row>
    <row r="51" spans="1:3" ht="16.5" customHeight="1">
      <c r="A51" s="93" t="s">
        <v>442</v>
      </c>
      <c r="C51" s="88"/>
    </row>
    <row r="52" spans="1:3" ht="15.75" customHeight="1">
      <c r="A52" s="93"/>
      <c r="C52" s="88"/>
    </row>
    <row r="53" spans="1:3" ht="12.75" customHeight="1">
      <c r="A53" s="93"/>
      <c r="C53" s="88"/>
    </row>
    <row r="54" ht="14.25" customHeight="1">
      <c r="C54" s="88"/>
    </row>
    <row r="55" spans="1:3" ht="14.25">
      <c r="A55" s="94" t="s">
        <v>443</v>
      </c>
      <c r="C55" s="95" t="s">
        <v>265</v>
      </c>
    </row>
    <row r="56" ht="12.75">
      <c r="C56" s="88"/>
    </row>
    <row r="57" ht="12.75">
      <c r="C57" s="88"/>
    </row>
    <row r="58" ht="12.75">
      <c r="C58" s="88"/>
    </row>
    <row r="59" ht="12.75">
      <c r="C59" s="88"/>
    </row>
    <row r="60" ht="12.75">
      <c r="C60" s="88"/>
    </row>
    <row r="61" ht="12.75">
      <c r="C61" s="88"/>
    </row>
    <row r="62" ht="12.75">
      <c r="C62" s="88"/>
    </row>
    <row r="63" ht="12.75">
      <c r="C63" s="88"/>
    </row>
    <row r="64" ht="12.75">
      <c r="C64" s="88"/>
    </row>
    <row r="65" ht="12.75">
      <c r="C65" s="88"/>
    </row>
    <row r="66" ht="12.75">
      <c r="C66" s="88"/>
    </row>
    <row r="67" ht="12.75">
      <c r="C67" s="88"/>
    </row>
    <row r="68" ht="12.75">
      <c r="C68" s="88"/>
    </row>
    <row r="69" ht="12.75">
      <c r="C69" s="88"/>
    </row>
    <row r="70" ht="12.75">
      <c r="C70" s="88"/>
    </row>
    <row r="71" ht="12.75">
      <c r="C71" s="88"/>
    </row>
    <row r="72" ht="12.75">
      <c r="C72" s="88"/>
    </row>
    <row r="73" ht="12.75">
      <c r="C73" s="88"/>
    </row>
    <row r="74" ht="12.75">
      <c r="C74" s="88"/>
    </row>
    <row r="75" ht="12.75">
      <c r="C75" s="88"/>
    </row>
    <row r="76" ht="12.75">
      <c r="C76" s="88"/>
    </row>
    <row r="77" ht="12.75">
      <c r="C77" s="88"/>
    </row>
    <row r="78" ht="12.75">
      <c r="C78" s="88"/>
    </row>
    <row r="79" ht="12.75">
      <c r="C79" s="88"/>
    </row>
    <row r="80" ht="12.75">
      <c r="C80" s="88"/>
    </row>
    <row r="81" ht="12.75">
      <c r="C81" s="88"/>
    </row>
    <row r="82" ht="12.75">
      <c r="C82" s="88"/>
    </row>
    <row r="83" ht="12.75">
      <c r="C83" s="88"/>
    </row>
    <row r="84" ht="12.75">
      <c r="C84" s="88"/>
    </row>
    <row r="85" ht="12.75">
      <c r="C85" s="88"/>
    </row>
    <row r="86" ht="12.75">
      <c r="C86" s="88"/>
    </row>
    <row r="87" ht="12.75">
      <c r="C87" s="88"/>
    </row>
    <row r="88" ht="12.75">
      <c r="C88" s="88"/>
    </row>
    <row r="89" ht="12.75">
      <c r="C89" s="88"/>
    </row>
    <row r="90" ht="12.75">
      <c r="C90" s="88"/>
    </row>
    <row r="91" ht="12.75">
      <c r="C91" s="88"/>
    </row>
    <row r="92" ht="12.75">
      <c r="C92" s="88"/>
    </row>
    <row r="93" ht="12.75">
      <c r="C93" s="88"/>
    </row>
    <row r="94" ht="12.75">
      <c r="C94" s="88"/>
    </row>
    <row r="95" ht="12.75">
      <c r="C95" s="88"/>
    </row>
    <row r="96" ht="12.75">
      <c r="C96" s="88"/>
    </row>
    <row r="97" ht="12.75">
      <c r="C97" s="88"/>
    </row>
    <row r="98" ht="12.75">
      <c r="C98" s="88"/>
    </row>
    <row r="99" ht="12.75">
      <c r="C99" s="88"/>
    </row>
    <row r="100" ht="12.75">
      <c r="C100" s="88"/>
    </row>
    <row r="101" ht="12.75">
      <c r="C101" s="88"/>
    </row>
    <row r="102" ht="12.75">
      <c r="C102" s="88"/>
    </row>
    <row r="103" ht="12.75">
      <c r="C103" s="88"/>
    </row>
    <row r="104" ht="12.75">
      <c r="C104" s="88"/>
    </row>
    <row r="105" ht="12.75">
      <c r="C105" s="88"/>
    </row>
    <row r="106" ht="12.75">
      <c r="C106" s="88"/>
    </row>
    <row r="107" ht="12.75">
      <c r="C107" s="88"/>
    </row>
    <row r="108" ht="12.75">
      <c r="C108" s="88"/>
    </row>
    <row r="109" ht="12.75">
      <c r="C109" s="88"/>
    </row>
    <row r="110" ht="12.75">
      <c r="C110" s="88"/>
    </row>
    <row r="111" ht="12.75">
      <c r="C111" s="88"/>
    </row>
    <row r="112" ht="12.75">
      <c r="C112" s="88"/>
    </row>
    <row r="113" ht="12.75">
      <c r="C113" s="88"/>
    </row>
    <row r="114" ht="12.75">
      <c r="C114" s="88"/>
    </row>
    <row r="115" ht="12.75">
      <c r="C115" s="88"/>
    </row>
    <row r="116" ht="12.75">
      <c r="C116" s="88"/>
    </row>
    <row r="117" ht="12.75">
      <c r="C117" s="88"/>
    </row>
    <row r="118" ht="12.75">
      <c r="C118" s="88"/>
    </row>
    <row r="119" ht="12.75">
      <c r="C119" s="88"/>
    </row>
    <row r="120" ht="12.75">
      <c r="C120" s="88"/>
    </row>
    <row r="121" ht="12.75">
      <c r="C121" s="88"/>
    </row>
    <row r="122" ht="12.75">
      <c r="C122" s="88"/>
    </row>
    <row r="123" ht="12.75">
      <c r="C123" s="88"/>
    </row>
    <row r="124" ht="12.75">
      <c r="C124" s="88"/>
    </row>
    <row r="125" ht="12.75">
      <c r="C125" s="88"/>
    </row>
    <row r="126" ht="12.75">
      <c r="C126" s="88"/>
    </row>
    <row r="127" ht="12.75">
      <c r="C127" s="88"/>
    </row>
    <row r="128" ht="12.75">
      <c r="C128" s="88"/>
    </row>
    <row r="129" ht="12.75">
      <c r="C129" s="88"/>
    </row>
    <row r="130" ht="12.75">
      <c r="C130" s="88"/>
    </row>
    <row r="131" ht="12.75">
      <c r="C131" s="88"/>
    </row>
    <row r="132" ht="12.75">
      <c r="C132" s="88"/>
    </row>
    <row r="133" ht="12.75">
      <c r="C133" s="88"/>
    </row>
    <row r="134" ht="12.75">
      <c r="C134" s="88"/>
    </row>
    <row r="135" ht="12.75">
      <c r="C135" s="88"/>
    </row>
    <row r="136" ht="12.75">
      <c r="C136" s="88"/>
    </row>
    <row r="137" ht="12.75">
      <c r="C137" s="88"/>
    </row>
    <row r="138" ht="12.75">
      <c r="C138" s="88"/>
    </row>
    <row r="139" ht="12.75">
      <c r="C139" s="88"/>
    </row>
    <row r="140" ht="12.75">
      <c r="C140" s="88"/>
    </row>
    <row r="141" ht="12.75">
      <c r="C141" s="88"/>
    </row>
    <row r="142" ht="12.75">
      <c r="C142" s="88"/>
    </row>
    <row r="143" ht="12.75">
      <c r="C143" s="88"/>
    </row>
    <row r="144" ht="12.75">
      <c r="C144" s="88"/>
    </row>
    <row r="145" ht="12.75">
      <c r="C145" s="88"/>
    </row>
    <row r="146" ht="12.75">
      <c r="C146" s="88"/>
    </row>
    <row r="147" ht="12.75">
      <c r="C147" s="88"/>
    </row>
    <row r="148" ht="12.75">
      <c r="C148" s="88"/>
    </row>
    <row r="149" ht="12.75">
      <c r="C149" s="88"/>
    </row>
    <row r="150" ht="12.75">
      <c r="C150" s="88"/>
    </row>
    <row r="151" ht="12.75">
      <c r="C151" s="88"/>
    </row>
    <row r="152" ht="12.75">
      <c r="C152" s="88"/>
    </row>
    <row r="153" ht="12.75">
      <c r="C153" s="88"/>
    </row>
    <row r="154" ht="12.75">
      <c r="C154" s="88"/>
    </row>
    <row r="155" ht="12.75">
      <c r="C155" s="88"/>
    </row>
    <row r="156" ht="12.75">
      <c r="C156" s="88"/>
    </row>
    <row r="157" ht="12.75">
      <c r="C157" s="88"/>
    </row>
    <row r="158" ht="12.75">
      <c r="C158" s="88"/>
    </row>
    <row r="159" ht="12.75">
      <c r="C159" s="88"/>
    </row>
    <row r="160" ht="12.75">
      <c r="C160" s="88"/>
    </row>
    <row r="161" ht="12.75">
      <c r="C161" s="88"/>
    </row>
    <row r="162" ht="12.75">
      <c r="C162" s="88"/>
    </row>
    <row r="163" ht="12.75">
      <c r="C163" s="88"/>
    </row>
    <row r="164" ht="12.75">
      <c r="C164" s="88"/>
    </row>
    <row r="165" ht="12.75">
      <c r="C165" s="88"/>
    </row>
    <row r="166" ht="12.75">
      <c r="C166" s="88"/>
    </row>
    <row r="167" ht="12.75">
      <c r="C167" s="88"/>
    </row>
    <row r="168" ht="12.75">
      <c r="C168" s="88"/>
    </row>
    <row r="169" ht="12.75">
      <c r="C169" s="88"/>
    </row>
    <row r="170" ht="12.75">
      <c r="C170" s="88"/>
    </row>
    <row r="171" ht="12.75">
      <c r="C171" s="88"/>
    </row>
    <row r="172" ht="12.75">
      <c r="C172" s="88"/>
    </row>
    <row r="173" ht="12.75">
      <c r="C173" s="88"/>
    </row>
    <row r="174" ht="12.75">
      <c r="C174" s="88"/>
    </row>
    <row r="175" ht="12.75">
      <c r="C175" s="88"/>
    </row>
    <row r="176" ht="12.75">
      <c r="C176" s="88"/>
    </row>
    <row r="177" ht="12.75">
      <c r="C177" s="88"/>
    </row>
    <row r="178" ht="12.75">
      <c r="C178" s="88"/>
    </row>
    <row r="179" ht="12.75">
      <c r="C179" s="88"/>
    </row>
    <row r="180" ht="12.75">
      <c r="C180" s="88"/>
    </row>
    <row r="181" ht="12.75">
      <c r="C181" s="88"/>
    </row>
    <row r="182" ht="12.75">
      <c r="C182" s="88"/>
    </row>
    <row r="183" ht="12.75">
      <c r="C183" s="88"/>
    </row>
    <row r="184" ht="12.75">
      <c r="C184" s="88"/>
    </row>
    <row r="185" ht="12.75">
      <c r="C185" s="88"/>
    </row>
    <row r="186" ht="12.75">
      <c r="C186" s="88"/>
    </row>
    <row r="187" ht="12.75">
      <c r="C187" s="88"/>
    </row>
    <row r="188" ht="12.75">
      <c r="C188" s="88"/>
    </row>
    <row r="189" ht="12.75">
      <c r="C189" s="88"/>
    </row>
    <row r="190" ht="12.75">
      <c r="C190" s="88"/>
    </row>
    <row r="191" ht="12.75">
      <c r="C191" s="88"/>
    </row>
    <row r="192" ht="12.75">
      <c r="C192" s="88"/>
    </row>
    <row r="193" ht="12.75">
      <c r="C193" s="88"/>
    </row>
    <row r="194" ht="12.75">
      <c r="C194" s="88"/>
    </row>
    <row r="195" ht="12.75">
      <c r="C195" s="88"/>
    </row>
    <row r="196" ht="12.75">
      <c r="C196" s="88"/>
    </row>
    <row r="197" ht="12.75">
      <c r="C197" s="88"/>
    </row>
    <row r="198" ht="12.75">
      <c r="C198" s="88"/>
    </row>
    <row r="199" ht="12.75">
      <c r="C199" s="88"/>
    </row>
    <row r="200" ht="12.75">
      <c r="C200" s="88"/>
    </row>
    <row r="201" ht="12.75">
      <c r="C201" s="88"/>
    </row>
    <row r="202" ht="12.75">
      <c r="C202" s="88"/>
    </row>
    <row r="203" ht="12.75">
      <c r="C203" s="88"/>
    </row>
    <row r="204" ht="12.75">
      <c r="C204" s="88"/>
    </row>
    <row r="205" ht="12.75">
      <c r="C205" s="88"/>
    </row>
    <row r="206" ht="12.75">
      <c r="C206" s="88"/>
    </row>
    <row r="207" ht="12.75">
      <c r="C207" s="88"/>
    </row>
    <row r="208" ht="12.75">
      <c r="C208" s="88"/>
    </row>
    <row r="209" ht="12.75">
      <c r="C209" s="88"/>
    </row>
    <row r="210" ht="12.75">
      <c r="C210" s="88"/>
    </row>
    <row r="211" ht="12.75">
      <c r="C211" s="88"/>
    </row>
    <row r="212" ht="12.75">
      <c r="C212" s="88"/>
    </row>
    <row r="213" ht="12.75">
      <c r="C213" s="88"/>
    </row>
    <row r="214" ht="12.75">
      <c r="C214" s="88"/>
    </row>
    <row r="215" ht="12.75">
      <c r="C215" s="88"/>
    </row>
    <row r="216" ht="12.75">
      <c r="C216" s="88"/>
    </row>
    <row r="217" ht="12.75">
      <c r="C217" s="88"/>
    </row>
    <row r="218" ht="12.75">
      <c r="C218" s="88"/>
    </row>
    <row r="219" ht="12.75">
      <c r="C219" s="88"/>
    </row>
    <row r="220" ht="12.75">
      <c r="C220" s="88"/>
    </row>
    <row r="221" ht="12.75">
      <c r="C221" s="88"/>
    </row>
    <row r="222" ht="12.75">
      <c r="C222" s="88"/>
    </row>
    <row r="223" ht="12.75">
      <c r="C223" s="88"/>
    </row>
    <row r="224" ht="12.75">
      <c r="C224" s="88"/>
    </row>
    <row r="225" ht="12.75">
      <c r="C225" s="88"/>
    </row>
    <row r="226" ht="12.75">
      <c r="C226" s="88"/>
    </row>
    <row r="227" ht="12.75">
      <c r="C227" s="88"/>
    </row>
    <row r="228" ht="12.75">
      <c r="C228" s="88"/>
    </row>
    <row r="229" ht="12.75">
      <c r="C229" s="88"/>
    </row>
    <row r="230" ht="12.75">
      <c r="C230" s="88"/>
    </row>
    <row r="231" ht="12.75">
      <c r="C231" s="88"/>
    </row>
    <row r="232" ht="12.75">
      <c r="C232" s="88"/>
    </row>
    <row r="233" ht="12.75">
      <c r="C233" s="88"/>
    </row>
    <row r="234" ht="12.75">
      <c r="C234" s="88"/>
    </row>
    <row r="235" ht="12.75">
      <c r="C235" s="88"/>
    </row>
    <row r="236" ht="12.75">
      <c r="C236" s="88"/>
    </row>
    <row r="237" ht="12.75">
      <c r="C237" s="88"/>
    </row>
    <row r="238" ht="12.75">
      <c r="C238" s="88"/>
    </row>
    <row r="239" ht="12.75">
      <c r="C239" s="88"/>
    </row>
    <row r="240" ht="12.75">
      <c r="C240" s="88"/>
    </row>
    <row r="241" ht="12.75">
      <c r="C241" s="88"/>
    </row>
    <row r="242" ht="12.75">
      <c r="C242" s="88"/>
    </row>
    <row r="243" ht="12.75">
      <c r="C243" s="88"/>
    </row>
    <row r="244" ht="12.75">
      <c r="C244" s="88"/>
    </row>
    <row r="245" ht="12.75">
      <c r="C245" s="88"/>
    </row>
    <row r="246" ht="12.75">
      <c r="C246" s="88"/>
    </row>
    <row r="247" ht="12.75">
      <c r="C247" s="88"/>
    </row>
    <row r="248" ht="12.75">
      <c r="C248" s="88"/>
    </row>
    <row r="249" ht="12.75">
      <c r="C249" s="88"/>
    </row>
    <row r="250" ht="12.75">
      <c r="C250" s="88"/>
    </row>
    <row r="251" ht="12.75">
      <c r="C251" s="88"/>
    </row>
    <row r="252" ht="12.75">
      <c r="C252" s="88"/>
    </row>
    <row r="253" ht="12.75">
      <c r="C253" s="88"/>
    </row>
    <row r="254" ht="12.75">
      <c r="C254" s="88"/>
    </row>
    <row r="255" ht="12.75">
      <c r="C255" s="88"/>
    </row>
    <row r="256" ht="12.75">
      <c r="C256" s="88"/>
    </row>
    <row r="257" ht="12.75">
      <c r="C257" s="88"/>
    </row>
    <row r="258" ht="12.75">
      <c r="C258" s="88"/>
    </row>
    <row r="259" ht="12.75">
      <c r="C259" s="88"/>
    </row>
    <row r="260" ht="12.75">
      <c r="C260" s="88"/>
    </row>
    <row r="261" ht="12.75">
      <c r="C261" s="88"/>
    </row>
    <row r="262" ht="12.75">
      <c r="C262" s="88"/>
    </row>
    <row r="263" ht="12.75">
      <c r="C263" s="88"/>
    </row>
    <row r="264" ht="12.75">
      <c r="C264" s="88"/>
    </row>
    <row r="265" ht="12.75">
      <c r="C265" s="88"/>
    </row>
    <row r="266" ht="12.75">
      <c r="C266" s="88"/>
    </row>
    <row r="267" ht="12.75">
      <c r="C267" s="88"/>
    </row>
    <row r="268" ht="12.75">
      <c r="C268" s="88"/>
    </row>
    <row r="269" ht="12.75">
      <c r="C269" s="88"/>
    </row>
    <row r="270" ht="12.75">
      <c r="C270" s="88"/>
    </row>
    <row r="271" ht="12.75">
      <c r="C271" s="88"/>
    </row>
    <row r="272" ht="12.75">
      <c r="C272" s="88"/>
    </row>
    <row r="273" ht="12.75">
      <c r="C273" s="88"/>
    </row>
    <row r="274" ht="12.75">
      <c r="C274" s="88"/>
    </row>
    <row r="275" ht="12.75">
      <c r="C275" s="88"/>
    </row>
    <row r="276" ht="12.75">
      <c r="C276" s="88"/>
    </row>
    <row r="277" ht="12.75">
      <c r="C277" s="88"/>
    </row>
    <row r="278" ht="12.75">
      <c r="C278" s="88"/>
    </row>
    <row r="279" ht="12.75">
      <c r="C279" s="88"/>
    </row>
    <row r="280" ht="12.75">
      <c r="C280" s="88"/>
    </row>
    <row r="281" ht="12.75">
      <c r="C281" s="88"/>
    </row>
    <row r="282" ht="12.75">
      <c r="C282" s="88"/>
    </row>
    <row r="283" ht="12.75">
      <c r="C283" s="88"/>
    </row>
    <row r="284" ht="12.75">
      <c r="C284" s="88"/>
    </row>
    <row r="285" ht="12.75">
      <c r="C285" s="88"/>
    </row>
    <row r="286" ht="12.75">
      <c r="C286" s="88"/>
    </row>
    <row r="287" ht="12.75">
      <c r="C287" s="88"/>
    </row>
    <row r="288" ht="12.75">
      <c r="C288" s="88"/>
    </row>
    <row r="289" ht="12.75">
      <c r="C289" s="88"/>
    </row>
    <row r="290" ht="12.75">
      <c r="C290" s="88"/>
    </row>
    <row r="291" ht="12.75">
      <c r="C291" s="88"/>
    </row>
    <row r="292" ht="12.75">
      <c r="C292" s="88"/>
    </row>
    <row r="293" ht="12.75">
      <c r="C293" s="88"/>
    </row>
    <row r="294" ht="12.75">
      <c r="C294" s="88"/>
    </row>
    <row r="295" ht="12.75">
      <c r="C295" s="88"/>
    </row>
    <row r="296" ht="12.75">
      <c r="C296" s="88"/>
    </row>
    <row r="297" ht="12.75">
      <c r="C297" s="88"/>
    </row>
    <row r="298" ht="12.75">
      <c r="C298" s="88"/>
    </row>
    <row r="299" ht="12.75">
      <c r="C299" s="88"/>
    </row>
    <row r="300" ht="12.75">
      <c r="C300" s="88"/>
    </row>
    <row r="301" ht="12.75">
      <c r="C301" s="88"/>
    </row>
    <row r="302" ht="12.75">
      <c r="C302" s="88"/>
    </row>
    <row r="303" ht="12.75">
      <c r="C303" s="88"/>
    </row>
    <row r="304" ht="12.75">
      <c r="C304" s="88"/>
    </row>
    <row r="305" ht="12.75">
      <c r="C305" s="88"/>
    </row>
    <row r="306" ht="12.75">
      <c r="C306" s="88"/>
    </row>
    <row r="307" ht="12.75">
      <c r="C307" s="88"/>
    </row>
    <row r="308" ht="12.75">
      <c r="C308" s="88"/>
    </row>
    <row r="309" ht="12.75">
      <c r="C309" s="88"/>
    </row>
    <row r="310" ht="12.75">
      <c r="C310" s="88"/>
    </row>
    <row r="311" ht="12.75">
      <c r="C311" s="88"/>
    </row>
    <row r="312" ht="12.75">
      <c r="C312" s="88"/>
    </row>
    <row r="313" ht="12.75">
      <c r="C313" s="88"/>
    </row>
    <row r="314" ht="12.75">
      <c r="C314" s="88"/>
    </row>
    <row r="315" ht="12.75">
      <c r="C315" s="88"/>
    </row>
    <row r="316" ht="12.75">
      <c r="C316" s="88"/>
    </row>
    <row r="317" ht="12.75">
      <c r="C317" s="88"/>
    </row>
    <row r="318" ht="12.75">
      <c r="C318" s="88"/>
    </row>
    <row r="319" ht="12.75">
      <c r="C319" s="88"/>
    </row>
    <row r="320" ht="12.75">
      <c r="C320" s="88"/>
    </row>
    <row r="321" ht="12.75">
      <c r="C321" s="88"/>
    </row>
    <row r="322" ht="12.75">
      <c r="C322" s="88"/>
    </row>
    <row r="323" ht="12.75">
      <c r="C323" s="88"/>
    </row>
    <row r="324" ht="12.75">
      <c r="C324" s="88"/>
    </row>
    <row r="325" ht="12.75">
      <c r="C325" s="88"/>
    </row>
    <row r="326" ht="12.75">
      <c r="C326" s="88"/>
    </row>
    <row r="327" ht="12.75">
      <c r="C327" s="88"/>
    </row>
    <row r="328" ht="12.75">
      <c r="C328" s="88"/>
    </row>
    <row r="329" ht="12.75">
      <c r="C329" s="88"/>
    </row>
    <row r="330" ht="12.75">
      <c r="C330" s="88"/>
    </row>
    <row r="331" ht="12.75">
      <c r="C331" s="88"/>
    </row>
    <row r="332" ht="12.75">
      <c r="C332" s="88"/>
    </row>
    <row r="333" ht="12.75">
      <c r="C333" s="88"/>
    </row>
    <row r="334" ht="12.75">
      <c r="C334" s="88"/>
    </row>
    <row r="335" ht="12.75">
      <c r="C335" s="88"/>
    </row>
    <row r="336" ht="12.75">
      <c r="C336" s="88"/>
    </row>
    <row r="337" ht="12.75">
      <c r="C337" s="88"/>
    </row>
    <row r="338" ht="12.75">
      <c r="C338" s="88"/>
    </row>
    <row r="339" ht="12.75">
      <c r="C339" s="88"/>
    </row>
    <row r="340" ht="12.75">
      <c r="C340" s="88"/>
    </row>
    <row r="341" ht="12.75">
      <c r="C341" s="88"/>
    </row>
    <row r="342" ht="12.75">
      <c r="C342" s="88"/>
    </row>
    <row r="343" ht="12.75">
      <c r="C343" s="88"/>
    </row>
    <row r="344" ht="12.75">
      <c r="C344" s="88"/>
    </row>
    <row r="345" ht="12.75">
      <c r="C345" s="88"/>
    </row>
    <row r="346" ht="12.75">
      <c r="C346" s="88"/>
    </row>
    <row r="347" ht="12.75">
      <c r="C347" s="88"/>
    </row>
    <row r="348" ht="12.75">
      <c r="C348" s="88"/>
    </row>
    <row r="349" ht="12.75">
      <c r="C349" s="88"/>
    </row>
    <row r="350" ht="12.75">
      <c r="C350" s="88"/>
    </row>
    <row r="351" ht="12.75">
      <c r="C351" s="88"/>
    </row>
    <row r="352" ht="12.75">
      <c r="C352" s="88"/>
    </row>
    <row r="353" ht="12.75">
      <c r="C353" s="88"/>
    </row>
    <row r="354" ht="12.75">
      <c r="C354" s="88"/>
    </row>
    <row r="355" ht="12.75">
      <c r="C355" s="88"/>
    </row>
    <row r="356" ht="12.75">
      <c r="C356" s="88"/>
    </row>
    <row r="357" ht="12.75">
      <c r="C357" s="88"/>
    </row>
    <row r="358" ht="12.75">
      <c r="C358" s="88"/>
    </row>
    <row r="359" ht="12.75">
      <c r="C359" s="88"/>
    </row>
    <row r="360" ht="12.75">
      <c r="C360" s="88"/>
    </row>
    <row r="361" ht="12.75">
      <c r="C361" s="88"/>
    </row>
    <row r="362" ht="12.75">
      <c r="C362" s="88"/>
    </row>
    <row r="363" ht="12.75">
      <c r="C363" s="88"/>
    </row>
    <row r="364" ht="12.75">
      <c r="C364" s="88"/>
    </row>
    <row r="365" ht="12.75">
      <c r="C365" s="88"/>
    </row>
    <row r="366" ht="12.75">
      <c r="C366" s="88"/>
    </row>
    <row r="367" ht="12.75">
      <c r="C367" s="88"/>
    </row>
    <row r="368" ht="12.75">
      <c r="C368" s="88"/>
    </row>
    <row r="369" ht="12.75">
      <c r="C369" s="88"/>
    </row>
    <row r="370" ht="12.75">
      <c r="C370" s="88"/>
    </row>
    <row r="371" ht="12.75">
      <c r="C371" s="88"/>
    </row>
    <row r="372" ht="12.75">
      <c r="C372" s="88"/>
    </row>
    <row r="373" ht="12.75">
      <c r="C373" s="88"/>
    </row>
    <row r="374" ht="12.75">
      <c r="C374" s="88"/>
    </row>
    <row r="375" ht="12.75">
      <c r="C375" s="88"/>
    </row>
    <row r="376" ht="12.75">
      <c r="C376" s="88"/>
    </row>
    <row r="377" ht="12.75">
      <c r="C377" s="88"/>
    </row>
    <row r="378" ht="12.75">
      <c r="C378" s="88"/>
    </row>
    <row r="379" ht="12.75">
      <c r="C379" s="88"/>
    </row>
    <row r="380" ht="12.75">
      <c r="C380" s="88"/>
    </row>
    <row r="381" ht="12.75">
      <c r="C381" s="88"/>
    </row>
    <row r="382" ht="12.75">
      <c r="C382" s="88"/>
    </row>
    <row r="383" ht="12.75">
      <c r="C383" s="88"/>
    </row>
    <row r="384" ht="12.75">
      <c r="C384" s="88"/>
    </row>
    <row r="385" ht="12.75">
      <c r="C385" s="88"/>
    </row>
    <row r="386" ht="12.75">
      <c r="C386" s="88"/>
    </row>
    <row r="387" ht="12.75">
      <c r="C387" s="88"/>
    </row>
    <row r="388" ht="12.75">
      <c r="C388" s="88"/>
    </row>
    <row r="389" ht="12.75">
      <c r="C389" s="88"/>
    </row>
    <row r="390" ht="12.75">
      <c r="C390" s="88"/>
    </row>
    <row r="391" ht="12.75">
      <c r="C391" s="88"/>
    </row>
    <row r="392" ht="12.75">
      <c r="C392" s="88"/>
    </row>
    <row r="393" ht="12.75">
      <c r="C393" s="88"/>
    </row>
    <row r="394" ht="12.75">
      <c r="C394" s="88"/>
    </row>
    <row r="395" ht="12.75">
      <c r="C395" s="88"/>
    </row>
    <row r="396" ht="12.75">
      <c r="C396" s="88"/>
    </row>
    <row r="397" ht="12.75">
      <c r="C397" s="88"/>
    </row>
    <row r="398" ht="12.75">
      <c r="C398" s="88"/>
    </row>
    <row r="399" ht="12.75">
      <c r="C399" s="88"/>
    </row>
    <row r="400" ht="12.75">
      <c r="C400" s="88"/>
    </row>
    <row r="401" ht="12.75">
      <c r="C401" s="88"/>
    </row>
    <row r="402" ht="12.75">
      <c r="C402" s="88"/>
    </row>
    <row r="403" ht="12.75">
      <c r="C403" s="88"/>
    </row>
    <row r="404" ht="12.75">
      <c r="C404" s="88"/>
    </row>
    <row r="405" ht="12.75">
      <c r="C405" s="88"/>
    </row>
    <row r="406" ht="12.75">
      <c r="C406" s="88"/>
    </row>
    <row r="407" ht="12.75">
      <c r="C407" s="88"/>
    </row>
    <row r="408" ht="12.75">
      <c r="C408" s="88"/>
    </row>
    <row r="409" ht="12.75">
      <c r="C409" s="88"/>
    </row>
    <row r="410" ht="12.75">
      <c r="C410" s="88"/>
    </row>
    <row r="411" ht="12.75">
      <c r="C411" s="88"/>
    </row>
    <row r="412" ht="12.75">
      <c r="C412" s="88"/>
    </row>
    <row r="413" ht="12.75">
      <c r="C413" s="88"/>
    </row>
    <row r="414" ht="12.75">
      <c r="C414" s="88"/>
    </row>
    <row r="415" ht="12.75">
      <c r="C415" s="88"/>
    </row>
    <row r="416" ht="12.75">
      <c r="C416" s="88"/>
    </row>
    <row r="417" ht="12.75">
      <c r="C417" s="88"/>
    </row>
    <row r="418" ht="12.75">
      <c r="C418" s="88"/>
    </row>
    <row r="419" ht="12.75">
      <c r="C419" s="88"/>
    </row>
    <row r="420" ht="12.75">
      <c r="C420" s="88"/>
    </row>
    <row r="421" ht="12.75">
      <c r="C421" s="88"/>
    </row>
    <row r="422" ht="12.75">
      <c r="C422" s="88"/>
    </row>
    <row r="423" ht="12.75">
      <c r="C423" s="88"/>
    </row>
    <row r="424" ht="12.75">
      <c r="C424" s="88"/>
    </row>
    <row r="425" ht="12.75">
      <c r="C425" s="88"/>
    </row>
    <row r="426" ht="12.75">
      <c r="C426" s="88"/>
    </row>
    <row r="427" ht="12.75">
      <c r="C427" s="88"/>
    </row>
    <row r="428" ht="12.75">
      <c r="C428" s="88"/>
    </row>
    <row r="429" ht="12.75">
      <c r="C429" s="88"/>
    </row>
    <row r="430" ht="12.75">
      <c r="C430" s="88"/>
    </row>
    <row r="431" ht="12.75">
      <c r="C431" s="88"/>
    </row>
    <row r="432" ht="12.75">
      <c r="C432" s="88"/>
    </row>
    <row r="433" ht="12.75">
      <c r="C433" s="88"/>
    </row>
    <row r="434" ht="12.75">
      <c r="C434" s="88"/>
    </row>
    <row r="435" ht="12.75">
      <c r="C435" s="88"/>
    </row>
    <row r="436" ht="12.75">
      <c r="C436" s="88"/>
    </row>
    <row r="437" ht="12.75">
      <c r="C437" s="88"/>
    </row>
    <row r="438" ht="12.75">
      <c r="C438" s="88"/>
    </row>
    <row r="439" ht="12.75">
      <c r="C439" s="88"/>
    </row>
    <row r="440" ht="12.75">
      <c r="C440" s="88"/>
    </row>
    <row r="441" ht="12.75">
      <c r="C441" s="88"/>
    </row>
    <row r="442" ht="12.75">
      <c r="C442" s="88"/>
    </row>
    <row r="443" ht="12.75">
      <c r="C443" s="88"/>
    </row>
    <row r="444" ht="12.75">
      <c r="C444" s="88"/>
    </row>
    <row r="445" ht="12.75">
      <c r="C445" s="88"/>
    </row>
    <row r="446" ht="12.75">
      <c r="C446" s="88"/>
    </row>
    <row r="447" ht="12.75">
      <c r="C447" s="88"/>
    </row>
    <row r="448" ht="12.75">
      <c r="C448" s="88"/>
    </row>
    <row r="449" ht="12.75">
      <c r="C449" s="88"/>
    </row>
    <row r="450" ht="12.75">
      <c r="C450" s="88"/>
    </row>
    <row r="451" ht="12.75">
      <c r="C451" s="88"/>
    </row>
    <row r="452" ht="12.75">
      <c r="C452" s="88"/>
    </row>
    <row r="453" ht="12.75">
      <c r="C453" s="88"/>
    </row>
    <row r="454" ht="12.75">
      <c r="C454" s="88"/>
    </row>
    <row r="455" ht="12.75">
      <c r="C455" s="88"/>
    </row>
    <row r="456" ht="12.75">
      <c r="C456" s="88"/>
    </row>
    <row r="457" ht="12.75">
      <c r="C457" s="88"/>
    </row>
    <row r="458" ht="12.75">
      <c r="C458" s="88"/>
    </row>
    <row r="459" ht="12.75">
      <c r="C459" s="88"/>
    </row>
    <row r="460" ht="12.75">
      <c r="C460" s="88"/>
    </row>
    <row r="461" ht="12.75">
      <c r="C461" s="88"/>
    </row>
    <row r="462" ht="12.75">
      <c r="C462" s="88"/>
    </row>
    <row r="463" ht="12.75">
      <c r="C463" s="88"/>
    </row>
    <row r="464" ht="12.75">
      <c r="C464" s="88"/>
    </row>
    <row r="465" ht="12.75">
      <c r="C465" s="88"/>
    </row>
    <row r="466" ht="12.75">
      <c r="C466" s="88"/>
    </row>
    <row r="467" ht="12.75">
      <c r="C467" s="88"/>
    </row>
    <row r="468" ht="12.75">
      <c r="C468" s="88"/>
    </row>
    <row r="469" ht="12.75">
      <c r="C469" s="88"/>
    </row>
    <row r="470" ht="12.75">
      <c r="C470" s="88"/>
    </row>
    <row r="471" ht="12.75">
      <c r="C471" s="88"/>
    </row>
    <row r="472" ht="12.75">
      <c r="C472" s="88"/>
    </row>
    <row r="473" ht="12.75">
      <c r="C473" s="88"/>
    </row>
    <row r="474" ht="12.75">
      <c r="C474" s="88"/>
    </row>
    <row r="475" ht="12.75">
      <c r="C475" s="88"/>
    </row>
    <row r="476" ht="12.75">
      <c r="C476" s="88"/>
    </row>
    <row r="477" ht="12.75">
      <c r="C477" s="88"/>
    </row>
  </sheetData>
  <mergeCells count="1">
    <mergeCell ref="A2:C2"/>
  </mergeCells>
  <printOptions/>
  <pageMargins left="0.75" right="0.27" top="0.25" bottom="0.36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2.421875" style="3" customWidth="1"/>
    <col min="2" max="4" width="12.421875" style="3" customWidth="1"/>
    <col min="5" max="16384" width="6.7109375" style="3" customWidth="1"/>
  </cols>
  <sheetData>
    <row r="1" spans="1:4" s="71" customFormat="1" ht="15.75">
      <c r="A1" s="96" t="s">
        <v>444</v>
      </c>
      <c r="B1" s="96"/>
      <c r="C1" s="96"/>
      <c r="D1" s="96"/>
    </row>
    <row r="2" spans="1:4" ht="12.75">
      <c r="A2" s="97"/>
      <c r="B2" s="97"/>
      <c r="C2" s="97"/>
      <c r="D2" s="97"/>
    </row>
    <row r="3" ht="12.75">
      <c r="D3" s="98" t="s">
        <v>199</v>
      </c>
    </row>
    <row r="4" spans="1:4" s="101" customFormat="1" ht="57" customHeight="1">
      <c r="A4" s="99" t="s">
        <v>162</v>
      </c>
      <c r="B4" s="100" t="s">
        <v>445</v>
      </c>
      <c r="C4" s="100" t="s">
        <v>446</v>
      </c>
      <c r="D4" s="100" t="s">
        <v>447</v>
      </c>
    </row>
    <row r="5" spans="1:4" ht="15.75" customHeight="1">
      <c r="A5" s="102" t="s">
        <v>448</v>
      </c>
      <c r="B5" s="103">
        <f>SUM(B6+B15)</f>
        <v>141047623</v>
      </c>
      <c r="C5" s="103">
        <f>SUM(C6+C15)</f>
        <v>151715833</v>
      </c>
      <c r="D5" s="103">
        <f>SUM(D6+D15)</f>
        <v>222896853</v>
      </c>
    </row>
    <row r="6" spans="1:4" ht="15.75" customHeight="1">
      <c r="A6" s="104" t="s">
        <v>449</v>
      </c>
      <c r="B6" s="89">
        <f>SUM(B7+B11+B13)</f>
        <v>141047623</v>
      </c>
      <c r="C6" s="89">
        <f>SUM(C7+C11+C13)</f>
        <v>147119798</v>
      </c>
      <c r="D6" s="89">
        <f>SUM(D7+D11+D13)</f>
        <v>222896853</v>
      </c>
    </row>
    <row r="7" spans="1:4" ht="15.75" customHeight="1">
      <c r="A7" s="105" t="s">
        <v>450</v>
      </c>
      <c r="B7" s="89">
        <f>SUM(B8:B10)</f>
        <v>55554637</v>
      </c>
      <c r="C7" s="89">
        <f>SUM(C8:C10)</f>
        <v>73656794</v>
      </c>
      <c r="D7" s="89">
        <f>SUM(D8:D10)</f>
        <v>63090438</v>
      </c>
    </row>
    <row r="8" spans="1:4" ht="15.75" customHeight="1">
      <c r="A8" s="105" t="s">
        <v>451</v>
      </c>
      <c r="B8" s="58">
        <v>55554637</v>
      </c>
      <c r="C8" s="58">
        <v>73656794</v>
      </c>
      <c r="D8" s="58">
        <v>63090438</v>
      </c>
    </row>
    <row r="9" spans="1:4" ht="15.75" customHeight="1">
      <c r="A9" s="105" t="s">
        <v>452</v>
      </c>
      <c r="B9" s="58"/>
      <c r="C9" s="58"/>
      <c r="D9" s="58"/>
    </row>
    <row r="10" spans="1:4" ht="15.75" customHeight="1">
      <c r="A10" s="105" t="s">
        <v>453</v>
      </c>
      <c r="B10" s="58"/>
      <c r="C10" s="58"/>
      <c r="D10" s="58"/>
    </row>
    <row r="11" spans="1:4" ht="15.75" customHeight="1">
      <c r="A11" s="104" t="s">
        <v>454</v>
      </c>
      <c r="B11" s="89">
        <f>SUM(B12:B12)</f>
        <v>67351392</v>
      </c>
      <c r="C11" s="89">
        <f>SUM(C12:C12)</f>
        <v>67321410</v>
      </c>
      <c r="D11" s="89">
        <f>SUM(D12:D12)</f>
        <v>159806415</v>
      </c>
    </row>
    <row r="12" spans="1:4" ht="15.75" customHeight="1">
      <c r="A12" s="105" t="s">
        <v>455</v>
      </c>
      <c r="B12" s="58">
        <v>67351392</v>
      </c>
      <c r="C12" s="58">
        <v>67321410</v>
      </c>
      <c r="D12" s="58">
        <v>159806415</v>
      </c>
    </row>
    <row r="13" spans="1:4" ht="15.75" customHeight="1">
      <c r="A13" s="104" t="s">
        <v>456</v>
      </c>
      <c r="B13" s="89">
        <f>SUM(B14)</f>
        <v>18141594</v>
      </c>
      <c r="C13" s="89">
        <f>SUM(C14)</f>
        <v>6141594</v>
      </c>
      <c r="D13" s="89"/>
    </row>
    <row r="14" spans="1:4" ht="15.75" customHeight="1">
      <c r="A14" s="105" t="s">
        <v>457</v>
      </c>
      <c r="B14" s="58">
        <v>18141594</v>
      </c>
      <c r="C14" s="58">
        <v>6141594</v>
      </c>
      <c r="D14" s="58"/>
    </row>
    <row r="15" spans="1:4" ht="15.75" customHeight="1">
      <c r="A15" s="104" t="s">
        <v>458</v>
      </c>
      <c r="B15" s="89"/>
      <c r="C15" s="89">
        <f>SUM(C16:C17)</f>
        <v>4596035</v>
      </c>
      <c r="D15" s="89"/>
    </row>
    <row r="16" spans="1:4" ht="15.75" customHeight="1">
      <c r="A16" s="105" t="s">
        <v>459</v>
      </c>
      <c r="B16" s="89"/>
      <c r="C16" s="89"/>
      <c r="D16" s="89"/>
    </row>
    <row r="17" spans="1:4" ht="15.75" customHeight="1">
      <c r="A17" s="105" t="s">
        <v>460</v>
      </c>
      <c r="B17" s="89"/>
      <c r="C17" s="89">
        <v>4596035</v>
      </c>
      <c r="D17" s="89"/>
    </row>
    <row r="18" spans="1:4" ht="15.75" customHeight="1">
      <c r="A18" s="102" t="s">
        <v>461</v>
      </c>
      <c r="B18" s="103">
        <f>B20</f>
        <v>231559671</v>
      </c>
      <c r="C18" s="103">
        <f>C20</f>
        <v>358985024</v>
      </c>
      <c r="D18" s="103">
        <f>D20</f>
        <v>347990853</v>
      </c>
    </row>
    <row r="19" spans="1:4" ht="15.75" customHeight="1">
      <c r="A19" s="104" t="s">
        <v>462</v>
      </c>
      <c r="B19" s="89"/>
      <c r="C19" s="89"/>
      <c r="D19" s="89"/>
    </row>
    <row r="20" spans="1:4" ht="15.75" customHeight="1">
      <c r="A20" s="105" t="s">
        <v>463</v>
      </c>
      <c r="B20" s="89">
        <f>B22</f>
        <v>231559671</v>
      </c>
      <c r="C20" s="89">
        <f>C22</f>
        <v>358985024</v>
      </c>
      <c r="D20" s="89">
        <f>D22</f>
        <v>347990853</v>
      </c>
    </row>
    <row r="21" spans="1:4" ht="15.75" customHeight="1">
      <c r="A21" s="105" t="s">
        <v>464</v>
      </c>
      <c r="B21" s="89"/>
      <c r="C21" s="89"/>
      <c r="D21" s="89"/>
    </row>
    <row r="22" spans="1:4" ht="15.75" customHeight="1">
      <c r="A22" s="105" t="s">
        <v>465</v>
      </c>
      <c r="B22" s="89">
        <v>231559671</v>
      </c>
      <c r="C22" s="89">
        <v>358985024</v>
      </c>
      <c r="D22" s="89">
        <f>SUM(D23:D24)</f>
        <v>347990853</v>
      </c>
    </row>
    <row r="23" spans="1:4" ht="12.75">
      <c r="A23" s="106" t="s">
        <v>466</v>
      </c>
      <c r="B23" s="58">
        <v>231559671</v>
      </c>
      <c r="C23" s="58">
        <v>228851699</v>
      </c>
      <c r="D23" s="58">
        <v>221727975</v>
      </c>
    </row>
    <row r="24" spans="1:4" s="105" customFormat="1" ht="12.75">
      <c r="A24" s="106" t="s">
        <v>467</v>
      </c>
      <c r="B24" s="58"/>
      <c r="C24" s="58">
        <v>130133325</v>
      </c>
      <c r="D24" s="58">
        <v>126262878</v>
      </c>
    </row>
    <row r="25" spans="1:4" ht="15">
      <c r="A25" s="107" t="s">
        <v>468</v>
      </c>
      <c r="B25" s="108">
        <f>SUM(B18+B5)</f>
        <v>372607294</v>
      </c>
      <c r="C25" s="108">
        <f>SUM(C18+C5)</f>
        <v>510700857</v>
      </c>
      <c r="D25" s="108">
        <f>SUM(D18+D5)</f>
        <v>570887706</v>
      </c>
    </row>
    <row r="26" spans="1:4" ht="12.75">
      <c r="A26" s="109"/>
      <c r="B26" s="105"/>
      <c r="C26" s="105"/>
      <c r="D26" s="105"/>
    </row>
    <row r="27" s="57" customFormat="1" ht="11.25">
      <c r="A27" s="57" t="s">
        <v>469</v>
      </c>
    </row>
    <row r="28" spans="1:4" s="7" customFormat="1" ht="22.5">
      <c r="A28" s="22" t="s">
        <v>470</v>
      </c>
      <c r="B28" s="23">
        <v>126950000</v>
      </c>
      <c r="C28" s="23">
        <v>147480000</v>
      </c>
      <c r="D28" s="23">
        <v>225854600</v>
      </c>
    </row>
    <row r="29" spans="1:4" s="57" customFormat="1" ht="11.25">
      <c r="A29" s="57" t="s">
        <v>471</v>
      </c>
      <c r="B29" s="23"/>
      <c r="C29" s="23">
        <v>132191100</v>
      </c>
      <c r="D29" s="23">
        <v>128259450</v>
      </c>
    </row>
    <row r="30" s="105" customFormat="1" ht="12.75">
      <c r="A30" s="57" t="s">
        <v>472</v>
      </c>
    </row>
    <row r="31" spans="1:4" ht="12.75">
      <c r="A31" s="105"/>
      <c r="B31" s="105"/>
      <c r="C31" s="105"/>
      <c r="D31" s="105"/>
    </row>
    <row r="36" ht="12.75">
      <c r="D36" s="98"/>
    </row>
    <row r="37" spans="1:4" ht="12.75">
      <c r="A37" s="105"/>
      <c r="B37" s="105"/>
      <c r="D37" s="105"/>
    </row>
    <row r="38" spans="1:4" ht="12.75">
      <c r="A38" s="3" t="s">
        <v>264</v>
      </c>
      <c r="D38" s="110" t="s">
        <v>473</v>
      </c>
    </row>
  </sheetData>
  <printOptions/>
  <pageMargins left="0.98" right="0.27" top="1.2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7" sqref="A7"/>
    </sheetView>
  </sheetViews>
  <sheetFormatPr defaultColWidth="9.140625" defaultRowHeight="12.75"/>
  <cols>
    <col min="1" max="1" width="36.00390625" style="71" customWidth="1"/>
    <col min="2" max="2" width="10.8515625" style="71" customWidth="1"/>
    <col min="3" max="3" width="9.8515625" style="71" customWidth="1"/>
    <col min="4" max="4" width="10.8515625" style="71" customWidth="1"/>
    <col min="5" max="5" width="9.57421875" style="71" customWidth="1"/>
    <col min="6" max="6" width="9.421875" style="71" customWidth="1"/>
    <col min="7" max="8" width="9.00390625" style="71" customWidth="1"/>
    <col min="9" max="9" width="8.421875" style="71" customWidth="1"/>
    <col min="10" max="10" width="10.57421875" style="71" customWidth="1"/>
    <col min="11" max="11" width="10.28125" style="71" customWidth="1"/>
    <col min="12" max="16384" width="6.7109375" style="71" customWidth="1"/>
  </cols>
  <sheetData>
    <row r="1" ht="15">
      <c r="K1" s="111" t="s">
        <v>474</v>
      </c>
    </row>
    <row r="2" spans="1:11" s="114" customFormat="1" ht="18">
      <c r="A2" s="112" t="s">
        <v>475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2:10" s="3" customFormat="1" ht="12.75">
      <c r="B3" s="115"/>
      <c r="C3" s="115"/>
      <c r="J3" s="116"/>
    </row>
    <row r="4" spans="1:11" s="4" customFormat="1" ht="12">
      <c r="A4" s="117"/>
      <c r="B4" s="118" t="s">
        <v>476</v>
      </c>
      <c r="C4" s="119"/>
      <c r="D4" s="120" t="s">
        <v>477</v>
      </c>
      <c r="E4" s="121"/>
      <c r="F4" s="122" t="s">
        <v>477</v>
      </c>
      <c r="G4" s="123" t="s">
        <v>478</v>
      </c>
      <c r="H4" s="124"/>
      <c r="I4" s="124"/>
      <c r="J4" s="125"/>
      <c r="K4" s="126" t="s">
        <v>476</v>
      </c>
    </row>
    <row r="5" spans="1:11" s="4" customFormat="1" ht="12">
      <c r="A5" s="127" t="s">
        <v>479</v>
      </c>
      <c r="B5" s="128" t="s">
        <v>480</v>
      </c>
      <c r="C5" s="129"/>
      <c r="D5" s="128" t="s">
        <v>481</v>
      </c>
      <c r="E5" s="129"/>
      <c r="F5" s="130" t="s">
        <v>482</v>
      </c>
      <c r="G5" s="126" t="s">
        <v>476</v>
      </c>
      <c r="H5" s="126" t="s">
        <v>476</v>
      </c>
      <c r="I5" s="126" t="s">
        <v>483</v>
      </c>
      <c r="J5" s="126" t="s">
        <v>476</v>
      </c>
      <c r="K5" s="127" t="s">
        <v>484</v>
      </c>
    </row>
    <row r="6" spans="1:11" s="4" customFormat="1" ht="12.75">
      <c r="A6" s="127" t="s">
        <v>485</v>
      </c>
      <c r="B6" s="131"/>
      <c r="C6" s="132"/>
      <c r="D6" s="133" t="s">
        <v>486</v>
      </c>
      <c r="E6" s="129"/>
      <c r="F6" s="130" t="s">
        <v>487</v>
      </c>
      <c r="G6" s="127" t="s">
        <v>488</v>
      </c>
      <c r="H6" s="127" t="s">
        <v>489</v>
      </c>
      <c r="I6" s="127" t="s">
        <v>490</v>
      </c>
      <c r="J6" s="127" t="s">
        <v>491</v>
      </c>
      <c r="K6" s="127" t="s">
        <v>492</v>
      </c>
    </row>
    <row r="7" spans="1:11" s="4" customFormat="1" ht="12.75">
      <c r="A7" s="134"/>
      <c r="B7" s="127" t="s">
        <v>493</v>
      </c>
      <c r="C7" s="135"/>
      <c r="D7" s="127" t="s">
        <v>493</v>
      </c>
      <c r="E7" s="136" t="s">
        <v>494</v>
      </c>
      <c r="F7" s="130" t="s">
        <v>495</v>
      </c>
      <c r="G7" s="127" t="s">
        <v>496</v>
      </c>
      <c r="H7" s="127" t="s">
        <v>496</v>
      </c>
      <c r="I7" s="127" t="s">
        <v>497</v>
      </c>
      <c r="J7" s="127" t="s">
        <v>498</v>
      </c>
      <c r="K7" s="127" t="s">
        <v>499</v>
      </c>
    </row>
    <row r="8" spans="1:11" s="4" customFormat="1" ht="12">
      <c r="A8" s="134"/>
      <c r="B8" s="137" t="s">
        <v>500</v>
      </c>
      <c r="C8" s="137" t="s">
        <v>501</v>
      </c>
      <c r="D8" s="137" t="s">
        <v>500</v>
      </c>
      <c r="E8" s="137" t="s">
        <v>501</v>
      </c>
      <c r="F8" s="138" t="s">
        <v>501</v>
      </c>
      <c r="G8" s="127" t="s">
        <v>501</v>
      </c>
      <c r="H8" s="127" t="s">
        <v>501</v>
      </c>
      <c r="I8" s="127" t="s">
        <v>501</v>
      </c>
      <c r="J8" s="127" t="s">
        <v>501</v>
      </c>
      <c r="K8" s="137" t="s">
        <v>501</v>
      </c>
    </row>
    <row r="9" spans="1:11" s="3" customFormat="1" ht="12.75">
      <c r="A9" s="139">
        <v>1</v>
      </c>
      <c r="B9" s="139">
        <v>2</v>
      </c>
      <c r="C9" s="139">
        <v>3</v>
      </c>
      <c r="D9" s="139">
        <v>4</v>
      </c>
      <c r="E9" s="139">
        <v>5</v>
      </c>
      <c r="F9" s="123">
        <v>6</v>
      </c>
      <c r="G9" s="139">
        <v>7</v>
      </c>
      <c r="H9" s="139">
        <v>8</v>
      </c>
      <c r="I9" s="139">
        <v>9</v>
      </c>
      <c r="J9" s="139">
        <v>10</v>
      </c>
      <c r="K9" s="139">
        <v>11</v>
      </c>
    </row>
    <row r="10" spans="1:11" s="57" customFormat="1" ht="11.25">
      <c r="A10" s="140" t="s">
        <v>502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57" customFormat="1" ht="11.25">
      <c r="A11" s="141" t="s">
        <v>503</v>
      </c>
      <c r="B11" s="142">
        <f>2254621+1676693+2028553</f>
        <v>5959867</v>
      </c>
      <c r="C11" s="142">
        <v>2228990</v>
      </c>
      <c r="D11" s="142">
        <v>1418423</v>
      </c>
      <c r="E11" s="142">
        <f>F11+G11-H11+I11</f>
        <v>530490</v>
      </c>
      <c r="F11" s="142">
        <v>899525</v>
      </c>
      <c r="G11" s="142"/>
      <c r="H11" s="142">
        <v>373744</v>
      </c>
      <c r="I11" s="142">
        <v>4709</v>
      </c>
      <c r="J11" s="142">
        <v>29636</v>
      </c>
      <c r="K11" s="142"/>
    </row>
    <row r="12" spans="1:11" s="57" customFormat="1" ht="11.25">
      <c r="A12" s="143" t="s">
        <v>504</v>
      </c>
      <c r="B12" s="144">
        <f aca="true" t="shared" si="0" ref="B12:J12">SUM(B11)</f>
        <v>5959867</v>
      </c>
      <c r="C12" s="144">
        <f t="shared" si="0"/>
        <v>2228990</v>
      </c>
      <c r="D12" s="144">
        <f t="shared" si="0"/>
        <v>1418423</v>
      </c>
      <c r="E12" s="144">
        <f t="shared" si="0"/>
        <v>530490</v>
      </c>
      <c r="F12" s="144">
        <f>SUM(F11)</f>
        <v>899525</v>
      </c>
      <c r="G12" s="144"/>
      <c r="H12" s="144">
        <f t="shared" si="0"/>
        <v>373744</v>
      </c>
      <c r="I12" s="144">
        <f t="shared" si="0"/>
        <v>4709</v>
      </c>
      <c r="J12" s="144">
        <f t="shared" si="0"/>
        <v>29636</v>
      </c>
      <c r="K12" s="144"/>
    </row>
    <row r="13" spans="1:11" s="57" customFormat="1" ht="11.25">
      <c r="A13" s="140" t="s">
        <v>505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57" customFormat="1" ht="11.25">
      <c r="A14" s="141" t="s">
        <v>506</v>
      </c>
      <c r="B14" s="142">
        <v>17354867</v>
      </c>
      <c r="C14" s="142">
        <v>1324176</v>
      </c>
      <c r="D14" s="142">
        <v>11229620</v>
      </c>
      <c r="E14" s="142">
        <f>F14+G14-H14+I14</f>
        <v>856820</v>
      </c>
      <c r="F14" s="142">
        <v>1048438</v>
      </c>
      <c r="G14" s="142"/>
      <c r="H14" s="142">
        <v>152519</v>
      </c>
      <c r="I14" s="142">
        <v>-39099</v>
      </c>
      <c r="J14" s="142"/>
      <c r="K14" s="142"/>
    </row>
    <row r="15" spans="1:11" s="57" customFormat="1" ht="11.25">
      <c r="A15" s="141" t="s">
        <v>507</v>
      </c>
      <c r="B15" s="142">
        <v>370211</v>
      </c>
      <c r="C15" s="142">
        <v>28247</v>
      </c>
      <c r="D15" s="142">
        <v>217771</v>
      </c>
      <c r="E15" s="142">
        <f>F15+G15-H15+I15</f>
        <v>16616</v>
      </c>
      <c r="F15" s="142">
        <v>20645</v>
      </c>
      <c r="G15" s="142"/>
      <c r="H15" s="142">
        <v>3286</v>
      </c>
      <c r="I15" s="142">
        <v>-743</v>
      </c>
      <c r="J15" s="142"/>
      <c r="K15" s="142"/>
    </row>
    <row r="16" spans="1:11" s="57" customFormat="1" ht="11.25">
      <c r="A16" s="143" t="s">
        <v>508</v>
      </c>
      <c r="B16" s="144">
        <f aca="true" t="shared" si="1" ref="B16:I16">SUM(B14:B15)</f>
        <v>17725078</v>
      </c>
      <c r="C16" s="144">
        <f t="shared" si="1"/>
        <v>1352423</v>
      </c>
      <c r="D16" s="144">
        <f t="shared" si="1"/>
        <v>11447391</v>
      </c>
      <c r="E16" s="144">
        <f t="shared" si="1"/>
        <v>873436</v>
      </c>
      <c r="F16" s="144">
        <f>SUM(F14:F15)</f>
        <v>1069083</v>
      </c>
      <c r="G16" s="144"/>
      <c r="H16" s="144">
        <f t="shared" si="1"/>
        <v>155805</v>
      </c>
      <c r="I16" s="144">
        <f t="shared" si="1"/>
        <v>-39842</v>
      </c>
      <c r="J16" s="144"/>
      <c r="K16" s="144"/>
    </row>
    <row r="17" spans="1:11" s="57" customFormat="1" ht="11.25">
      <c r="A17" s="140" t="s">
        <v>509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s="57" customFormat="1" ht="11.25">
      <c r="A18" s="145" t="s">
        <v>510</v>
      </c>
      <c r="B18" s="142">
        <v>2615706</v>
      </c>
      <c r="C18" s="142">
        <v>1491062</v>
      </c>
      <c r="D18" s="142">
        <v>1609898</v>
      </c>
      <c r="E18" s="142">
        <f aca="true" t="shared" si="2" ref="E18:E30">F18+G18-H18+I18</f>
        <v>917709</v>
      </c>
      <c r="F18" s="142">
        <v>1241305</v>
      </c>
      <c r="G18" s="142"/>
      <c r="H18" s="142">
        <v>295835</v>
      </c>
      <c r="I18" s="142">
        <v>-27761</v>
      </c>
      <c r="J18" s="142">
        <v>54190</v>
      </c>
      <c r="K18" s="142"/>
    </row>
    <row r="19" spans="1:11" s="57" customFormat="1" ht="11.25">
      <c r="A19" s="146" t="s">
        <v>511</v>
      </c>
      <c r="B19" s="142">
        <v>40000000</v>
      </c>
      <c r="C19" s="142">
        <v>22801680</v>
      </c>
      <c r="D19" s="142"/>
      <c r="E19" s="142"/>
      <c r="F19" s="142">
        <v>23500640</v>
      </c>
      <c r="G19" s="142"/>
      <c r="H19" s="142">
        <v>23029356</v>
      </c>
      <c r="I19" s="142">
        <v>-471284</v>
      </c>
      <c r="J19" s="142">
        <v>369825</v>
      </c>
      <c r="K19" s="142"/>
    </row>
    <row r="20" spans="1:11" s="57" customFormat="1" ht="11.25">
      <c r="A20" s="146" t="s">
        <v>512</v>
      </c>
      <c r="B20" s="142">
        <v>4345981</v>
      </c>
      <c r="C20" s="142">
        <v>2477392</v>
      </c>
      <c r="D20" s="142">
        <v>3982964</v>
      </c>
      <c r="E20" s="142">
        <f t="shared" si="2"/>
        <v>2270457</v>
      </c>
      <c r="F20" s="142">
        <v>2553333</v>
      </c>
      <c r="G20" s="142"/>
      <c r="H20" s="142">
        <v>211365</v>
      </c>
      <c r="I20" s="142">
        <v>-71511</v>
      </c>
      <c r="J20" s="142">
        <v>83197</v>
      </c>
      <c r="K20" s="142"/>
    </row>
    <row r="21" spans="1:11" s="57" customFormat="1" ht="11.25">
      <c r="A21" s="146" t="s">
        <v>513</v>
      </c>
      <c r="B21" s="142">
        <v>9510029</v>
      </c>
      <c r="C21" s="142">
        <v>5421116</v>
      </c>
      <c r="D21" s="147">
        <v>5573812</v>
      </c>
      <c r="E21" s="142">
        <f t="shared" si="2"/>
        <v>3177307</v>
      </c>
      <c r="F21" s="142">
        <v>1981567</v>
      </c>
      <c r="G21" s="142">
        <v>1237920</v>
      </c>
      <c r="H21" s="142"/>
      <c r="I21" s="142">
        <v>-42180</v>
      </c>
      <c r="J21" s="142">
        <v>99801</v>
      </c>
      <c r="K21" s="142">
        <v>2243809</v>
      </c>
    </row>
    <row r="22" spans="1:11" s="57" customFormat="1" ht="11.25">
      <c r="A22" s="141" t="s">
        <v>514</v>
      </c>
      <c r="B22" s="142">
        <v>369013</v>
      </c>
      <c r="C22" s="142">
        <v>210353</v>
      </c>
      <c r="D22" s="142">
        <v>73803</v>
      </c>
      <c r="E22" s="142">
        <f>F22+G22-H22+I22</f>
        <v>42071</v>
      </c>
      <c r="F22" s="142">
        <v>130081</v>
      </c>
      <c r="G22" s="142"/>
      <c r="H22" s="142">
        <v>80493</v>
      </c>
      <c r="I22" s="142">
        <v>-7517</v>
      </c>
      <c r="J22" s="142">
        <v>5167</v>
      </c>
      <c r="K22" s="142"/>
    </row>
    <row r="23" spans="1:11" s="57" customFormat="1" ht="11.25">
      <c r="A23" s="141" t="s">
        <v>515</v>
      </c>
      <c r="B23" s="142">
        <v>1439403</v>
      </c>
      <c r="C23" s="142">
        <v>820520</v>
      </c>
      <c r="D23" s="142"/>
      <c r="E23" s="142"/>
      <c r="F23" s="142">
        <v>342552</v>
      </c>
      <c r="G23" s="142"/>
      <c r="H23" s="142">
        <v>325127</v>
      </c>
      <c r="I23" s="142">
        <v>-17425</v>
      </c>
      <c r="J23" s="142">
        <v>105599</v>
      </c>
      <c r="K23" s="142"/>
    </row>
    <row r="24" spans="1:11" s="57" customFormat="1" ht="11.25">
      <c r="A24" s="146" t="s">
        <v>516</v>
      </c>
      <c r="B24" s="142">
        <v>46323044</v>
      </c>
      <c r="C24" s="142">
        <v>26406081</v>
      </c>
      <c r="D24" s="142">
        <v>46323044</v>
      </c>
      <c r="E24" s="142">
        <f t="shared" si="2"/>
        <v>26406081</v>
      </c>
      <c r="F24" s="142">
        <v>27215530</v>
      </c>
      <c r="G24" s="142"/>
      <c r="H24" s="142"/>
      <c r="I24" s="142">
        <v>-809449</v>
      </c>
      <c r="J24" s="142">
        <v>1349496</v>
      </c>
      <c r="K24" s="142"/>
    </row>
    <row r="25" spans="1:11" s="57" customFormat="1" ht="11.25">
      <c r="A25" s="141" t="s">
        <v>517</v>
      </c>
      <c r="B25" s="142">
        <f>222412+644166+3356678+1138587+10181431</f>
        <v>15543274</v>
      </c>
      <c r="C25" s="142">
        <v>8860319</v>
      </c>
      <c r="D25" s="142">
        <v>8412621</v>
      </c>
      <c r="E25" s="142">
        <f>F25+G25-H25+I25</f>
        <v>4795547</v>
      </c>
      <c r="F25" s="142">
        <v>3585184</v>
      </c>
      <c r="G25" s="142">
        <v>1287013</v>
      </c>
      <c r="H25" s="142"/>
      <c r="I25" s="142">
        <v>-76650</v>
      </c>
      <c r="J25" s="142">
        <v>180437</v>
      </c>
      <c r="K25" s="142">
        <v>4064772</v>
      </c>
    </row>
    <row r="26" spans="1:11" s="57" customFormat="1" ht="11.25">
      <c r="A26" s="146" t="s">
        <v>518</v>
      </c>
      <c r="B26" s="142">
        <v>14111759</v>
      </c>
      <c r="C26" s="142">
        <v>8044295</v>
      </c>
      <c r="D26" s="142"/>
      <c r="E26" s="142"/>
      <c r="F26" s="142"/>
      <c r="G26" s="142"/>
      <c r="H26" s="142"/>
      <c r="I26" s="142"/>
      <c r="J26" s="142">
        <v>1504</v>
      </c>
      <c r="K26" s="142">
        <v>8044295</v>
      </c>
    </row>
    <row r="27" spans="1:11" s="57" customFormat="1" ht="11.25">
      <c r="A27" s="141" t="s">
        <v>519</v>
      </c>
      <c r="B27" s="142">
        <v>11102703</v>
      </c>
      <c r="C27" s="142">
        <v>6329007</v>
      </c>
      <c r="D27" s="142">
        <v>1927809</v>
      </c>
      <c r="E27" s="142">
        <f t="shared" si="2"/>
        <v>1098932</v>
      </c>
      <c r="F27" s="142">
        <v>154702</v>
      </c>
      <c r="G27" s="142">
        <v>913180</v>
      </c>
      <c r="H27" s="142"/>
      <c r="I27" s="142">
        <v>31050</v>
      </c>
      <c r="J27" s="142">
        <v>25915</v>
      </c>
      <c r="K27" s="142">
        <v>5230075</v>
      </c>
    </row>
    <row r="28" spans="1:11" s="57" customFormat="1" ht="11.25">
      <c r="A28" s="146" t="s">
        <v>520</v>
      </c>
      <c r="B28" s="142">
        <v>4389441</v>
      </c>
      <c r="C28" s="142">
        <v>2502166</v>
      </c>
      <c r="D28" s="142">
        <v>1247163</v>
      </c>
      <c r="E28" s="142">
        <f t="shared" si="2"/>
        <v>710935</v>
      </c>
      <c r="F28" s="142">
        <v>112840</v>
      </c>
      <c r="G28" s="142">
        <v>593124</v>
      </c>
      <c r="H28" s="142"/>
      <c r="I28" s="142">
        <v>4971</v>
      </c>
      <c r="J28" s="142">
        <v>14468</v>
      </c>
      <c r="K28" s="142">
        <v>1791231</v>
      </c>
    </row>
    <row r="29" spans="1:11" s="57" customFormat="1" ht="11.25">
      <c r="A29" s="148" t="s">
        <v>521</v>
      </c>
      <c r="B29" s="142">
        <v>28290000</v>
      </c>
      <c r="C29" s="142">
        <v>16126488</v>
      </c>
      <c r="D29" s="142">
        <v>6658608</v>
      </c>
      <c r="E29" s="142">
        <f t="shared" si="2"/>
        <v>3795686</v>
      </c>
      <c r="F29" s="142"/>
      <c r="G29" s="142">
        <v>3644997</v>
      </c>
      <c r="H29" s="142"/>
      <c r="I29" s="142">
        <v>150689</v>
      </c>
      <c r="J29" s="142">
        <v>57711</v>
      </c>
      <c r="K29" s="142">
        <v>12330802</v>
      </c>
    </row>
    <row r="30" spans="1:11" s="57" customFormat="1" ht="11.25">
      <c r="A30" s="146" t="s">
        <v>522</v>
      </c>
      <c r="B30" s="142">
        <v>221497500</v>
      </c>
      <c r="C30" s="142">
        <v>126262878</v>
      </c>
      <c r="D30" s="142">
        <v>221497500</v>
      </c>
      <c r="E30" s="142">
        <f t="shared" si="2"/>
        <v>126262878</v>
      </c>
      <c r="F30" s="142">
        <v>130133325</v>
      </c>
      <c r="G30" s="142"/>
      <c r="H30" s="142"/>
      <c r="I30" s="142">
        <v>-3870447</v>
      </c>
      <c r="J30" s="142">
        <v>7784873</v>
      </c>
      <c r="K30" s="142"/>
    </row>
    <row r="31" spans="1:11" s="57" customFormat="1" ht="11.25">
      <c r="A31" s="141" t="s">
        <v>523</v>
      </c>
      <c r="B31" s="142">
        <v>20000000</v>
      </c>
      <c r="C31" s="142">
        <v>11400840</v>
      </c>
      <c r="D31" s="142"/>
      <c r="E31" s="142"/>
      <c r="F31" s="142"/>
      <c r="G31" s="142"/>
      <c r="H31" s="142"/>
      <c r="I31" s="142"/>
      <c r="J31" s="142"/>
      <c r="K31" s="142">
        <v>11400840</v>
      </c>
    </row>
    <row r="32" spans="1:11" s="57" customFormat="1" ht="11.25">
      <c r="A32" s="143" t="s">
        <v>524</v>
      </c>
      <c r="B32" s="144">
        <f aca="true" t="shared" si="3" ref="B32:K32">SUM(B18:B31)</f>
        <v>419537853</v>
      </c>
      <c r="C32" s="144">
        <f t="shared" si="3"/>
        <v>239154197</v>
      </c>
      <c r="D32" s="144">
        <f t="shared" si="3"/>
        <v>297307222</v>
      </c>
      <c r="E32" s="144">
        <f t="shared" si="3"/>
        <v>169477603</v>
      </c>
      <c r="F32" s="144">
        <f t="shared" si="3"/>
        <v>190951059</v>
      </c>
      <c r="G32" s="144">
        <f t="shared" si="3"/>
        <v>7676234</v>
      </c>
      <c r="H32" s="144">
        <f t="shared" si="3"/>
        <v>23942176</v>
      </c>
      <c r="I32" s="144">
        <f t="shared" si="3"/>
        <v>-5207514</v>
      </c>
      <c r="J32" s="144">
        <f t="shared" si="3"/>
        <v>10132183</v>
      </c>
      <c r="K32" s="144">
        <f t="shared" si="3"/>
        <v>45105824</v>
      </c>
    </row>
    <row r="33" spans="1:11" s="57" customFormat="1" ht="11.25">
      <c r="A33" s="140" t="s">
        <v>525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s="57" customFormat="1" ht="11.25">
      <c r="A34" s="141" t="s">
        <v>526</v>
      </c>
      <c r="B34" s="142">
        <v>2624056721</v>
      </c>
      <c r="C34" s="142">
        <v>14064944</v>
      </c>
      <c r="D34" s="142">
        <v>1967986722</v>
      </c>
      <c r="E34" s="142">
        <f>F34+G34-H34+I34</f>
        <v>10548409</v>
      </c>
      <c r="F34" s="142">
        <v>12442191</v>
      </c>
      <c r="G34" s="142"/>
      <c r="H34" s="142">
        <v>1250065</v>
      </c>
      <c r="I34" s="142">
        <v>-643717</v>
      </c>
      <c r="J34" s="142">
        <v>498792</v>
      </c>
      <c r="K34" s="142"/>
    </row>
    <row r="35" spans="1:11" s="57" customFormat="1" ht="11.25">
      <c r="A35" s="141" t="s">
        <v>527</v>
      </c>
      <c r="B35" s="142">
        <v>3183750000</v>
      </c>
      <c r="C35" s="142">
        <v>17064900</v>
      </c>
      <c r="D35" s="142">
        <v>2509021000</v>
      </c>
      <c r="E35" s="142">
        <f>F35+G35-H35+I35</f>
        <v>13448353</v>
      </c>
      <c r="F35" s="142">
        <v>15453517</v>
      </c>
      <c r="G35" s="142">
        <v>404117</v>
      </c>
      <c r="H35" s="142">
        <v>1551042</v>
      </c>
      <c r="I35" s="142">
        <v>-858239</v>
      </c>
      <c r="J35" s="142">
        <v>534751</v>
      </c>
      <c r="K35" s="142">
        <v>1138330</v>
      </c>
    </row>
    <row r="36" spans="1:11" s="57" customFormat="1" ht="11.25">
      <c r="A36" s="141" t="s">
        <v>528</v>
      </c>
      <c r="B36" s="142"/>
      <c r="C36" s="142"/>
      <c r="D36" s="142"/>
      <c r="E36" s="142"/>
      <c r="F36" s="142"/>
      <c r="G36" s="142">
        <v>920697</v>
      </c>
      <c r="H36" s="142">
        <v>920697</v>
      </c>
      <c r="I36" s="142"/>
      <c r="J36" s="142"/>
      <c r="K36" s="142"/>
    </row>
    <row r="37" spans="1:11" s="57" customFormat="1" ht="11.25">
      <c r="A37" s="143" t="s">
        <v>529</v>
      </c>
      <c r="B37" s="144">
        <f aca="true" t="shared" si="4" ref="B37:K37">SUM(B34:B35)</f>
        <v>5807806721</v>
      </c>
      <c r="C37" s="144">
        <f t="shared" si="4"/>
        <v>31129844</v>
      </c>
      <c r="D37" s="144">
        <f t="shared" si="4"/>
        <v>4477007722</v>
      </c>
      <c r="E37" s="144">
        <f t="shared" si="4"/>
        <v>23996762</v>
      </c>
      <c r="F37" s="144">
        <f>SUM(F34:F36)</f>
        <v>27895708</v>
      </c>
      <c r="G37" s="144">
        <f>SUM(G34:G36)</f>
        <v>1324814</v>
      </c>
      <c r="H37" s="144">
        <f>SUM(H34:H36)</f>
        <v>3721804</v>
      </c>
      <c r="I37" s="144">
        <f t="shared" si="4"/>
        <v>-1501956</v>
      </c>
      <c r="J37" s="144">
        <f t="shared" si="4"/>
        <v>1033543</v>
      </c>
      <c r="K37" s="144">
        <f t="shared" si="4"/>
        <v>1138330</v>
      </c>
    </row>
    <row r="38" spans="1:11" s="57" customFormat="1" ht="11.25">
      <c r="A38" s="140" t="s">
        <v>530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s="57" customFormat="1" ht="11.25">
      <c r="A39" s="141" t="s">
        <v>531</v>
      </c>
      <c r="B39" s="142">
        <v>1884698</v>
      </c>
      <c r="C39" s="142">
        <v>120998</v>
      </c>
      <c r="D39" s="142">
        <v>1531317</v>
      </c>
      <c r="E39" s="142">
        <f>F39+G39-H39+I39</f>
        <v>98311</v>
      </c>
      <c r="F39" s="142">
        <v>121033</v>
      </c>
      <c r="G39" s="142"/>
      <c r="H39" s="142">
        <v>15725</v>
      </c>
      <c r="I39" s="142">
        <v>-6997</v>
      </c>
      <c r="J39" s="142">
        <v>4625</v>
      </c>
      <c r="K39" s="142"/>
    </row>
    <row r="40" spans="1:11" s="57" customFormat="1" ht="11.25">
      <c r="A40" s="141" t="s">
        <v>532</v>
      </c>
      <c r="B40" s="142">
        <v>2367873</v>
      </c>
      <c r="C40" s="142">
        <v>152017</v>
      </c>
      <c r="D40" s="142">
        <v>1719585</v>
      </c>
      <c r="E40" s="142">
        <f>F40+G40-H40+I40</f>
        <v>110397</v>
      </c>
      <c r="F40" s="142">
        <v>134619</v>
      </c>
      <c r="G40" s="142"/>
      <c r="H40" s="142">
        <v>17048</v>
      </c>
      <c r="I40" s="142">
        <v>-7174</v>
      </c>
      <c r="J40" s="142">
        <v>4986</v>
      </c>
      <c r="K40" s="142"/>
    </row>
    <row r="41" spans="1:11" s="57" customFormat="1" ht="11.25">
      <c r="A41" s="143" t="s">
        <v>533</v>
      </c>
      <c r="B41" s="144">
        <f>SUM(B39+B40)</f>
        <v>4252571</v>
      </c>
      <c r="C41" s="144">
        <f aca="true" t="shared" si="5" ref="C41:J41">SUM(C39+C40)</f>
        <v>273015</v>
      </c>
      <c r="D41" s="144">
        <f t="shared" si="5"/>
        <v>3250902</v>
      </c>
      <c r="E41" s="144">
        <f t="shared" si="5"/>
        <v>208708</v>
      </c>
      <c r="F41" s="144">
        <f>SUM(F39:F40)</f>
        <v>255652</v>
      </c>
      <c r="G41" s="144"/>
      <c r="H41" s="144">
        <f t="shared" si="5"/>
        <v>32773</v>
      </c>
      <c r="I41" s="144">
        <f t="shared" si="5"/>
        <v>-14171</v>
      </c>
      <c r="J41" s="144">
        <f t="shared" si="5"/>
        <v>9611</v>
      </c>
      <c r="K41" s="144"/>
    </row>
    <row r="42" spans="1:11" s="57" customFormat="1" ht="11.25">
      <c r="A42" s="140" t="s">
        <v>534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s="57" customFormat="1" ht="11.25">
      <c r="A43" s="141" t="s">
        <v>535</v>
      </c>
      <c r="B43" s="142">
        <v>41863500</v>
      </c>
      <c r="C43" s="142">
        <v>25662325</v>
      </c>
      <c r="D43" s="142">
        <v>32221442</v>
      </c>
      <c r="E43" s="142">
        <f aca="true" t="shared" si="6" ref="E43:E74">F43+G43-H43+I43</f>
        <v>19751744</v>
      </c>
      <c r="F43" s="142">
        <v>20688734</v>
      </c>
      <c r="G43" s="142"/>
      <c r="H43" s="142">
        <v>2011063</v>
      </c>
      <c r="I43" s="142">
        <v>1074073</v>
      </c>
      <c r="J43" s="142">
        <v>1103723</v>
      </c>
      <c r="K43" s="142"/>
    </row>
    <row r="44" spans="1:11" s="57" customFormat="1" ht="11.25">
      <c r="A44" s="146" t="s">
        <v>536</v>
      </c>
      <c r="B44" s="142">
        <v>25000000</v>
      </c>
      <c r="C44" s="142">
        <v>15325000</v>
      </c>
      <c r="D44" s="142">
        <v>22081191</v>
      </c>
      <c r="E44" s="142">
        <f t="shared" si="6"/>
        <v>13535770</v>
      </c>
      <c r="F44" s="142">
        <v>13600487</v>
      </c>
      <c r="G44" s="142"/>
      <c r="H44" s="142">
        <v>750249</v>
      </c>
      <c r="I44" s="142">
        <v>685532</v>
      </c>
      <c r="J44" s="142">
        <v>715130</v>
      </c>
      <c r="K44" s="142"/>
    </row>
    <row r="45" spans="1:11" s="57" customFormat="1" ht="11.25">
      <c r="A45" s="146" t="s">
        <v>537</v>
      </c>
      <c r="B45" s="142">
        <v>4713405</v>
      </c>
      <c r="C45" s="142">
        <v>2889317</v>
      </c>
      <c r="D45" s="142">
        <v>2006715</v>
      </c>
      <c r="E45" s="142">
        <f t="shared" si="6"/>
        <v>1230116</v>
      </c>
      <c r="F45" s="142">
        <v>1540727</v>
      </c>
      <c r="G45" s="142"/>
      <c r="H45" s="142">
        <v>391483</v>
      </c>
      <c r="I45" s="142">
        <v>80872</v>
      </c>
      <c r="J45" s="142">
        <v>109195</v>
      </c>
      <c r="K45" s="142"/>
    </row>
    <row r="46" spans="1:11" s="57" customFormat="1" ht="11.25">
      <c r="A46" s="141" t="s">
        <v>538</v>
      </c>
      <c r="B46" s="142">
        <v>21000000</v>
      </c>
      <c r="C46" s="142">
        <v>12873000</v>
      </c>
      <c r="D46" s="142"/>
      <c r="E46" s="142"/>
      <c r="F46" s="142">
        <v>7790629</v>
      </c>
      <c r="G46" s="142"/>
      <c r="H46" s="142">
        <v>8298423</v>
      </c>
      <c r="I46" s="142">
        <v>507794</v>
      </c>
      <c r="J46" s="142">
        <v>569915</v>
      </c>
      <c r="K46" s="142"/>
    </row>
    <row r="47" spans="1:11" s="57" customFormat="1" ht="11.25">
      <c r="A47" s="146" t="s">
        <v>539</v>
      </c>
      <c r="B47" s="142">
        <v>9318877</v>
      </c>
      <c r="C47" s="142">
        <v>5712472</v>
      </c>
      <c r="D47" s="142">
        <v>8542304</v>
      </c>
      <c r="E47" s="142">
        <f t="shared" si="6"/>
        <v>5236432</v>
      </c>
      <c r="F47" s="142">
        <v>5206534</v>
      </c>
      <c r="G47" s="142"/>
      <c r="H47" s="142">
        <v>244621</v>
      </c>
      <c r="I47" s="142">
        <v>274519</v>
      </c>
      <c r="J47" s="142">
        <v>168788</v>
      </c>
      <c r="K47" s="142"/>
    </row>
    <row r="48" spans="1:11" s="57" customFormat="1" ht="11.25">
      <c r="A48" s="141" t="s">
        <v>540</v>
      </c>
      <c r="B48" s="142">
        <v>3999839</v>
      </c>
      <c r="C48" s="142">
        <v>2451901</v>
      </c>
      <c r="D48" s="142">
        <v>3845526</v>
      </c>
      <c r="E48" s="142">
        <f t="shared" si="6"/>
        <v>2357307</v>
      </c>
      <c r="F48" s="142">
        <v>2331906</v>
      </c>
      <c r="G48" s="142"/>
      <c r="H48" s="142">
        <v>94285</v>
      </c>
      <c r="I48" s="142">
        <v>119686</v>
      </c>
      <c r="J48" s="142">
        <v>121240</v>
      </c>
      <c r="K48" s="142"/>
    </row>
    <row r="49" spans="1:11" s="57" customFormat="1" ht="11.25">
      <c r="A49" s="146" t="s">
        <v>541</v>
      </c>
      <c r="B49" s="142">
        <v>19997055</v>
      </c>
      <c r="C49" s="142">
        <v>12258194</v>
      </c>
      <c r="D49" s="142">
        <v>18446717</v>
      </c>
      <c r="E49" s="142">
        <f t="shared" si="6"/>
        <v>11307837</v>
      </c>
      <c r="F49" s="142">
        <v>11658283</v>
      </c>
      <c r="G49" s="142"/>
      <c r="H49" s="142">
        <v>953199</v>
      </c>
      <c r="I49" s="142">
        <v>602753</v>
      </c>
      <c r="J49" s="142">
        <v>592399</v>
      </c>
      <c r="K49" s="142"/>
    </row>
    <row r="50" spans="1:11" s="57" customFormat="1" ht="11.25">
      <c r="A50" s="146" t="s">
        <v>541</v>
      </c>
      <c r="B50" s="142">
        <v>10000000</v>
      </c>
      <c r="C50" s="142">
        <v>6130000</v>
      </c>
      <c r="D50" s="142">
        <v>9170000</v>
      </c>
      <c r="E50" s="142">
        <f t="shared" si="6"/>
        <v>5621210</v>
      </c>
      <c r="F50" s="142">
        <v>5830000</v>
      </c>
      <c r="G50" s="142"/>
      <c r="H50" s="142">
        <v>493435</v>
      </c>
      <c r="I50" s="142">
        <v>284645</v>
      </c>
      <c r="J50" s="142">
        <v>543563</v>
      </c>
      <c r="K50" s="142"/>
    </row>
    <row r="51" spans="1:11" s="57" customFormat="1" ht="11.25">
      <c r="A51" s="146" t="s">
        <v>542</v>
      </c>
      <c r="B51" s="142">
        <v>9964952</v>
      </c>
      <c r="C51" s="142">
        <v>6108515</v>
      </c>
      <c r="D51" s="142">
        <v>7459788</v>
      </c>
      <c r="E51" s="142">
        <f t="shared" si="6"/>
        <v>4572850</v>
      </c>
      <c r="F51" s="142">
        <v>4832285</v>
      </c>
      <c r="G51" s="142"/>
      <c r="H51" s="142">
        <v>499391</v>
      </c>
      <c r="I51" s="142">
        <v>239956</v>
      </c>
      <c r="J51" s="142">
        <v>352178</v>
      </c>
      <c r="K51" s="142"/>
    </row>
    <row r="52" spans="1:11" s="57" customFormat="1" ht="11.25">
      <c r="A52" s="146" t="s">
        <v>543</v>
      </c>
      <c r="B52" s="142">
        <v>13810022</v>
      </c>
      <c r="C52" s="142">
        <v>8465544</v>
      </c>
      <c r="D52" s="142">
        <v>13257537</v>
      </c>
      <c r="E52" s="142">
        <f t="shared" si="6"/>
        <v>8126870</v>
      </c>
      <c r="F52" s="142">
        <v>7815756</v>
      </c>
      <c r="G52" s="142">
        <v>242928</v>
      </c>
      <c r="H52" s="142">
        <v>344751</v>
      </c>
      <c r="I52" s="142">
        <v>412937</v>
      </c>
      <c r="J52" s="142">
        <v>431204</v>
      </c>
      <c r="K52" s="142"/>
    </row>
    <row r="53" spans="1:11" s="57" customFormat="1" ht="11.25">
      <c r="A53" s="146" t="s">
        <v>544</v>
      </c>
      <c r="B53" s="142">
        <v>2431832</v>
      </c>
      <c r="C53" s="142">
        <v>1490713</v>
      </c>
      <c r="D53" s="142">
        <v>1716587</v>
      </c>
      <c r="E53" s="142">
        <f t="shared" si="6"/>
        <v>1052268</v>
      </c>
      <c r="F53" s="142">
        <v>1167566</v>
      </c>
      <c r="G53" s="142"/>
      <c r="H53" s="142">
        <v>173232</v>
      </c>
      <c r="I53" s="142">
        <v>57934</v>
      </c>
      <c r="J53" s="142"/>
      <c r="K53" s="142"/>
    </row>
    <row r="54" spans="1:11" s="57" customFormat="1" ht="11.25">
      <c r="A54" s="146" t="s">
        <v>545</v>
      </c>
      <c r="B54" s="142">
        <v>508417</v>
      </c>
      <c r="C54" s="142">
        <v>311660</v>
      </c>
      <c r="D54" s="142">
        <v>388790</v>
      </c>
      <c r="E54" s="142">
        <f t="shared" si="6"/>
        <v>238328</v>
      </c>
      <c r="F54" s="142">
        <v>261536</v>
      </c>
      <c r="G54" s="142"/>
      <c r="H54" s="142">
        <v>36307</v>
      </c>
      <c r="I54" s="142">
        <v>13099</v>
      </c>
      <c r="J54" s="142"/>
      <c r="K54" s="142"/>
    </row>
    <row r="55" spans="1:11" s="57" customFormat="1" ht="11.25">
      <c r="A55" s="146" t="s">
        <v>546</v>
      </c>
      <c r="B55" s="142">
        <v>429809</v>
      </c>
      <c r="C55" s="142">
        <v>263473</v>
      </c>
      <c r="D55" s="142">
        <v>343848</v>
      </c>
      <c r="E55" s="142">
        <f>F55+G55-H55+I55</f>
        <v>210779</v>
      </c>
      <c r="F55" s="142">
        <v>233874</v>
      </c>
      <c r="G55" s="142"/>
      <c r="H55" s="142">
        <v>34700</v>
      </c>
      <c r="I55" s="142">
        <v>11605</v>
      </c>
      <c r="J55" s="142"/>
      <c r="K55" s="142"/>
    </row>
    <row r="56" spans="1:11" s="57" customFormat="1" ht="11.25">
      <c r="A56" s="141" t="s">
        <v>547</v>
      </c>
      <c r="B56" s="142">
        <v>2439258</v>
      </c>
      <c r="C56" s="142">
        <v>1495265</v>
      </c>
      <c r="D56" s="142">
        <v>1951406</v>
      </c>
      <c r="E56" s="142">
        <f>F56+G56-H56+I56</f>
        <v>1196212</v>
      </c>
      <c r="F56" s="142">
        <v>1327282</v>
      </c>
      <c r="G56" s="142"/>
      <c r="H56" s="142">
        <v>196929</v>
      </c>
      <c r="I56" s="142">
        <v>65859</v>
      </c>
      <c r="J56" s="142"/>
      <c r="K56" s="142"/>
    </row>
    <row r="57" spans="1:11" s="57" customFormat="1" ht="11.25">
      <c r="A57" s="146" t="s">
        <v>548</v>
      </c>
      <c r="B57" s="142">
        <v>68662</v>
      </c>
      <c r="C57" s="142">
        <v>42090</v>
      </c>
      <c r="D57" s="142">
        <v>54930</v>
      </c>
      <c r="E57" s="142">
        <f>F57+G57-H57+I57</f>
        <v>33672</v>
      </c>
      <c r="F57" s="142">
        <v>37361</v>
      </c>
      <c r="G57" s="142"/>
      <c r="H57" s="142">
        <v>5543</v>
      </c>
      <c r="I57" s="142">
        <v>1854</v>
      </c>
      <c r="J57" s="142"/>
      <c r="K57" s="142"/>
    </row>
    <row r="58" spans="1:11" s="57" customFormat="1" ht="10.5" customHeight="1">
      <c r="A58" s="146" t="s">
        <v>549</v>
      </c>
      <c r="B58" s="142">
        <v>27300000</v>
      </c>
      <c r="C58" s="142">
        <v>16734900</v>
      </c>
      <c r="D58" s="142">
        <v>24191597</v>
      </c>
      <c r="E58" s="142">
        <f t="shared" si="6"/>
        <v>14829449</v>
      </c>
      <c r="F58" s="142">
        <v>11503974</v>
      </c>
      <c r="G58" s="142">
        <v>3512244</v>
      </c>
      <c r="H58" s="142">
        <v>815149</v>
      </c>
      <c r="I58" s="142">
        <v>628380</v>
      </c>
      <c r="J58" s="142">
        <v>695299</v>
      </c>
      <c r="K58" s="142">
        <v>1092943</v>
      </c>
    </row>
    <row r="59" spans="1:11" s="57" customFormat="1" ht="11.25">
      <c r="A59" s="141" t="s">
        <v>550</v>
      </c>
      <c r="B59" s="142">
        <v>3480477</v>
      </c>
      <c r="C59" s="142">
        <v>2133532</v>
      </c>
      <c r="D59" s="142">
        <v>707766</v>
      </c>
      <c r="E59" s="142">
        <f t="shared" si="6"/>
        <v>433860</v>
      </c>
      <c r="F59" s="142">
        <v>825255</v>
      </c>
      <c r="G59" s="142"/>
      <c r="H59" s="142">
        <v>435276</v>
      </c>
      <c r="I59" s="142">
        <v>43881</v>
      </c>
      <c r="J59" s="142">
        <v>57484</v>
      </c>
      <c r="K59" s="142"/>
    </row>
    <row r="60" spans="1:11" s="57" customFormat="1" ht="11.25">
      <c r="A60" s="146" t="s">
        <v>551</v>
      </c>
      <c r="B60" s="142">
        <v>216947</v>
      </c>
      <c r="C60" s="142">
        <v>132988</v>
      </c>
      <c r="D60" s="142">
        <v>153139</v>
      </c>
      <c r="E60" s="142">
        <f t="shared" si="6"/>
        <v>93874</v>
      </c>
      <c r="F60" s="142">
        <v>104160</v>
      </c>
      <c r="G60" s="142"/>
      <c r="H60" s="142">
        <v>15454</v>
      </c>
      <c r="I60" s="142">
        <v>5168</v>
      </c>
      <c r="J60" s="142"/>
      <c r="K60" s="142"/>
    </row>
    <row r="61" spans="1:11" s="57" customFormat="1" ht="11.25">
      <c r="A61" s="146" t="s">
        <v>552</v>
      </c>
      <c r="B61" s="142">
        <v>865940</v>
      </c>
      <c r="C61" s="142">
        <v>530821</v>
      </c>
      <c r="D61" s="142">
        <v>662189</v>
      </c>
      <c r="E61" s="142">
        <f t="shared" si="6"/>
        <v>405922</v>
      </c>
      <c r="F61" s="142">
        <v>445450</v>
      </c>
      <c r="G61" s="142"/>
      <c r="H61" s="142">
        <v>61685</v>
      </c>
      <c r="I61" s="142">
        <v>22157</v>
      </c>
      <c r="J61" s="142"/>
      <c r="K61" s="142"/>
    </row>
    <row r="62" spans="1:11" s="57" customFormat="1" ht="11.25">
      <c r="A62" s="146" t="s">
        <v>553</v>
      </c>
      <c r="B62" s="142">
        <v>516772</v>
      </c>
      <c r="C62" s="142">
        <v>316781</v>
      </c>
      <c r="D62" s="142">
        <v>364780</v>
      </c>
      <c r="E62" s="142">
        <f t="shared" si="6"/>
        <v>223610</v>
      </c>
      <c r="F62" s="142">
        <v>248111</v>
      </c>
      <c r="G62" s="142"/>
      <c r="H62" s="142">
        <v>36812</v>
      </c>
      <c r="I62" s="142">
        <v>12311</v>
      </c>
      <c r="J62" s="142"/>
      <c r="K62" s="142"/>
    </row>
    <row r="63" spans="1:11" s="57" customFormat="1" ht="11.25">
      <c r="A63" s="146" t="s">
        <v>554</v>
      </c>
      <c r="B63" s="142">
        <v>639740</v>
      </c>
      <c r="C63" s="142">
        <v>392161</v>
      </c>
      <c r="D63" s="142">
        <v>451581</v>
      </c>
      <c r="E63" s="142">
        <f t="shared" si="6"/>
        <v>276819</v>
      </c>
      <c r="F63" s="142">
        <v>307151</v>
      </c>
      <c r="G63" s="142"/>
      <c r="H63" s="142">
        <v>45572</v>
      </c>
      <c r="I63" s="142">
        <v>15240</v>
      </c>
      <c r="J63" s="142"/>
      <c r="K63" s="142"/>
    </row>
    <row r="64" spans="1:11" s="57" customFormat="1" ht="11.25">
      <c r="A64" s="146" t="s">
        <v>555</v>
      </c>
      <c r="B64" s="142">
        <v>323510</v>
      </c>
      <c r="C64" s="142">
        <v>198312</v>
      </c>
      <c r="D64" s="142">
        <v>228360</v>
      </c>
      <c r="E64" s="142">
        <f t="shared" si="6"/>
        <v>139985</v>
      </c>
      <c r="F64" s="142">
        <v>155323</v>
      </c>
      <c r="G64" s="142"/>
      <c r="H64" s="142">
        <v>23045</v>
      </c>
      <c r="I64" s="142">
        <v>7707</v>
      </c>
      <c r="J64" s="142"/>
      <c r="K64" s="142"/>
    </row>
    <row r="65" spans="1:11" s="57" customFormat="1" ht="11.25">
      <c r="A65" s="146" t="s">
        <v>556</v>
      </c>
      <c r="B65" s="142">
        <v>264786</v>
      </c>
      <c r="C65" s="142">
        <v>162314</v>
      </c>
      <c r="D65" s="142">
        <v>186908</v>
      </c>
      <c r="E65" s="142">
        <f t="shared" si="6"/>
        <v>114574</v>
      </c>
      <c r="F65" s="142">
        <v>127128</v>
      </c>
      <c r="G65" s="142"/>
      <c r="H65" s="142">
        <v>18862</v>
      </c>
      <c r="I65" s="142">
        <v>6308</v>
      </c>
      <c r="J65" s="142"/>
      <c r="K65" s="142"/>
    </row>
    <row r="66" spans="1:11" s="57" customFormat="1" ht="11.25">
      <c r="A66" s="146" t="s">
        <v>557</v>
      </c>
      <c r="B66" s="142">
        <v>481315</v>
      </c>
      <c r="C66" s="142">
        <v>295046</v>
      </c>
      <c r="D66" s="142">
        <v>339752</v>
      </c>
      <c r="E66" s="142">
        <f t="shared" si="6"/>
        <v>208268</v>
      </c>
      <c r="F66" s="142">
        <v>231088</v>
      </c>
      <c r="G66" s="142"/>
      <c r="H66" s="142">
        <v>34287</v>
      </c>
      <c r="I66" s="142">
        <v>11467</v>
      </c>
      <c r="J66" s="142"/>
      <c r="K66" s="142"/>
    </row>
    <row r="67" spans="1:11" s="57" customFormat="1" ht="10.5" customHeight="1">
      <c r="A67" s="146" t="s">
        <v>558</v>
      </c>
      <c r="B67" s="142">
        <v>618768</v>
      </c>
      <c r="C67" s="142">
        <v>379305</v>
      </c>
      <c r="D67" s="142">
        <v>436777</v>
      </c>
      <c r="E67" s="142">
        <f t="shared" si="6"/>
        <v>267745</v>
      </c>
      <c r="F67" s="142">
        <v>297081</v>
      </c>
      <c r="G67" s="142"/>
      <c r="H67" s="142">
        <v>44078</v>
      </c>
      <c r="I67" s="142">
        <v>14742</v>
      </c>
      <c r="J67" s="142"/>
      <c r="K67" s="142"/>
    </row>
    <row r="68" spans="1:11" s="57" customFormat="1" ht="11.25">
      <c r="A68" s="146" t="s">
        <v>559</v>
      </c>
      <c r="B68" s="142">
        <v>1238383</v>
      </c>
      <c r="C68" s="142">
        <v>759129</v>
      </c>
      <c r="D68" s="142">
        <v>874153</v>
      </c>
      <c r="E68" s="142">
        <f t="shared" si="6"/>
        <v>535856</v>
      </c>
      <c r="F68" s="142">
        <v>594570</v>
      </c>
      <c r="G68" s="142"/>
      <c r="H68" s="142">
        <v>88217</v>
      </c>
      <c r="I68" s="142">
        <v>29503</v>
      </c>
      <c r="J68" s="142"/>
      <c r="K68" s="142"/>
    </row>
    <row r="69" spans="1:11" s="57" customFormat="1" ht="11.25">
      <c r="A69" s="146" t="s">
        <v>560</v>
      </c>
      <c r="B69" s="142">
        <v>2506342</v>
      </c>
      <c r="C69" s="142">
        <v>1536388</v>
      </c>
      <c r="D69" s="142">
        <v>2211479</v>
      </c>
      <c r="E69" s="142">
        <f t="shared" si="6"/>
        <v>1355636</v>
      </c>
      <c r="F69" s="142">
        <v>1461198</v>
      </c>
      <c r="G69" s="142"/>
      <c r="H69" s="142">
        <v>178540</v>
      </c>
      <c r="I69" s="142">
        <v>72978</v>
      </c>
      <c r="J69" s="142">
        <v>-1725</v>
      </c>
      <c r="K69" s="142"/>
    </row>
    <row r="70" spans="1:11" s="57" customFormat="1" ht="11.25">
      <c r="A70" s="146" t="s">
        <v>561</v>
      </c>
      <c r="B70" s="142">
        <v>1164213</v>
      </c>
      <c r="C70" s="142">
        <v>713662</v>
      </c>
      <c r="D70" s="142">
        <v>582106</v>
      </c>
      <c r="E70" s="142">
        <f t="shared" si="6"/>
        <v>356831</v>
      </c>
      <c r="F70" s="142">
        <v>452491</v>
      </c>
      <c r="G70" s="142"/>
      <c r="H70" s="142">
        <v>119526</v>
      </c>
      <c r="I70" s="142">
        <v>23866</v>
      </c>
      <c r="J70" s="142">
        <v>35426</v>
      </c>
      <c r="K70" s="142"/>
    </row>
    <row r="71" spans="1:11" s="57" customFormat="1" ht="11.25">
      <c r="A71" s="141" t="s">
        <v>562</v>
      </c>
      <c r="B71" s="142">
        <v>20000000</v>
      </c>
      <c r="C71" s="142">
        <v>12260000</v>
      </c>
      <c r="D71" s="142">
        <v>19835128</v>
      </c>
      <c r="E71" s="142">
        <f>F71+G71-H71+I71</f>
        <v>12158933</v>
      </c>
      <c r="F71" s="142">
        <v>9383019</v>
      </c>
      <c r="G71" s="142">
        <v>2252937</v>
      </c>
      <c r="H71" s="142"/>
      <c r="I71" s="142">
        <v>522977</v>
      </c>
      <c r="J71" s="142">
        <v>663944</v>
      </c>
      <c r="K71" s="142">
        <v>101067</v>
      </c>
    </row>
    <row r="72" spans="1:11" s="57" customFormat="1" ht="11.25">
      <c r="A72" s="146" t="s">
        <v>518</v>
      </c>
      <c r="B72" s="142">
        <v>5371300</v>
      </c>
      <c r="C72" s="142">
        <v>3292607</v>
      </c>
      <c r="D72" s="142">
        <v>1449000</v>
      </c>
      <c r="E72" s="142">
        <f>F72+G72-H72+I72</f>
        <v>888237</v>
      </c>
      <c r="F72" s="142"/>
      <c r="G72" s="142">
        <v>898737</v>
      </c>
      <c r="H72" s="142"/>
      <c r="I72" s="142">
        <v>-10500</v>
      </c>
      <c r="J72" s="142">
        <v>2440</v>
      </c>
      <c r="K72" s="142">
        <v>2404370</v>
      </c>
    </row>
    <row r="73" spans="1:11" s="57" customFormat="1" ht="11.25">
      <c r="A73" s="141" t="s">
        <v>563</v>
      </c>
      <c r="B73" s="142">
        <v>7950000</v>
      </c>
      <c r="C73" s="142">
        <v>4873350</v>
      </c>
      <c r="D73" s="142">
        <v>48183</v>
      </c>
      <c r="E73" s="142">
        <f t="shared" si="6"/>
        <v>29536</v>
      </c>
      <c r="F73" s="142">
        <v>15332</v>
      </c>
      <c r="G73" s="142">
        <v>13288</v>
      </c>
      <c r="H73" s="142"/>
      <c r="I73" s="142">
        <v>916</v>
      </c>
      <c r="J73" s="142">
        <v>13288</v>
      </c>
      <c r="K73" s="142">
        <v>4843814</v>
      </c>
    </row>
    <row r="74" spans="1:11" s="57" customFormat="1" ht="11.25">
      <c r="A74" s="146" t="s">
        <v>564</v>
      </c>
      <c r="B74" s="142">
        <v>40410000</v>
      </c>
      <c r="C74" s="142">
        <v>24771330</v>
      </c>
      <c r="D74" s="142">
        <v>40410000</v>
      </c>
      <c r="E74" s="142">
        <f t="shared" si="6"/>
        <v>24771330</v>
      </c>
      <c r="F74" s="142"/>
      <c r="G74" s="142">
        <v>24043950</v>
      </c>
      <c r="H74" s="142"/>
      <c r="I74" s="142">
        <v>727380</v>
      </c>
      <c r="J74" s="142">
        <v>760892</v>
      </c>
      <c r="K74" s="142"/>
    </row>
    <row r="75" spans="1:11" s="57" customFormat="1" ht="11.25">
      <c r="A75" s="141" t="s">
        <v>565</v>
      </c>
      <c r="B75" s="142">
        <v>2220000</v>
      </c>
      <c r="C75" s="142">
        <v>1360860</v>
      </c>
      <c r="D75" s="142"/>
      <c r="E75" s="142"/>
      <c r="F75" s="142"/>
      <c r="G75" s="142"/>
      <c r="H75" s="142"/>
      <c r="I75" s="142"/>
      <c r="J75" s="142"/>
      <c r="K75" s="142">
        <v>1360860</v>
      </c>
    </row>
    <row r="76" spans="1:11" s="57" customFormat="1" ht="11.25" customHeight="1">
      <c r="A76" s="143" t="s">
        <v>566</v>
      </c>
      <c r="B76" s="144">
        <f aca="true" t="shared" si="7" ref="B76:K76">SUM(B43:B75)</f>
        <v>281114121</v>
      </c>
      <c r="C76" s="144">
        <f t="shared" si="7"/>
        <v>172322955</v>
      </c>
      <c r="D76" s="144">
        <f t="shared" si="7"/>
        <v>214619679</v>
      </c>
      <c r="E76" s="144">
        <f t="shared" si="7"/>
        <v>131561860</v>
      </c>
      <c r="F76" s="144">
        <f t="shared" si="7"/>
        <v>110474291</v>
      </c>
      <c r="G76" s="144">
        <f t="shared" si="7"/>
        <v>30964084</v>
      </c>
      <c r="H76" s="144">
        <f t="shared" si="7"/>
        <v>16444114</v>
      </c>
      <c r="I76" s="144">
        <f t="shared" si="7"/>
        <v>6567599</v>
      </c>
      <c r="J76" s="144">
        <f t="shared" si="7"/>
        <v>6934383</v>
      </c>
      <c r="K76" s="144">
        <f t="shared" si="7"/>
        <v>9803054</v>
      </c>
    </row>
    <row r="77" spans="1:11" s="57" customFormat="1" ht="11.25">
      <c r="A77" s="140" t="s">
        <v>567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s="57" customFormat="1" ht="11.25">
      <c r="A78" s="146" t="s">
        <v>568</v>
      </c>
      <c r="B78" s="142">
        <v>22875000</v>
      </c>
      <c r="C78" s="142">
        <v>18293138</v>
      </c>
      <c r="D78" s="142">
        <v>11437500</v>
      </c>
      <c r="E78" s="142">
        <f>F78+G78-H78+I78</f>
        <v>9146569</v>
      </c>
      <c r="F78" s="142">
        <v>12195425</v>
      </c>
      <c r="G78" s="142"/>
      <c r="H78" s="142">
        <v>3048856</v>
      </c>
      <c r="I78" s="142"/>
      <c r="J78" s="142">
        <v>603559</v>
      </c>
      <c r="K78" s="142"/>
    </row>
    <row r="79" spans="1:11" s="57" customFormat="1" ht="11.25">
      <c r="A79" s="146" t="s">
        <v>569</v>
      </c>
      <c r="B79" s="142">
        <v>22875000</v>
      </c>
      <c r="C79" s="142">
        <v>18293138</v>
      </c>
      <c r="D79" s="142">
        <v>15250000</v>
      </c>
      <c r="E79" s="142">
        <f>F79+G79-H79+I79</f>
        <v>12195425</v>
      </c>
      <c r="F79" s="142">
        <v>15244281</v>
      </c>
      <c r="G79" s="142"/>
      <c r="H79" s="142">
        <v>3048856</v>
      </c>
      <c r="I79" s="142"/>
      <c r="J79" s="142">
        <v>685260</v>
      </c>
      <c r="K79" s="142"/>
    </row>
    <row r="80" spans="1:11" s="57" customFormat="1" ht="11.25">
      <c r="A80" s="143" t="s">
        <v>570</v>
      </c>
      <c r="B80" s="144">
        <f>SUM(B78:B79)</f>
        <v>45750000</v>
      </c>
      <c r="C80" s="144">
        <f>SUM(C78:C79)</f>
        <v>36586276</v>
      </c>
      <c r="D80" s="144">
        <f>SUM(D78:D79)</f>
        <v>26687500</v>
      </c>
      <c r="E80" s="144">
        <f>SUM(E78:E79)</f>
        <v>21341994</v>
      </c>
      <c r="F80" s="144">
        <f>SUM(F78:F79)</f>
        <v>27439706</v>
      </c>
      <c r="G80" s="144"/>
      <c r="H80" s="144">
        <f>SUM(H78:H79)</f>
        <v>6097712</v>
      </c>
      <c r="I80" s="144"/>
      <c r="J80" s="144">
        <f>SUM(J78:J79)</f>
        <v>1288819</v>
      </c>
      <c r="K80" s="144"/>
    </row>
    <row r="81" spans="1:11" s="57" customFormat="1" ht="15.75" customHeight="1">
      <c r="A81" s="143" t="s">
        <v>571</v>
      </c>
      <c r="B81" s="149" t="s">
        <v>572</v>
      </c>
      <c r="C81" s="144">
        <f>C12+C32+C16+C37+C41+C76+C80</f>
        <v>483047700</v>
      </c>
      <c r="D81" s="149" t="s">
        <v>572</v>
      </c>
      <c r="E81" s="144">
        <f aca="true" t="shared" si="8" ref="E81:K81">E12+E32+E16+E37+E41+E76+E80</f>
        <v>347990853</v>
      </c>
      <c r="F81" s="144">
        <f t="shared" si="8"/>
        <v>358985024</v>
      </c>
      <c r="G81" s="144">
        <f t="shared" si="8"/>
        <v>39965132</v>
      </c>
      <c r="H81" s="144">
        <f t="shared" si="8"/>
        <v>50768128</v>
      </c>
      <c r="I81" s="144">
        <f t="shared" si="8"/>
        <v>-191175</v>
      </c>
      <c r="J81" s="144">
        <f t="shared" si="8"/>
        <v>19428175</v>
      </c>
      <c r="K81" s="144">
        <f t="shared" si="8"/>
        <v>56047208</v>
      </c>
    </row>
    <row r="82" s="57" customFormat="1" ht="11.25">
      <c r="A82" s="150" t="s">
        <v>573</v>
      </c>
    </row>
    <row r="83" s="57" customFormat="1" ht="11.25">
      <c r="A83" s="151" t="s">
        <v>574</v>
      </c>
    </row>
    <row r="84" s="7" customFormat="1" ht="11.25"/>
    <row r="87" spans="1:6" s="3" customFormat="1" ht="12.75">
      <c r="A87" s="3" t="s">
        <v>264</v>
      </c>
      <c r="F87" s="3" t="s">
        <v>473</v>
      </c>
    </row>
  </sheetData>
  <printOptions/>
  <pageMargins left="0.75" right="0.25" top="1" bottom="0.69" header="0.5" footer="0.2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0"/>
  <sheetViews>
    <sheetView workbookViewId="0" topLeftCell="A448">
      <selection activeCell="B463" sqref="B463"/>
    </sheetView>
  </sheetViews>
  <sheetFormatPr defaultColWidth="9.140625" defaultRowHeight="12.75"/>
  <cols>
    <col min="1" max="1" width="4.7109375" style="214" customWidth="1"/>
    <col min="2" max="2" width="13.8515625" style="215" customWidth="1"/>
    <col min="3" max="3" width="12.7109375" style="215" customWidth="1"/>
    <col min="4" max="4" width="20.140625" style="216" customWidth="1"/>
    <col min="5" max="5" width="10.00390625" style="217" customWidth="1"/>
    <col min="6" max="6" width="9.00390625" style="217" customWidth="1"/>
    <col min="7" max="7" width="7.57421875" style="217" customWidth="1"/>
    <col min="8" max="8" width="8.7109375" style="217" customWidth="1"/>
    <col min="9" max="9" width="8.421875" style="217" customWidth="1"/>
    <col min="10" max="10" width="8.28125" style="217" customWidth="1"/>
    <col min="11" max="11" width="8.140625" style="217" customWidth="1"/>
    <col min="12" max="12" width="8.28125" style="217" customWidth="1"/>
    <col min="13" max="15" width="8.57421875" style="217" customWidth="1"/>
    <col min="16" max="16" width="8.28125" style="217" customWidth="1"/>
    <col min="17" max="16384" width="9.140625" style="217" customWidth="1"/>
  </cols>
  <sheetData>
    <row r="1" ht="12.75">
      <c r="P1" s="218" t="s">
        <v>1185</v>
      </c>
    </row>
    <row r="2" spans="1:16" s="219" customFormat="1" ht="18">
      <c r="A2" s="485" t="s">
        <v>1186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ht="12.75">
      <c r="P3" s="216" t="s">
        <v>1187</v>
      </c>
    </row>
    <row r="4" spans="1:16" s="221" customFormat="1" ht="67.5">
      <c r="A4" s="220" t="s">
        <v>1188</v>
      </c>
      <c r="B4" s="220" t="s">
        <v>1189</v>
      </c>
      <c r="C4" s="220" t="s">
        <v>1190</v>
      </c>
      <c r="D4" s="220" t="s">
        <v>1191</v>
      </c>
      <c r="E4" s="220" t="s">
        <v>1192</v>
      </c>
      <c r="F4" s="220" t="s">
        <v>1193</v>
      </c>
      <c r="G4" s="220" t="s">
        <v>1194</v>
      </c>
      <c r="H4" s="220" t="s">
        <v>1195</v>
      </c>
      <c r="I4" s="220" t="s">
        <v>1196</v>
      </c>
      <c r="J4" s="220" t="s">
        <v>1197</v>
      </c>
      <c r="K4" s="220" t="s">
        <v>1198</v>
      </c>
      <c r="L4" s="220" t="s">
        <v>1199</v>
      </c>
      <c r="M4" s="220" t="s">
        <v>1200</v>
      </c>
      <c r="N4" s="220" t="s">
        <v>1201</v>
      </c>
      <c r="O4" s="220" t="s">
        <v>1202</v>
      </c>
      <c r="P4" s="220" t="s">
        <v>1203</v>
      </c>
    </row>
    <row r="5" spans="1:6" s="216" customFormat="1" ht="11.25">
      <c r="A5" s="40">
        <v>1</v>
      </c>
      <c r="B5" s="216" t="s">
        <v>1204</v>
      </c>
      <c r="C5" s="216" t="s">
        <v>1205</v>
      </c>
      <c r="E5" s="222" t="s">
        <v>1206</v>
      </c>
      <c r="F5" s="223"/>
    </row>
    <row r="6" spans="1:16" s="225" customFormat="1" ht="11.25">
      <c r="A6" s="224"/>
      <c r="B6" s="225" t="s">
        <v>1207</v>
      </c>
      <c r="D6" s="225" t="s">
        <v>1208</v>
      </c>
      <c r="E6" s="224" t="s">
        <v>1209</v>
      </c>
      <c r="F6" s="226">
        <v>0.042</v>
      </c>
      <c r="G6" s="225">
        <v>11516.6</v>
      </c>
      <c r="L6" s="225">
        <v>568.7</v>
      </c>
      <c r="N6" s="225">
        <v>587</v>
      </c>
      <c r="P6" s="225">
        <v>9763.8</v>
      </c>
    </row>
    <row r="7" spans="1:6" s="216" customFormat="1" ht="11.25">
      <c r="A7" s="40">
        <v>2</v>
      </c>
      <c r="B7" s="216" t="s">
        <v>1204</v>
      </c>
      <c r="C7" s="216" t="s">
        <v>1210</v>
      </c>
      <c r="E7" s="222" t="s">
        <v>1211</v>
      </c>
      <c r="F7" s="223"/>
    </row>
    <row r="8" spans="1:16" s="225" customFormat="1" ht="11.25">
      <c r="A8" s="224"/>
      <c r="B8" s="225" t="s">
        <v>1207</v>
      </c>
      <c r="D8" s="225" t="s">
        <v>1212</v>
      </c>
      <c r="E8" s="224" t="s">
        <v>1213</v>
      </c>
      <c r="F8" s="226">
        <v>0.12</v>
      </c>
      <c r="G8" s="225">
        <v>406.4</v>
      </c>
      <c r="P8" s="225">
        <v>382.8</v>
      </c>
    </row>
    <row r="9" spans="1:6" s="216" customFormat="1" ht="11.25">
      <c r="A9" s="40">
        <v>3</v>
      </c>
      <c r="B9" s="216" t="s">
        <v>1204</v>
      </c>
      <c r="C9" s="216" t="s">
        <v>1205</v>
      </c>
      <c r="E9" s="222" t="s">
        <v>1211</v>
      </c>
      <c r="F9" s="223"/>
    </row>
    <row r="10" spans="1:16" s="225" customFormat="1" ht="11.25">
      <c r="A10" s="224"/>
      <c r="B10" s="225" t="s">
        <v>1207</v>
      </c>
      <c r="D10" s="225" t="s">
        <v>1214</v>
      </c>
      <c r="E10" s="224" t="s">
        <v>1215</v>
      </c>
      <c r="F10" s="226">
        <v>0.12</v>
      </c>
      <c r="G10" s="225">
        <v>37.6</v>
      </c>
      <c r="L10" s="225">
        <v>2.7</v>
      </c>
      <c r="M10" s="225">
        <v>0.3</v>
      </c>
      <c r="O10" s="225">
        <v>0.2</v>
      </c>
      <c r="P10" s="225">
        <v>32.2</v>
      </c>
    </row>
    <row r="11" spans="1:6" s="216" customFormat="1" ht="11.25">
      <c r="A11" s="40">
        <v>4</v>
      </c>
      <c r="B11" s="216" t="s">
        <v>1204</v>
      </c>
      <c r="C11" s="216" t="s">
        <v>1210</v>
      </c>
      <c r="E11" s="222" t="s">
        <v>1211</v>
      </c>
      <c r="F11" s="223"/>
    </row>
    <row r="12" spans="1:16" s="225" customFormat="1" ht="11.25">
      <c r="A12" s="224"/>
      <c r="B12" s="225" t="s">
        <v>1207</v>
      </c>
      <c r="D12" s="225" t="s">
        <v>1216</v>
      </c>
      <c r="E12" s="224" t="s">
        <v>1213</v>
      </c>
      <c r="F12" s="226">
        <v>0.12</v>
      </c>
      <c r="G12" s="225">
        <v>11.2</v>
      </c>
      <c r="L12" s="225">
        <v>0.7</v>
      </c>
      <c r="M12" s="225">
        <v>3</v>
      </c>
      <c r="N12" s="225">
        <v>0.4</v>
      </c>
      <c r="O12" s="225">
        <v>2</v>
      </c>
      <c r="P12" s="225">
        <v>4.8</v>
      </c>
    </row>
    <row r="13" spans="1:6" s="216" customFormat="1" ht="11.25">
      <c r="A13" s="40">
        <v>5</v>
      </c>
      <c r="B13" s="216" t="s">
        <v>1204</v>
      </c>
      <c r="C13" s="216" t="s">
        <v>1205</v>
      </c>
      <c r="E13" s="222" t="s">
        <v>1211</v>
      </c>
      <c r="F13" s="223"/>
    </row>
    <row r="14" spans="1:16" s="225" customFormat="1" ht="11.25">
      <c r="A14" s="224"/>
      <c r="B14" s="225" t="s">
        <v>1207</v>
      </c>
      <c r="D14" s="225" t="s">
        <v>1217</v>
      </c>
      <c r="E14" s="224" t="s">
        <v>1218</v>
      </c>
      <c r="F14" s="226">
        <v>0.12</v>
      </c>
      <c r="G14" s="225">
        <v>195</v>
      </c>
      <c r="P14" s="225">
        <v>183.7</v>
      </c>
    </row>
    <row r="15" spans="1:6" s="216" customFormat="1" ht="11.25">
      <c r="A15" s="40">
        <v>6</v>
      </c>
      <c r="B15" s="216" t="s">
        <v>1204</v>
      </c>
      <c r="C15" s="216" t="s">
        <v>1205</v>
      </c>
      <c r="E15" s="222" t="s">
        <v>1211</v>
      </c>
      <c r="F15" s="223"/>
    </row>
    <row r="16" spans="1:16" s="225" customFormat="1" ht="11.25">
      <c r="A16" s="224"/>
      <c r="B16" s="225" t="s">
        <v>1207</v>
      </c>
      <c r="D16" s="225" t="s">
        <v>1219</v>
      </c>
      <c r="E16" s="224" t="s">
        <v>1220</v>
      </c>
      <c r="F16" s="226">
        <v>0.12</v>
      </c>
      <c r="G16" s="225">
        <v>346.7</v>
      </c>
      <c r="P16" s="225">
        <v>326.6</v>
      </c>
    </row>
    <row r="17" spans="1:6" s="216" customFormat="1" ht="11.25">
      <c r="A17" s="40">
        <v>7</v>
      </c>
      <c r="B17" s="216" t="s">
        <v>1204</v>
      </c>
      <c r="C17" s="216" t="s">
        <v>1221</v>
      </c>
      <c r="E17" s="222" t="s">
        <v>1222</v>
      </c>
      <c r="F17" s="216" t="s">
        <v>1223</v>
      </c>
    </row>
    <row r="18" spans="1:16" s="225" customFormat="1" ht="11.25">
      <c r="A18" s="224"/>
      <c r="B18" s="225" t="s">
        <v>1207</v>
      </c>
      <c r="D18" s="225" t="s">
        <v>1224</v>
      </c>
      <c r="E18" s="224" t="s">
        <v>1225</v>
      </c>
      <c r="F18" s="227">
        <v>-0.002</v>
      </c>
      <c r="G18" s="225">
        <v>5235.6</v>
      </c>
      <c r="L18" s="225">
        <v>252.1</v>
      </c>
      <c r="N18" s="225">
        <v>258.6</v>
      </c>
      <c r="P18" s="225">
        <v>4438.7</v>
      </c>
    </row>
    <row r="19" spans="1:6" s="216" customFormat="1" ht="11.25">
      <c r="A19" s="40">
        <v>8</v>
      </c>
      <c r="B19" s="216" t="s">
        <v>1204</v>
      </c>
      <c r="C19" s="216" t="s">
        <v>1205</v>
      </c>
      <c r="E19" s="222" t="s">
        <v>1226</v>
      </c>
      <c r="F19" s="216" t="s">
        <v>1223</v>
      </c>
    </row>
    <row r="20" spans="1:16" s="225" customFormat="1" ht="11.25">
      <c r="A20" s="224"/>
      <c r="B20" s="225" t="s">
        <v>1207</v>
      </c>
      <c r="D20" s="225" t="s">
        <v>1227</v>
      </c>
      <c r="E20" s="224" t="s">
        <v>1228</v>
      </c>
      <c r="F20" s="227">
        <v>-0.002</v>
      </c>
      <c r="G20" s="225">
        <v>10217.9</v>
      </c>
      <c r="I20" s="225">
        <v>404.1</v>
      </c>
      <c r="M20" s="225">
        <v>526</v>
      </c>
      <c r="O20" s="225">
        <v>516</v>
      </c>
      <c r="P20" s="225">
        <v>9009.6</v>
      </c>
    </row>
    <row r="21" spans="1:5" s="216" customFormat="1" ht="11.25">
      <c r="A21" s="40">
        <v>9</v>
      </c>
      <c r="B21" s="216" t="s">
        <v>754</v>
      </c>
      <c r="C21" s="216" t="s">
        <v>1221</v>
      </c>
      <c r="E21" s="222" t="s">
        <v>1229</v>
      </c>
    </row>
    <row r="22" spans="1:16" s="225" customFormat="1" ht="11.25">
      <c r="A22" s="224"/>
      <c r="D22" s="225" t="s">
        <v>1230</v>
      </c>
      <c r="E22" s="224" t="s">
        <v>1231</v>
      </c>
      <c r="F22" s="228" t="s">
        <v>692</v>
      </c>
      <c r="G22" s="225">
        <v>1167.6</v>
      </c>
      <c r="L22" s="225">
        <v>85.3</v>
      </c>
      <c r="N22" s="225">
        <v>89.1</v>
      </c>
      <c r="P22" s="225">
        <v>1052.3</v>
      </c>
    </row>
    <row r="23" spans="1:5" s="216" customFormat="1" ht="11.25">
      <c r="A23" s="40">
        <v>10</v>
      </c>
      <c r="B23" s="216" t="s">
        <v>754</v>
      </c>
      <c r="C23" s="216" t="s">
        <v>1205</v>
      </c>
      <c r="E23" s="222" t="s">
        <v>1232</v>
      </c>
    </row>
    <row r="24" spans="1:16" s="225" customFormat="1" ht="11.25">
      <c r="A24" s="224"/>
      <c r="D24" s="225" t="s">
        <v>1233</v>
      </c>
      <c r="E24" s="224" t="s">
        <v>1234</v>
      </c>
      <c r="F24" s="228" t="s">
        <v>692</v>
      </c>
      <c r="G24" s="225">
        <v>261.5</v>
      </c>
      <c r="M24" s="225">
        <v>17.9</v>
      </c>
      <c r="O24" s="225">
        <v>18.5</v>
      </c>
      <c r="P24" s="225">
        <v>238.3</v>
      </c>
    </row>
    <row r="25" spans="1:7" s="216" customFormat="1" ht="10.5" customHeight="1">
      <c r="A25" s="40">
        <v>11</v>
      </c>
      <c r="B25" s="216" t="s">
        <v>754</v>
      </c>
      <c r="C25" s="216" t="s">
        <v>1235</v>
      </c>
      <c r="D25" s="3"/>
      <c r="E25" s="222" t="s">
        <v>1236</v>
      </c>
      <c r="G25" s="3"/>
    </row>
    <row r="26" spans="1:16" s="225" customFormat="1" ht="11.25">
      <c r="A26" s="224"/>
      <c r="D26" s="225" t="s">
        <v>1237</v>
      </c>
      <c r="E26" s="224" t="s">
        <v>1231</v>
      </c>
      <c r="F26" s="228" t="s">
        <v>692</v>
      </c>
      <c r="G26" s="225">
        <v>37.4</v>
      </c>
      <c r="L26" s="225">
        <v>2.7</v>
      </c>
      <c r="N26" s="225">
        <v>2.9</v>
      </c>
      <c r="P26" s="225">
        <v>33.7</v>
      </c>
    </row>
    <row r="27" spans="1:7" s="216" customFormat="1" ht="10.5" customHeight="1">
      <c r="A27" s="40">
        <v>12</v>
      </c>
      <c r="B27" s="216" t="s">
        <v>754</v>
      </c>
      <c r="C27" s="216" t="s">
        <v>1205</v>
      </c>
      <c r="D27" s="3"/>
      <c r="E27" s="222" t="s">
        <v>1238</v>
      </c>
      <c r="G27" s="3"/>
    </row>
    <row r="28" spans="1:16" s="225" customFormat="1" ht="11.25">
      <c r="A28" s="224"/>
      <c r="D28" s="225" t="s">
        <v>1239</v>
      </c>
      <c r="E28" s="224" t="s">
        <v>1231</v>
      </c>
      <c r="F28" s="228" t="s">
        <v>692</v>
      </c>
      <c r="G28" s="225">
        <v>104.2</v>
      </c>
      <c r="L28" s="225">
        <v>7.6</v>
      </c>
      <c r="N28" s="225">
        <v>7.9</v>
      </c>
      <c r="P28" s="225">
        <v>93.9</v>
      </c>
    </row>
    <row r="29" spans="1:5" s="216" customFormat="1" ht="11.25">
      <c r="A29" s="40">
        <v>13</v>
      </c>
      <c r="B29" s="216" t="s">
        <v>754</v>
      </c>
      <c r="C29" s="216" t="s">
        <v>1205</v>
      </c>
      <c r="E29" s="222" t="s">
        <v>1240</v>
      </c>
    </row>
    <row r="30" spans="1:16" s="225" customFormat="1" ht="11.25">
      <c r="A30" s="224"/>
      <c r="D30" s="225" t="s">
        <v>1241</v>
      </c>
      <c r="E30" s="224" t="s">
        <v>1242</v>
      </c>
      <c r="F30" s="228" t="s">
        <v>692</v>
      </c>
      <c r="G30" s="225">
        <v>504.8</v>
      </c>
      <c r="L30" s="225">
        <v>34.5</v>
      </c>
      <c r="N30" s="225">
        <v>35.9</v>
      </c>
      <c r="P30" s="225">
        <v>460</v>
      </c>
    </row>
    <row r="31" spans="1:5" s="216" customFormat="1" ht="11.25">
      <c r="A31" s="40">
        <v>14</v>
      </c>
      <c r="B31" s="216" t="s">
        <v>754</v>
      </c>
      <c r="C31" s="216" t="s">
        <v>1205</v>
      </c>
      <c r="E31" s="222" t="s">
        <v>1243</v>
      </c>
    </row>
    <row r="32" spans="1:16" s="225" customFormat="1" ht="11.25">
      <c r="A32" s="224"/>
      <c r="D32" s="225" t="s">
        <v>1244</v>
      </c>
      <c r="E32" s="224" t="s">
        <v>1231</v>
      </c>
      <c r="F32" s="228" t="s">
        <v>692</v>
      </c>
      <c r="G32" s="225">
        <v>248.1</v>
      </c>
      <c r="L32" s="225">
        <v>18.1</v>
      </c>
      <c r="N32" s="225">
        <v>18.9</v>
      </c>
      <c r="P32" s="225">
        <v>223.6</v>
      </c>
    </row>
    <row r="33" spans="1:5" s="216" customFormat="1" ht="11.25">
      <c r="A33" s="40">
        <v>15</v>
      </c>
      <c r="B33" s="216" t="s">
        <v>754</v>
      </c>
      <c r="C33" s="216" t="s">
        <v>1205</v>
      </c>
      <c r="E33" s="222" t="s">
        <v>1245</v>
      </c>
    </row>
    <row r="34" spans="1:16" s="225" customFormat="1" ht="11.25">
      <c r="A34" s="224"/>
      <c r="D34" s="225" t="s">
        <v>1246</v>
      </c>
      <c r="E34" s="224" t="s">
        <v>1231</v>
      </c>
      <c r="F34" s="228" t="s">
        <v>692</v>
      </c>
      <c r="G34" s="225">
        <v>307.2</v>
      </c>
      <c r="L34" s="225">
        <v>22.4</v>
      </c>
      <c r="N34" s="225">
        <v>23.4</v>
      </c>
      <c r="P34" s="225">
        <v>276.8</v>
      </c>
    </row>
    <row r="35" spans="1:5" s="216" customFormat="1" ht="11.25">
      <c r="A35" s="40">
        <v>16</v>
      </c>
      <c r="B35" s="216" t="s">
        <v>754</v>
      </c>
      <c r="C35" s="216" t="s">
        <v>1205</v>
      </c>
      <c r="E35" s="222" t="s">
        <v>1238</v>
      </c>
    </row>
    <row r="36" spans="1:16" s="225" customFormat="1" ht="11.25">
      <c r="A36" s="224"/>
      <c r="D36" s="225" t="s">
        <v>1247</v>
      </c>
      <c r="E36" s="224" t="s">
        <v>1231</v>
      </c>
      <c r="F36" s="228" t="s">
        <v>692</v>
      </c>
      <c r="G36" s="225">
        <v>155.3</v>
      </c>
      <c r="L36" s="225">
        <v>11.3</v>
      </c>
      <c r="N36" s="225">
        <v>11.8</v>
      </c>
      <c r="P36" s="225">
        <v>140</v>
      </c>
    </row>
    <row r="37" spans="1:5" s="216" customFormat="1" ht="11.25">
      <c r="A37" s="40">
        <v>17</v>
      </c>
      <c r="B37" s="216" t="s">
        <v>754</v>
      </c>
      <c r="C37" s="216" t="s">
        <v>1205</v>
      </c>
      <c r="E37" s="222" t="s">
        <v>1248</v>
      </c>
    </row>
    <row r="38" spans="1:16" s="225" customFormat="1" ht="11.25">
      <c r="A38" s="224"/>
      <c r="D38" s="225" t="s">
        <v>1249</v>
      </c>
      <c r="E38" s="224" t="s">
        <v>1231</v>
      </c>
      <c r="F38" s="228" t="s">
        <v>692</v>
      </c>
      <c r="G38" s="225">
        <v>127.1</v>
      </c>
      <c r="L38" s="225">
        <v>9.3</v>
      </c>
      <c r="N38" s="225">
        <v>5</v>
      </c>
      <c r="O38" s="225">
        <v>4.6</v>
      </c>
      <c r="P38" s="225">
        <v>114.6</v>
      </c>
    </row>
    <row r="39" spans="1:5" s="216" customFormat="1" ht="11.25">
      <c r="A39" s="40">
        <v>18</v>
      </c>
      <c r="B39" s="216" t="s">
        <v>754</v>
      </c>
      <c r="C39" s="216" t="s">
        <v>1205</v>
      </c>
      <c r="E39" s="222" t="s">
        <v>1243</v>
      </c>
    </row>
    <row r="40" spans="1:16" s="225" customFormat="1" ht="11.25">
      <c r="A40" s="224"/>
      <c r="D40" s="225" t="s">
        <v>1250</v>
      </c>
      <c r="E40" s="224" t="s">
        <v>1231</v>
      </c>
      <c r="F40" s="228" t="s">
        <v>692</v>
      </c>
      <c r="G40" s="225">
        <v>231.1</v>
      </c>
      <c r="L40" s="225">
        <v>16.9</v>
      </c>
      <c r="N40" s="225">
        <v>17.6</v>
      </c>
      <c r="P40" s="225">
        <v>208.3</v>
      </c>
    </row>
    <row r="41" spans="1:5" s="216" customFormat="1" ht="11.25">
      <c r="A41" s="40">
        <v>19</v>
      </c>
      <c r="B41" s="216" t="s">
        <v>754</v>
      </c>
      <c r="C41" s="216" t="s">
        <v>1205</v>
      </c>
      <c r="E41" s="222" t="s">
        <v>1243</v>
      </c>
    </row>
    <row r="42" spans="1:16" s="225" customFormat="1" ht="11.25">
      <c r="A42" s="224"/>
      <c r="D42" s="225" t="s">
        <v>1251</v>
      </c>
      <c r="E42" s="224" t="s">
        <v>1231</v>
      </c>
      <c r="F42" s="228" t="s">
        <v>692</v>
      </c>
      <c r="G42" s="225">
        <v>297.1</v>
      </c>
      <c r="L42" s="225">
        <v>21.6</v>
      </c>
      <c r="N42" s="225">
        <v>22.7</v>
      </c>
      <c r="P42" s="225">
        <v>267.7</v>
      </c>
    </row>
    <row r="43" spans="1:5" s="216" customFormat="1" ht="11.25">
      <c r="A43" s="40">
        <v>20</v>
      </c>
      <c r="B43" s="216" t="s">
        <v>754</v>
      </c>
      <c r="C43" s="216" t="s">
        <v>1205</v>
      </c>
      <c r="E43" s="222" t="s">
        <v>1248</v>
      </c>
    </row>
    <row r="44" spans="1:16" s="225" customFormat="1" ht="11.25">
      <c r="A44" s="224"/>
      <c r="D44" s="225" t="s">
        <v>1252</v>
      </c>
      <c r="E44" s="224" t="s">
        <v>1231</v>
      </c>
      <c r="F44" s="228" t="s">
        <v>692</v>
      </c>
      <c r="G44" s="225">
        <v>594.6</v>
      </c>
      <c r="L44" s="225">
        <v>43.3</v>
      </c>
      <c r="N44" s="225">
        <v>45.4</v>
      </c>
      <c r="P44" s="225">
        <v>535.9</v>
      </c>
    </row>
    <row r="45" spans="1:6" s="229" customFormat="1" ht="11.25">
      <c r="A45" s="40">
        <v>21</v>
      </c>
      <c r="B45" s="216" t="s">
        <v>754</v>
      </c>
      <c r="C45" s="229" t="s">
        <v>1205</v>
      </c>
      <c r="E45" s="222" t="s">
        <v>1253</v>
      </c>
      <c r="F45" s="216"/>
    </row>
    <row r="46" spans="1:7" s="225" customFormat="1" ht="11.25">
      <c r="A46" s="224"/>
      <c r="D46" s="225" t="s">
        <v>1254</v>
      </c>
      <c r="E46" s="224" t="s">
        <v>1255</v>
      </c>
      <c r="F46" s="228" t="s">
        <v>692</v>
      </c>
      <c r="G46" s="225">
        <v>1461.2</v>
      </c>
    </row>
    <row r="47" spans="1:5" s="216" customFormat="1" ht="11.25">
      <c r="A47" s="40">
        <v>22</v>
      </c>
      <c r="B47" s="216" t="s">
        <v>741</v>
      </c>
      <c r="E47" s="222" t="s">
        <v>1253</v>
      </c>
    </row>
    <row r="48" spans="1:16" s="225" customFormat="1" ht="11.25">
      <c r="A48" s="224"/>
      <c r="B48" s="225" t="s">
        <v>1256</v>
      </c>
      <c r="C48" s="225" t="s">
        <v>1221</v>
      </c>
      <c r="D48" s="225" t="s">
        <v>782</v>
      </c>
      <c r="E48" s="224" t="s">
        <v>1257</v>
      </c>
      <c r="F48" s="228" t="s">
        <v>692</v>
      </c>
      <c r="G48" s="225">
        <v>1048.4</v>
      </c>
      <c r="L48" s="225">
        <v>77.7</v>
      </c>
      <c r="N48" s="225">
        <v>74.3</v>
      </c>
      <c r="P48" s="225">
        <v>856.8</v>
      </c>
    </row>
    <row r="49" spans="1:5" s="216" customFormat="1" ht="11.25">
      <c r="A49" s="40">
        <v>23</v>
      </c>
      <c r="B49" s="216" t="s">
        <v>741</v>
      </c>
      <c r="C49" s="216" t="s">
        <v>1205</v>
      </c>
      <c r="E49" s="222" t="s">
        <v>1258</v>
      </c>
    </row>
    <row r="50" spans="1:16" s="225" customFormat="1" ht="11.25">
      <c r="A50" s="224"/>
      <c r="B50" s="225" t="s">
        <v>1256</v>
      </c>
      <c r="D50" s="225" t="s">
        <v>1259</v>
      </c>
      <c r="E50" s="224" t="s">
        <v>1260</v>
      </c>
      <c r="F50" s="228" t="s">
        <v>692</v>
      </c>
      <c r="G50" s="225">
        <v>20.6</v>
      </c>
      <c r="N50" s="225">
        <v>1.6</v>
      </c>
      <c r="O50" s="225">
        <v>1.6</v>
      </c>
      <c r="P50" s="225">
        <v>16.6</v>
      </c>
    </row>
    <row r="51" spans="1:7" s="216" customFormat="1" ht="10.5" customHeight="1">
      <c r="A51" s="40">
        <v>24</v>
      </c>
      <c r="B51" s="216" t="s">
        <v>635</v>
      </c>
      <c r="C51" s="216" t="s">
        <v>1261</v>
      </c>
      <c r="D51" s="3"/>
      <c r="E51" s="222" t="s">
        <v>1262</v>
      </c>
      <c r="G51" s="3"/>
    </row>
    <row r="52" spans="1:16" s="225" customFormat="1" ht="11.25">
      <c r="A52" s="224"/>
      <c r="C52" s="225" t="s">
        <v>1263</v>
      </c>
      <c r="D52" s="225" t="s">
        <v>1264</v>
      </c>
      <c r="E52" s="224" t="s">
        <v>1265</v>
      </c>
      <c r="F52" s="227" t="s">
        <v>1108</v>
      </c>
      <c r="G52" s="225">
        <v>130.1</v>
      </c>
      <c r="P52" s="225">
        <v>42.1</v>
      </c>
    </row>
    <row r="53" spans="1:7" s="216" customFormat="1" ht="10.5" customHeight="1">
      <c r="A53" s="40">
        <v>25</v>
      </c>
      <c r="B53" s="216" t="s">
        <v>698</v>
      </c>
      <c r="C53" s="216" t="s">
        <v>1266</v>
      </c>
      <c r="D53" s="3"/>
      <c r="E53" s="222" t="s">
        <v>1267</v>
      </c>
      <c r="G53" s="3"/>
    </row>
    <row r="54" spans="1:7" s="225" customFormat="1" ht="11.25">
      <c r="A54" s="224"/>
      <c r="D54" s="225" t="s">
        <v>1268</v>
      </c>
      <c r="E54" s="224" t="s">
        <v>1269</v>
      </c>
      <c r="F54" s="227">
        <v>0.09325</v>
      </c>
      <c r="G54" s="225">
        <v>901.2</v>
      </c>
    </row>
    <row r="55" spans="1:5" s="216" customFormat="1" ht="11.25">
      <c r="A55" s="40">
        <v>26</v>
      </c>
      <c r="B55" s="216" t="s">
        <v>698</v>
      </c>
      <c r="C55" s="216" t="s">
        <v>1266</v>
      </c>
      <c r="E55" s="222" t="s">
        <v>1270</v>
      </c>
    </row>
    <row r="56" spans="1:16" s="225" customFormat="1" ht="11.25">
      <c r="A56" s="224"/>
      <c r="D56" s="225" t="s">
        <v>1271</v>
      </c>
      <c r="E56" s="224" t="s">
        <v>1272</v>
      </c>
      <c r="F56" s="227">
        <v>0.15325</v>
      </c>
      <c r="G56" s="225">
        <v>1340.9</v>
      </c>
      <c r="P56" s="225">
        <v>1409.9</v>
      </c>
    </row>
    <row r="57" spans="1:5" s="216" customFormat="1" ht="11.25">
      <c r="A57" s="40">
        <v>27</v>
      </c>
      <c r="B57" s="216" t="s">
        <v>698</v>
      </c>
      <c r="C57" s="216" t="s">
        <v>1266</v>
      </c>
      <c r="E57" s="222" t="s">
        <v>1273</v>
      </c>
    </row>
    <row r="58" spans="1:16" s="225" customFormat="1" ht="11.25">
      <c r="A58" s="224"/>
      <c r="D58" s="225" t="s">
        <v>1274</v>
      </c>
      <c r="E58" s="224" t="s">
        <v>1275</v>
      </c>
      <c r="F58" s="227">
        <v>0.15325</v>
      </c>
      <c r="G58" s="225">
        <v>911.6</v>
      </c>
      <c r="P58" s="225">
        <v>958.6</v>
      </c>
    </row>
    <row r="59" spans="1:5" s="216" customFormat="1" ht="11.25">
      <c r="A59" s="40">
        <v>28</v>
      </c>
      <c r="B59" s="216" t="s">
        <v>698</v>
      </c>
      <c r="C59" s="216" t="s">
        <v>1266</v>
      </c>
      <c r="E59" s="222" t="s">
        <v>1270</v>
      </c>
    </row>
    <row r="60" spans="1:16" s="225" customFormat="1" ht="11.25">
      <c r="A60" s="224"/>
      <c r="D60" s="225" t="s">
        <v>1276</v>
      </c>
      <c r="E60" s="224" t="s">
        <v>1277</v>
      </c>
      <c r="F60" s="227">
        <v>0.15325</v>
      </c>
      <c r="G60" s="225">
        <v>425.6</v>
      </c>
      <c r="P60" s="225">
        <v>447.5</v>
      </c>
    </row>
    <row r="61" spans="1:5" s="216" customFormat="1" ht="11.25">
      <c r="A61" s="40">
        <v>29</v>
      </c>
      <c r="B61" s="216" t="s">
        <v>698</v>
      </c>
      <c r="C61" s="216" t="s">
        <v>1266</v>
      </c>
      <c r="E61" s="222" t="s">
        <v>1270</v>
      </c>
    </row>
    <row r="62" spans="1:16" s="225" customFormat="1" ht="11.25">
      <c r="A62" s="224"/>
      <c r="D62" s="225" t="s">
        <v>1278</v>
      </c>
      <c r="E62" s="224" t="s">
        <v>1277</v>
      </c>
      <c r="F62" s="227">
        <v>0.15325</v>
      </c>
      <c r="G62" s="225">
        <v>116.6</v>
      </c>
      <c r="P62" s="225">
        <v>122.6</v>
      </c>
    </row>
    <row r="63" spans="1:5" s="216" customFormat="1" ht="11.25">
      <c r="A63" s="40">
        <v>30</v>
      </c>
      <c r="B63" s="216" t="s">
        <v>698</v>
      </c>
      <c r="C63" s="216" t="s">
        <v>1266</v>
      </c>
      <c r="E63" s="222" t="s">
        <v>1270</v>
      </c>
    </row>
    <row r="64" spans="1:16" s="225" customFormat="1" ht="11.25">
      <c r="A64" s="224"/>
      <c r="D64" s="225" t="s">
        <v>1279</v>
      </c>
      <c r="E64" s="224" t="s">
        <v>1280</v>
      </c>
      <c r="F64" s="227">
        <v>0.15325</v>
      </c>
      <c r="G64" s="225">
        <v>116.6</v>
      </c>
      <c r="P64" s="225">
        <v>122.6</v>
      </c>
    </row>
    <row r="65" spans="1:5" s="216" customFormat="1" ht="11.25">
      <c r="A65" s="40">
        <v>31</v>
      </c>
      <c r="B65" s="216" t="s">
        <v>698</v>
      </c>
      <c r="C65" s="216" t="s">
        <v>1266</v>
      </c>
      <c r="E65" s="222" t="s">
        <v>1270</v>
      </c>
    </row>
    <row r="66" spans="1:16" s="225" customFormat="1" ht="11.25">
      <c r="A66" s="224"/>
      <c r="D66" s="225" t="s">
        <v>1281</v>
      </c>
      <c r="E66" s="224" t="s">
        <v>1277</v>
      </c>
      <c r="F66" s="227">
        <v>0.15325</v>
      </c>
      <c r="G66" s="225">
        <v>94.7</v>
      </c>
      <c r="P66" s="225">
        <v>99.5</v>
      </c>
    </row>
    <row r="67" spans="1:5" s="216" customFormat="1" ht="11.25">
      <c r="A67" s="40">
        <v>32</v>
      </c>
      <c r="B67" s="216" t="s">
        <v>698</v>
      </c>
      <c r="C67" s="216" t="s">
        <v>1266</v>
      </c>
      <c r="E67" s="222" t="s">
        <v>1273</v>
      </c>
    </row>
    <row r="68" spans="1:16" s="225" customFormat="1" ht="11.25">
      <c r="A68" s="224"/>
      <c r="D68" s="225" t="s">
        <v>1282</v>
      </c>
      <c r="E68" s="224" t="s">
        <v>1283</v>
      </c>
      <c r="F68" s="227">
        <v>0.15325</v>
      </c>
      <c r="G68" s="225">
        <v>1725.7</v>
      </c>
      <c r="P68" s="225">
        <v>1814.5</v>
      </c>
    </row>
    <row r="69" spans="1:5" s="216" customFormat="1" ht="11.25">
      <c r="A69" s="40">
        <v>33</v>
      </c>
      <c r="B69" s="216" t="s">
        <v>698</v>
      </c>
      <c r="C69" s="216" t="s">
        <v>1266</v>
      </c>
      <c r="E69" s="222" t="s">
        <v>1284</v>
      </c>
    </row>
    <row r="70" spans="1:16" s="225" customFormat="1" ht="11.25">
      <c r="A70" s="224"/>
      <c r="D70" s="225" t="s">
        <v>1285</v>
      </c>
      <c r="E70" s="224" t="s">
        <v>1286</v>
      </c>
      <c r="F70" s="227">
        <v>0.15325</v>
      </c>
      <c r="G70" s="225">
        <v>1749</v>
      </c>
      <c r="P70" s="225">
        <v>1839</v>
      </c>
    </row>
    <row r="71" spans="1:5" s="216" customFormat="1" ht="11.25">
      <c r="A71" s="40">
        <v>34</v>
      </c>
      <c r="B71" s="216" t="s">
        <v>698</v>
      </c>
      <c r="C71" s="216" t="s">
        <v>1266</v>
      </c>
      <c r="E71" s="222" t="s">
        <v>1273</v>
      </c>
    </row>
    <row r="72" spans="1:16" s="225" customFormat="1" ht="11.25">
      <c r="A72" s="224"/>
      <c r="D72" s="225" t="s">
        <v>1287</v>
      </c>
      <c r="E72" s="224" t="s">
        <v>1288</v>
      </c>
      <c r="F72" s="227">
        <v>0.15325</v>
      </c>
      <c r="G72" s="225">
        <v>1749</v>
      </c>
      <c r="P72" s="225">
        <v>1839</v>
      </c>
    </row>
    <row r="73" spans="1:5" s="216" customFormat="1" ht="11.25">
      <c r="A73" s="40">
        <v>35</v>
      </c>
      <c r="B73" s="216" t="s">
        <v>698</v>
      </c>
      <c r="C73" s="216" t="s">
        <v>1266</v>
      </c>
      <c r="E73" s="222" t="s">
        <v>1273</v>
      </c>
    </row>
    <row r="74" spans="1:16" s="225" customFormat="1" ht="11.25">
      <c r="A74" s="224"/>
      <c r="D74" s="225" t="s">
        <v>1289</v>
      </c>
      <c r="E74" s="224" t="s">
        <v>1288</v>
      </c>
      <c r="F74" s="227">
        <v>0.15325</v>
      </c>
      <c r="G74" s="225">
        <v>116.6</v>
      </c>
      <c r="P74" s="225">
        <v>122.6</v>
      </c>
    </row>
    <row r="75" spans="1:5" s="216" customFormat="1" ht="11.25">
      <c r="A75" s="40">
        <v>36</v>
      </c>
      <c r="B75" s="216" t="s">
        <v>698</v>
      </c>
      <c r="C75" s="216" t="s">
        <v>1266</v>
      </c>
      <c r="E75" s="222" t="s">
        <v>1273</v>
      </c>
    </row>
    <row r="76" spans="1:16" s="225" customFormat="1" ht="11.25">
      <c r="A76" s="224"/>
      <c r="D76" s="225" t="s">
        <v>1290</v>
      </c>
      <c r="E76" s="224" t="s">
        <v>1288</v>
      </c>
      <c r="F76" s="227">
        <v>0.15325</v>
      </c>
      <c r="G76" s="225">
        <v>475.1</v>
      </c>
      <c r="P76" s="225">
        <v>499.6</v>
      </c>
    </row>
    <row r="77" spans="1:6" s="216" customFormat="1" ht="11.25">
      <c r="A77" s="40">
        <v>37</v>
      </c>
      <c r="B77" s="216" t="s">
        <v>698</v>
      </c>
      <c r="C77" s="216" t="s">
        <v>1266</v>
      </c>
      <c r="E77" s="222" t="s">
        <v>1273</v>
      </c>
      <c r="F77" s="230" t="s">
        <v>1291</v>
      </c>
    </row>
    <row r="78" spans="1:13" s="225" customFormat="1" ht="11.25">
      <c r="A78" s="224"/>
      <c r="D78" s="225" t="s">
        <v>1292</v>
      </c>
      <c r="E78" s="224" t="s">
        <v>1293</v>
      </c>
      <c r="F78" s="227">
        <v>0.15325</v>
      </c>
      <c r="G78" s="225">
        <v>237.4</v>
      </c>
      <c r="M78" s="225">
        <v>235.9</v>
      </c>
    </row>
    <row r="79" spans="1:5" s="216" customFormat="1" ht="11.25">
      <c r="A79" s="40">
        <v>38</v>
      </c>
      <c r="B79" s="216" t="s">
        <v>698</v>
      </c>
      <c r="C79" s="216" t="s">
        <v>1266</v>
      </c>
      <c r="E79" s="222" t="s">
        <v>1294</v>
      </c>
    </row>
    <row r="80" spans="1:16" s="225" customFormat="1" ht="11.25">
      <c r="A80" s="224"/>
      <c r="D80" s="225" t="s">
        <v>1295</v>
      </c>
      <c r="E80" s="224" t="s">
        <v>1296</v>
      </c>
      <c r="F80" s="227">
        <v>0.15325</v>
      </c>
      <c r="G80" s="225">
        <v>71.2</v>
      </c>
      <c r="P80" s="225">
        <v>74.8</v>
      </c>
    </row>
    <row r="81" spans="1:5" s="216" customFormat="1" ht="11.25">
      <c r="A81" s="40">
        <v>39</v>
      </c>
      <c r="B81" s="216" t="s">
        <v>698</v>
      </c>
      <c r="C81" s="216" t="s">
        <v>1266</v>
      </c>
      <c r="E81" s="222" t="s">
        <v>1270</v>
      </c>
    </row>
    <row r="82" spans="1:16" s="225" customFormat="1" ht="11.25">
      <c r="A82" s="224"/>
      <c r="D82" s="225" t="s">
        <v>1297</v>
      </c>
      <c r="E82" s="224" t="s">
        <v>1277</v>
      </c>
      <c r="F82" s="227">
        <v>0.15325</v>
      </c>
      <c r="G82" s="225">
        <v>3.5</v>
      </c>
      <c r="P82" s="225">
        <v>3.7</v>
      </c>
    </row>
    <row r="83" spans="1:7" s="216" customFormat="1" ht="11.25">
      <c r="A83" s="40">
        <v>40</v>
      </c>
      <c r="B83" s="216" t="s">
        <v>698</v>
      </c>
      <c r="C83" s="216" t="s">
        <v>1266</v>
      </c>
      <c r="D83" s="229"/>
      <c r="E83" s="222" t="s">
        <v>1298</v>
      </c>
      <c r="G83" s="229"/>
    </row>
    <row r="84" spans="1:16" s="225" customFormat="1" ht="11.25">
      <c r="A84" s="224"/>
      <c r="D84" s="225" t="s">
        <v>1299</v>
      </c>
      <c r="E84" s="224" t="s">
        <v>1300</v>
      </c>
      <c r="F84" s="227">
        <v>0.15325</v>
      </c>
      <c r="G84" s="225">
        <v>82.8</v>
      </c>
      <c r="P84" s="225">
        <v>87</v>
      </c>
    </row>
    <row r="85" spans="1:5" s="216" customFormat="1" ht="11.25">
      <c r="A85" s="40">
        <v>41</v>
      </c>
      <c r="B85" s="216" t="s">
        <v>698</v>
      </c>
      <c r="C85" s="216" t="s">
        <v>1266</v>
      </c>
      <c r="E85" s="222" t="s">
        <v>1298</v>
      </c>
    </row>
    <row r="86" spans="1:16" s="225" customFormat="1" ht="11.25">
      <c r="A86" s="224"/>
      <c r="D86" s="225" t="s">
        <v>1301</v>
      </c>
      <c r="E86" s="224" t="s">
        <v>1302</v>
      </c>
      <c r="F86" s="227">
        <v>0.15325</v>
      </c>
      <c r="G86" s="225">
        <v>63</v>
      </c>
      <c r="P86" s="225">
        <v>66.3</v>
      </c>
    </row>
    <row r="87" spans="1:5" s="216" customFormat="1" ht="11.25">
      <c r="A87" s="40">
        <v>42</v>
      </c>
      <c r="B87" s="216" t="s">
        <v>698</v>
      </c>
      <c r="C87" s="216" t="s">
        <v>1266</v>
      </c>
      <c r="E87" s="222" t="s">
        <v>1270</v>
      </c>
    </row>
    <row r="88" spans="1:16" s="225" customFormat="1" ht="11.25">
      <c r="A88" s="224"/>
      <c r="D88" s="225" t="s">
        <v>1303</v>
      </c>
      <c r="E88" s="224" t="s">
        <v>1277</v>
      </c>
      <c r="F88" s="227">
        <v>0.15325</v>
      </c>
      <c r="G88" s="225">
        <v>42.3</v>
      </c>
      <c r="P88" s="225">
        <v>44.5</v>
      </c>
    </row>
    <row r="89" spans="1:5" s="216" customFormat="1" ht="11.25">
      <c r="A89" s="40">
        <v>43</v>
      </c>
      <c r="B89" s="216" t="s">
        <v>698</v>
      </c>
      <c r="C89" s="216" t="s">
        <v>1266</v>
      </c>
      <c r="E89" s="222" t="s">
        <v>1298</v>
      </c>
    </row>
    <row r="90" spans="1:16" s="225" customFormat="1" ht="11.25">
      <c r="A90" s="224"/>
      <c r="D90" s="225" t="s">
        <v>1304</v>
      </c>
      <c r="E90" s="224" t="s">
        <v>1300</v>
      </c>
      <c r="F90" s="227">
        <v>0.15325</v>
      </c>
      <c r="G90" s="225">
        <v>46.6</v>
      </c>
      <c r="P90" s="225">
        <v>49</v>
      </c>
    </row>
    <row r="91" spans="1:5" s="216" customFormat="1" ht="11.25">
      <c r="A91" s="40">
        <v>44</v>
      </c>
      <c r="B91" s="216" t="s">
        <v>698</v>
      </c>
      <c r="C91" s="216" t="s">
        <v>1266</v>
      </c>
      <c r="E91" s="222" t="s">
        <v>1267</v>
      </c>
    </row>
    <row r="92" spans="1:16" s="225" customFormat="1" ht="11.25">
      <c r="A92" s="224"/>
      <c r="D92" s="225" t="s">
        <v>1305</v>
      </c>
      <c r="E92" s="224" t="s">
        <v>1269</v>
      </c>
      <c r="F92" s="227">
        <v>0.08825</v>
      </c>
      <c r="G92" s="225">
        <v>326.8</v>
      </c>
      <c r="L92" s="225">
        <v>0.4</v>
      </c>
      <c r="M92" s="225">
        <v>21</v>
      </c>
      <c r="O92" s="225">
        <v>46.7</v>
      </c>
      <c r="P92" s="225">
        <v>275.9</v>
      </c>
    </row>
    <row r="93" spans="1:6" s="216" customFormat="1" ht="11.25">
      <c r="A93" s="40">
        <v>45</v>
      </c>
      <c r="B93" s="216" t="s">
        <v>698</v>
      </c>
      <c r="C93" s="216" t="s">
        <v>1266</v>
      </c>
      <c r="E93" s="222" t="s">
        <v>1306</v>
      </c>
      <c r="F93" s="231" t="s">
        <v>1307</v>
      </c>
    </row>
    <row r="94" spans="1:16" s="225" customFormat="1" ht="11.25">
      <c r="A94" s="224"/>
      <c r="D94" s="225" t="s">
        <v>1308</v>
      </c>
      <c r="E94" s="224" t="s">
        <v>1309</v>
      </c>
      <c r="F94" s="227">
        <v>0.03</v>
      </c>
      <c r="G94" s="225">
        <v>38.1</v>
      </c>
      <c r="M94" s="225">
        <v>6.6</v>
      </c>
      <c r="O94" s="225">
        <v>6.8</v>
      </c>
      <c r="P94" s="225">
        <v>26.7</v>
      </c>
    </row>
    <row r="95" spans="1:5" s="216" customFormat="1" ht="11.25">
      <c r="A95" s="40">
        <v>46</v>
      </c>
      <c r="B95" s="216" t="s">
        <v>698</v>
      </c>
      <c r="C95" s="216" t="s">
        <v>1266</v>
      </c>
      <c r="E95" s="222" t="s">
        <v>1310</v>
      </c>
    </row>
    <row r="96" spans="1:16" s="225" customFormat="1" ht="11.25">
      <c r="A96" s="224"/>
      <c r="D96" s="225" t="s">
        <v>1311</v>
      </c>
      <c r="E96" s="224" t="s">
        <v>1312</v>
      </c>
      <c r="F96" s="227">
        <v>0.15325</v>
      </c>
      <c r="G96" s="225">
        <v>221.5</v>
      </c>
      <c r="P96" s="225">
        <v>232.9</v>
      </c>
    </row>
    <row r="97" spans="1:5" s="216" customFormat="1" ht="11.25">
      <c r="A97" s="40">
        <v>47</v>
      </c>
      <c r="B97" s="216" t="s">
        <v>698</v>
      </c>
      <c r="C97" s="216" t="s">
        <v>1266</v>
      </c>
      <c r="E97" s="222" t="s">
        <v>1310</v>
      </c>
    </row>
    <row r="98" spans="1:16" s="225" customFormat="1" ht="11.25">
      <c r="A98" s="224"/>
      <c r="D98" s="225" t="s">
        <v>1313</v>
      </c>
      <c r="E98" s="224" t="s">
        <v>1312</v>
      </c>
      <c r="F98" s="227">
        <v>0.15325</v>
      </c>
      <c r="G98" s="225">
        <v>86</v>
      </c>
      <c r="L98" s="225">
        <v>35.6</v>
      </c>
      <c r="P98" s="225">
        <v>53.9</v>
      </c>
    </row>
    <row r="99" spans="1:5" s="216" customFormat="1" ht="11.25">
      <c r="A99" s="40">
        <v>48</v>
      </c>
      <c r="B99" s="216" t="s">
        <v>698</v>
      </c>
      <c r="C99" s="216" t="s">
        <v>1266</v>
      </c>
      <c r="E99" s="222" t="s">
        <v>1310</v>
      </c>
    </row>
    <row r="100" spans="1:16" s="225" customFormat="1" ht="11.25">
      <c r="A100" s="224"/>
      <c r="D100" s="225" t="s">
        <v>1314</v>
      </c>
      <c r="E100" s="224" t="s">
        <v>1312</v>
      </c>
      <c r="F100" s="227">
        <v>0.15325</v>
      </c>
      <c r="G100" s="225">
        <v>291.5</v>
      </c>
      <c r="P100" s="225">
        <v>306.5</v>
      </c>
    </row>
    <row r="101" spans="1:5" s="216" customFormat="1" ht="11.25">
      <c r="A101" s="40">
        <v>49</v>
      </c>
      <c r="B101" s="216" t="s">
        <v>698</v>
      </c>
      <c r="C101" s="216" t="s">
        <v>1266</v>
      </c>
      <c r="E101" s="222" t="s">
        <v>1310</v>
      </c>
    </row>
    <row r="102" spans="1:16" s="225" customFormat="1" ht="11.25">
      <c r="A102" s="224"/>
      <c r="D102" s="225" t="s">
        <v>1315</v>
      </c>
      <c r="E102" s="224" t="s">
        <v>1312</v>
      </c>
      <c r="F102" s="227">
        <v>0.15325</v>
      </c>
      <c r="G102" s="225">
        <v>262.4</v>
      </c>
      <c r="P102" s="225">
        <v>275.9</v>
      </c>
    </row>
    <row r="103" spans="1:5" s="216" customFormat="1" ht="11.25">
      <c r="A103" s="40">
        <v>50</v>
      </c>
      <c r="B103" s="216" t="s">
        <v>698</v>
      </c>
      <c r="C103" s="216" t="s">
        <v>1266</v>
      </c>
      <c r="E103" s="222" t="s">
        <v>1310</v>
      </c>
    </row>
    <row r="104" spans="1:16" s="225" customFormat="1" ht="11.25">
      <c r="A104" s="224"/>
      <c r="D104" s="225" t="s">
        <v>1316</v>
      </c>
      <c r="E104" s="224" t="s">
        <v>1312</v>
      </c>
      <c r="F104" s="227">
        <v>0.15325</v>
      </c>
      <c r="G104" s="225">
        <v>147.5</v>
      </c>
      <c r="P104" s="225">
        <v>155</v>
      </c>
    </row>
    <row r="105" spans="1:5" s="216" customFormat="1" ht="11.25">
      <c r="A105" s="40">
        <v>51</v>
      </c>
      <c r="B105" s="216" t="s">
        <v>698</v>
      </c>
      <c r="C105" s="216" t="s">
        <v>1266</v>
      </c>
      <c r="E105" s="222" t="s">
        <v>1310</v>
      </c>
    </row>
    <row r="106" spans="1:16" s="225" customFormat="1" ht="11.25">
      <c r="A106" s="224"/>
      <c r="D106" s="225" t="s">
        <v>1317</v>
      </c>
      <c r="E106" s="224" t="s">
        <v>1312</v>
      </c>
      <c r="F106" s="227">
        <v>0.15325</v>
      </c>
      <c r="G106" s="225">
        <v>58.3</v>
      </c>
      <c r="P106" s="225">
        <v>61.3</v>
      </c>
    </row>
    <row r="107" spans="1:6" s="229" customFormat="1" ht="11.25">
      <c r="A107" s="40">
        <v>52</v>
      </c>
      <c r="B107" s="216" t="s">
        <v>698</v>
      </c>
      <c r="C107" s="216" t="s">
        <v>1266</v>
      </c>
      <c r="E107" s="222" t="s">
        <v>1318</v>
      </c>
      <c r="F107" s="230" t="s">
        <v>1319</v>
      </c>
    </row>
    <row r="108" spans="1:16" s="225" customFormat="1" ht="11.25">
      <c r="A108" s="224"/>
      <c r="D108" s="225" t="s">
        <v>1320</v>
      </c>
      <c r="E108" s="224" t="s">
        <v>1321</v>
      </c>
      <c r="F108" s="227" t="s">
        <v>1108</v>
      </c>
      <c r="G108" s="225">
        <v>583</v>
      </c>
      <c r="P108" s="225">
        <v>613</v>
      </c>
    </row>
    <row r="109" spans="1:7" s="216" customFormat="1" ht="10.5" customHeight="1">
      <c r="A109" s="40">
        <v>53</v>
      </c>
      <c r="B109" s="216" t="s">
        <v>1322</v>
      </c>
      <c r="C109" s="216" t="s">
        <v>1323</v>
      </c>
      <c r="D109" s="3"/>
      <c r="E109" s="222" t="s">
        <v>1324</v>
      </c>
      <c r="F109" s="231" t="s">
        <v>1325</v>
      </c>
      <c r="G109" s="3"/>
    </row>
    <row r="110" spans="1:16" s="225" customFormat="1" ht="11.25">
      <c r="A110" s="224"/>
      <c r="B110" s="225" t="s">
        <v>1326</v>
      </c>
      <c r="D110" s="225" t="s">
        <v>1327</v>
      </c>
      <c r="E110" s="224" t="s">
        <v>1328</v>
      </c>
      <c r="F110" s="227">
        <v>0.005</v>
      </c>
      <c r="G110" s="225">
        <v>4102.8</v>
      </c>
      <c r="P110" s="225">
        <v>4151</v>
      </c>
    </row>
    <row r="111" spans="1:7" s="216" customFormat="1" ht="10.5" customHeight="1">
      <c r="A111" s="40">
        <v>54</v>
      </c>
      <c r="B111" s="216" t="s">
        <v>1322</v>
      </c>
      <c r="C111" s="216" t="s">
        <v>1329</v>
      </c>
      <c r="D111" s="3"/>
      <c r="E111" s="222" t="s">
        <v>1330</v>
      </c>
      <c r="G111" s="3"/>
    </row>
    <row r="112" spans="1:16" s="225" customFormat="1" ht="11.25">
      <c r="A112" s="224"/>
      <c r="B112" s="225" t="s">
        <v>1326</v>
      </c>
      <c r="C112" s="225" t="s">
        <v>711</v>
      </c>
      <c r="D112" s="225" t="s">
        <v>1331</v>
      </c>
      <c r="E112" s="224" t="s">
        <v>1332</v>
      </c>
      <c r="F112" s="227">
        <v>0.15325</v>
      </c>
      <c r="G112" s="225">
        <v>116.6</v>
      </c>
      <c r="P112" s="225">
        <v>122.6</v>
      </c>
    </row>
    <row r="113" spans="1:5" s="216" customFormat="1" ht="11.25">
      <c r="A113" s="40">
        <v>55</v>
      </c>
      <c r="B113" s="216" t="s">
        <v>1322</v>
      </c>
      <c r="C113" s="216" t="s">
        <v>1329</v>
      </c>
      <c r="E113" s="222" t="s">
        <v>1330</v>
      </c>
    </row>
    <row r="114" spans="1:16" s="225" customFormat="1" ht="11.25">
      <c r="A114" s="224"/>
      <c r="B114" s="225" t="s">
        <v>1326</v>
      </c>
      <c r="C114" s="225" t="s">
        <v>711</v>
      </c>
      <c r="D114" s="225" t="s">
        <v>1333</v>
      </c>
      <c r="E114" s="224" t="s">
        <v>1332</v>
      </c>
      <c r="F114" s="227">
        <v>0.15325</v>
      </c>
      <c r="G114" s="225">
        <v>116.6</v>
      </c>
      <c r="P114" s="225">
        <v>122.6</v>
      </c>
    </row>
    <row r="115" spans="1:5" s="216" customFormat="1" ht="11.25">
      <c r="A115" s="40">
        <v>56</v>
      </c>
      <c r="B115" s="216" t="s">
        <v>1322</v>
      </c>
      <c r="C115" s="216" t="s">
        <v>1329</v>
      </c>
      <c r="E115" s="222" t="s">
        <v>1330</v>
      </c>
    </row>
    <row r="116" spans="1:16" s="225" customFormat="1" ht="11.25">
      <c r="A116" s="224"/>
      <c r="B116" s="225" t="s">
        <v>1326</v>
      </c>
      <c r="C116" s="225" t="s">
        <v>711</v>
      </c>
      <c r="D116" s="225" t="s">
        <v>1334</v>
      </c>
      <c r="E116" s="224" t="s">
        <v>1332</v>
      </c>
      <c r="F116" s="227">
        <v>0.15325</v>
      </c>
      <c r="G116" s="225">
        <v>14.8</v>
      </c>
      <c r="P116" s="225">
        <v>15.3</v>
      </c>
    </row>
    <row r="117" spans="1:5" s="216" customFormat="1" ht="11.25">
      <c r="A117" s="40">
        <v>57</v>
      </c>
      <c r="B117" s="216" t="s">
        <v>1322</v>
      </c>
      <c r="C117" s="216" t="s">
        <v>1329</v>
      </c>
      <c r="E117" s="222" t="s">
        <v>1330</v>
      </c>
    </row>
    <row r="118" spans="1:16" s="225" customFormat="1" ht="11.25">
      <c r="A118" s="224"/>
      <c r="B118" s="225" t="s">
        <v>1326</v>
      </c>
      <c r="C118" s="225" t="s">
        <v>711</v>
      </c>
      <c r="D118" s="225" t="s">
        <v>1335</v>
      </c>
      <c r="E118" s="224" t="s">
        <v>1332</v>
      </c>
      <c r="F118" s="227">
        <v>0.15325</v>
      </c>
      <c r="G118" s="225">
        <v>116.6</v>
      </c>
      <c r="P118" s="225">
        <v>122.6</v>
      </c>
    </row>
    <row r="119" spans="1:5" s="216" customFormat="1" ht="11.25">
      <c r="A119" s="40">
        <v>58</v>
      </c>
      <c r="B119" s="216" t="s">
        <v>1322</v>
      </c>
      <c r="C119" s="216" t="s">
        <v>1329</v>
      </c>
      <c r="E119" s="222" t="s">
        <v>1336</v>
      </c>
    </row>
    <row r="120" spans="1:14" s="225" customFormat="1" ht="11.25">
      <c r="A120" s="224"/>
      <c r="B120" s="225" t="s">
        <v>1326</v>
      </c>
      <c r="C120" s="225" t="s">
        <v>711</v>
      </c>
      <c r="D120" s="225" t="s">
        <v>1337</v>
      </c>
      <c r="E120" s="224" t="s">
        <v>1338</v>
      </c>
      <c r="F120" s="227">
        <v>0.15325</v>
      </c>
      <c r="G120" s="225">
        <v>116.6</v>
      </c>
      <c r="N120" s="225">
        <v>123.2</v>
      </c>
    </row>
    <row r="121" spans="1:5" s="216" customFormat="1" ht="11.25">
      <c r="A121" s="40">
        <v>59</v>
      </c>
      <c r="B121" s="216" t="s">
        <v>1322</v>
      </c>
      <c r="C121" s="216" t="s">
        <v>1329</v>
      </c>
      <c r="E121" s="222" t="s">
        <v>1336</v>
      </c>
    </row>
    <row r="122" spans="1:16" s="225" customFormat="1" ht="11.25">
      <c r="A122" s="224"/>
      <c r="B122" s="225" t="s">
        <v>1326</v>
      </c>
      <c r="C122" s="225" t="s">
        <v>711</v>
      </c>
      <c r="D122" s="225" t="s">
        <v>1339</v>
      </c>
      <c r="E122" s="224" t="s">
        <v>1338</v>
      </c>
      <c r="F122" s="227">
        <v>0.15325</v>
      </c>
      <c r="G122" s="225">
        <v>116.6</v>
      </c>
      <c r="P122" s="225">
        <v>122.6</v>
      </c>
    </row>
    <row r="123" spans="1:5" s="216" customFormat="1" ht="11.25">
      <c r="A123" s="40">
        <v>60</v>
      </c>
      <c r="B123" s="216" t="s">
        <v>1322</v>
      </c>
      <c r="C123" s="216" t="s">
        <v>1329</v>
      </c>
      <c r="E123" s="222" t="s">
        <v>1336</v>
      </c>
    </row>
    <row r="124" spans="1:16" s="225" customFormat="1" ht="11.25">
      <c r="A124" s="224"/>
      <c r="B124" s="225" t="s">
        <v>1326</v>
      </c>
      <c r="C124" s="225" t="s">
        <v>711</v>
      </c>
      <c r="D124" s="225" t="s">
        <v>1340</v>
      </c>
      <c r="E124" s="224" t="s">
        <v>1338</v>
      </c>
      <c r="F124" s="227">
        <v>0.09325</v>
      </c>
      <c r="G124" s="225">
        <v>116.6</v>
      </c>
      <c r="P124" s="225">
        <v>122.6</v>
      </c>
    </row>
    <row r="125" spans="1:5" s="216" customFormat="1" ht="11.25">
      <c r="A125" s="40">
        <v>61</v>
      </c>
      <c r="B125" s="216" t="s">
        <v>1322</v>
      </c>
      <c r="C125" s="216" t="s">
        <v>1329</v>
      </c>
      <c r="E125" s="222" t="s">
        <v>1341</v>
      </c>
    </row>
    <row r="126" spans="1:16" s="225" customFormat="1" ht="11.25">
      <c r="A126" s="224"/>
      <c r="B126" s="225" t="s">
        <v>1326</v>
      </c>
      <c r="C126" s="225" t="s">
        <v>711</v>
      </c>
      <c r="D126" s="225" t="s">
        <v>1342</v>
      </c>
      <c r="E126" s="224" t="s">
        <v>1343</v>
      </c>
      <c r="F126" s="227">
        <v>0.15325</v>
      </c>
      <c r="G126" s="225">
        <v>116.6</v>
      </c>
      <c r="P126" s="225">
        <v>122.6</v>
      </c>
    </row>
    <row r="127" spans="1:5" s="216" customFormat="1" ht="11.25">
      <c r="A127" s="40">
        <v>62</v>
      </c>
      <c r="B127" s="216" t="s">
        <v>1322</v>
      </c>
      <c r="C127" s="216" t="s">
        <v>1329</v>
      </c>
      <c r="E127" s="222" t="s">
        <v>1344</v>
      </c>
    </row>
    <row r="128" spans="1:16" s="225" customFormat="1" ht="11.25">
      <c r="A128" s="224"/>
      <c r="B128" s="225" t="s">
        <v>1326</v>
      </c>
      <c r="C128" s="225" t="s">
        <v>711</v>
      </c>
      <c r="D128" s="225" t="s">
        <v>1345</v>
      </c>
      <c r="E128" s="224" t="s">
        <v>1346</v>
      </c>
      <c r="F128" s="227">
        <v>0.15325</v>
      </c>
      <c r="G128" s="225">
        <v>25.7</v>
      </c>
      <c r="P128" s="225">
        <v>27</v>
      </c>
    </row>
    <row r="129" spans="1:5" s="216" customFormat="1" ht="11.25">
      <c r="A129" s="40">
        <v>63</v>
      </c>
      <c r="B129" s="216" t="s">
        <v>1322</v>
      </c>
      <c r="C129" s="216" t="s">
        <v>1329</v>
      </c>
      <c r="E129" s="222" t="s">
        <v>1344</v>
      </c>
    </row>
    <row r="130" spans="1:16" s="225" customFormat="1" ht="11.25">
      <c r="A130" s="224"/>
      <c r="B130" s="225" t="s">
        <v>1326</v>
      </c>
      <c r="C130" s="225" t="s">
        <v>711</v>
      </c>
      <c r="D130" s="225" t="s">
        <v>1347</v>
      </c>
      <c r="E130" s="224" t="s">
        <v>1346</v>
      </c>
      <c r="F130" s="227">
        <v>0.09325</v>
      </c>
      <c r="G130" s="225">
        <v>54.6</v>
      </c>
      <c r="P130" s="225">
        <v>57.5</v>
      </c>
    </row>
    <row r="131" spans="1:7" s="216" customFormat="1" ht="10.5" customHeight="1">
      <c r="A131" s="40">
        <v>64</v>
      </c>
      <c r="B131" s="216" t="s">
        <v>687</v>
      </c>
      <c r="C131" s="229" t="s">
        <v>1205</v>
      </c>
      <c r="D131" s="3"/>
      <c r="E131" s="222" t="s">
        <v>1348</v>
      </c>
      <c r="G131" s="3"/>
    </row>
    <row r="132" spans="1:16" s="225" customFormat="1" ht="11.25">
      <c r="A132" s="224"/>
      <c r="D132" s="225" t="s">
        <v>1349</v>
      </c>
      <c r="E132" s="224" t="s">
        <v>1350</v>
      </c>
      <c r="F132" s="227">
        <v>0.078</v>
      </c>
      <c r="G132" s="225">
        <v>452.5</v>
      </c>
      <c r="P132" s="225">
        <v>356.8</v>
      </c>
    </row>
    <row r="133" spans="1:6" s="216" customFormat="1" ht="11.25">
      <c r="A133" s="40">
        <v>65</v>
      </c>
      <c r="B133" s="216" t="s">
        <v>660</v>
      </c>
      <c r="C133" s="229" t="s">
        <v>1205</v>
      </c>
      <c r="E133" s="222" t="s">
        <v>1351</v>
      </c>
      <c r="F133" s="230" t="s">
        <v>1352</v>
      </c>
    </row>
    <row r="134" spans="1:16" s="225" customFormat="1" ht="11.25">
      <c r="A134" s="224"/>
      <c r="B134" s="225" t="s">
        <v>1353</v>
      </c>
      <c r="D134" s="225" t="s">
        <v>1227</v>
      </c>
      <c r="E134" s="224" t="s">
        <v>1354</v>
      </c>
      <c r="F134" s="227" t="s">
        <v>1355</v>
      </c>
      <c r="G134" s="225">
        <v>899.5</v>
      </c>
      <c r="L134" s="225">
        <v>110.7</v>
      </c>
      <c r="M134" s="225">
        <v>100.8</v>
      </c>
      <c r="N134" s="225">
        <v>77.1</v>
      </c>
      <c r="O134" s="225">
        <v>85.2</v>
      </c>
      <c r="P134" s="225">
        <v>530.5</v>
      </c>
    </row>
    <row r="135" spans="1:6" s="216" customFormat="1" ht="11.25">
      <c r="A135" s="40">
        <v>66</v>
      </c>
      <c r="B135" s="216" t="s">
        <v>1356</v>
      </c>
      <c r="C135" s="216" t="s">
        <v>1261</v>
      </c>
      <c r="E135" s="222" t="s">
        <v>1357</v>
      </c>
      <c r="F135" s="230" t="s">
        <v>1358</v>
      </c>
    </row>
    <row r="136" spans="1:16" s="225" customFormat="1" ht="11.25">
      <c r="A136" s="224"/>
      <c r="B136" s="225" t="s">
        <v>1359</v>
      </c>
      <c r="C136" s="225" t="s">
        <v>1263</v>
      </c>
      <c r="D136" s="225" t="s">
        <v>1360</v>
      </c>
      <c r="E136" s="224" t="s">
        <v>1361</v>
      </c>
      <c r="F136" s="227">
        <v>0.005</v>
      </c>
      <c r="G136" s="225">
        <v>3662.6</v>
      </c>
      <c r="I136" s="225">
        <v>483.6</v>
      </c>
      <c r="J136" s="225">
        <v>479.1</v>
      </c>
      <c r="K136" s="225">
        <v>232.9</v>
      </c>
      <c r="M136" s="225">
        <v>377.3</v>
      </c>
      <c r="O136" s="225">
        <v>369.7</v>
      </c>
      <c r="P136" s="225">
        <v>3979.1</v>
      </c>
    </row>
    <row r="137" spans="1:5" s="216" customFormat="1" ht="11.25">
      <c r="A137" s="40">
        <v>67</v>
      </c>
      <c r="B137" s="216" t="s">
        <v>1362</v>
      </c>
      <c r="C137" s="216" t="s">
        <v>1329</v>
      </c>
      <c r="E137" s="222" t="s">
        <v>1363</v>
      </c>
    </row>
    <row r="138" spans="1:16" s="225" customFormat="1" ht="11.25">
      <c r="A138" s="224"/>
      <c r="B138" s="225" t="s">
        <v>1364</v>
      </c>
      <c r="C138" s="225" t="s">
        <v>711</v>
      </c>
      <c r="D138" s="225" t="s">
        <v>690</v>
      </c>
      <c r="E138" s="224" t="s">
        <v>1365</v>
      </c>
      <c r="F138" s="227">
        <v>0.09325</v>
      </c>
      <c r="G138" s="225">
        <v>183.9</v>
      </c>
      <c r="P138" s="225">
        <v>193.3</v>
      </c>
    </row>
    <row r="139" spans="1:5" s="216" customFormat="1" ht="11.25">
      <c r="A139" s="40">
        <v>68</v>
      </c>
      <c r="B139" s="216" t="s">
        <v>1362</v>
      </c>
      <c r="C139" s="216" t="s">
        <v>1329</v>
      </c>
      <c r="E139" s="222" t="s">
        <v>1366</v>
      </c>
    </row>
    <row r="140" spans="1:16" s="225" customFormat="1" ht="11.25">
      <c r="A140" s="224"/>
      <c r="B140" s="225" t="s">
        <v>1364</v>
      </c>
      <c r="C140" s="225" t="s">
        <v>711</v>
      </c>
      <c r="D140" s="225" t="s">
        <v>1367</v>
      </c>
      <c r="E140" s="224" t="s">
        <v>1368</v>
      </c>
      <c r="F140" s="227">
        <v>0.09325</v>
      </c>
      <c r="G140" s="225">
        <v>1122.9</v>
      </c>
      <c r="P140" s="225">
        <v>1180.7</v>
      </c>
    </row>
    <row r="141" spans="1:5" s="216" customFormat="1" ht="11.25">
      <c r="A141" s="40">
        <v>69</v>
      </c>
      <c r="B141" s="216" t="s">
        <v>1362</v>
      </c>
      <c r="C141" s="216" t="s">
        <v>1329</v>
      </c>
      <c r="E141" s="222" t="s">
        <v>1369</v>
      </c>
    </row>
    <row r="142" spans="1:16" s="225" customFormat="1" ht="11.25">
      <c r="A142" s="224"/>
      <c r="B142" s="225" t="s">
        <v>1364</v>
      </c>
      <c r="C142" s="225" t="s">
        <v>711</v>
      </c>
      <c r="D142" s="225" t="s">
        <v>1370</v>
      </c>
      <c r="E142" s="224" t="s">
        <v>1371</v>
      </c>
      <c r="F142" s="227">
        <v>0.15325</v>
      </c>
      <c r="G142" s="225">
        <v>1457.5</v>
      </c>
      <c r="P142" s="225">
        <v>1532.5</v>
      </c>
    </row>
    <row r="143" spans="1:5" s="216" customFormat="1" ht="11.25">
      <c r="A143" s="40">
        <v>70</v>
      </c>
      <c r="B143" s="216" t="s">
        <v>1362</v>
      </c>
      <c r="C143" s="216" t="s">
        <v>1329</v>
      </c>
      <c r="E143" s="222" t="s">
        <v>1372</v>
      </c>
    </row>
    <row r="144" spans="1:16" s="225" customFormat="1" ht="11.25">
      <c r="A144" s="224"/>
      <c r="B144" s="225" t="s">
        <v>1364</v>
      </c>
      <c r="C144" s="225" t="s">
        <v>711</v>
      </c>
      <c r="D144" s="225" t="s">
        <v>1373</v>
      </c>
      <c r="E144" s="224" t="s">
        <v>1374</v>
      </c>
      <c r="F144" s="227">
        <v>0.15325</v>
      </c>
      <c r="G144" s="225">
        <v>1066.9</v>
      </c>
      <c r="P144" s="225">
        <v>1121.8</v>
      </c>
    </row>
    <row r="145" spans="1:5" s="216" customFormat="1" ht="11.25">
      <c r="A145" s="40">
        <v>71</v>
      </c>
      <c r="B145" s="216" t="s">
        <v>1362</v>
      </c>
      <c r="C145" s="216" t="s">
        <v>1329</v>
      </c>
      <c r="E145" s="222" t="s">
        <v>1372</v>
      </c>
    </row>
    <row r="146" spans="1:16" s="225" customFormat="1" ht="11.25">
      <c r="A146" s="224"/>
      <c r="B146" s="225" t="s">
        <v>1364</v>
      </c>
      <c r="C146" s="225" t="s">
        <v>711</v>
      </c>
      <c r="D146" s="225" t="s">
        <v>1375</v>
      </c>
      <c r="E146" s="224" t="s">
        <v>1374</v>
      </c>
      <c r="F146" s="227">
        <v>0.15325</v>
      </c>
      <c r="G146" s="225">
        <v>99.4</v>
      </c>
      <c r="P146" s="225">
        <v>104.5</v>
      </c>
    </row>
    <row r="147" spans="1:5" s="216" customFormat="1" ht="11.25">
      <c r="A147" s="40">
        <v>72</v>
      </c>
      <c r="B147" s="216" t="s">
        <v>1362</v>
      </c>
      <c r="C147" s="216" t="s">
        <v>1329</v>
      </c>
      <c r="E147" s="222" t="s">
        <v>1372</v>
      </c>
    </row>
    <row r="148" spans="1:16" s="225" customFormat="1" ht="11.25">
      <c r="A148" s="224"/>
      <c r="B148" s="225" t="s">
        <v>1364</v>
      </c>
      <c r="C148" s="225" t="s">
        <v>711</v>
      </c>
      <c r="D148" s="225" t="s">
        <v>1376</v>
      </c>
      <c r="E148" s="224" t="s">
        <v>1374</v>
      </c>
      <c r="F148" s="227">
        <v>0.15325</v>
      </c>
      <c r="G148" s="225">
        <v>40.6</v>
      </c>
      <c r="P148" s="225">
        <v>42.7</v>
      </c>
    </row>
    <row r="149" spans="1:5" s="216" customFormat="1" ht="11.25">
      <c r="A149" s="40">
        <v>73</v>
      </c>
      <c r="B149" s="216" t="s">
        <v>1362</v>
      </c>
      <c r="C149" s="216" t="s">
        <v>1329</v>
      </c>
      <c r="E149" s="222" t="s">
        <v>1372</v>
      </c>
    </row>
    <row r="150" spans="1:16" s="225" customFormat="1" ht="11.25">
      <c r="A150" s="224"/>
      <c r="B150" s="225" t="s">
        <v>1364</v>
      </c>
      <c r="C150" s="225" t="s">
        <v>711</v>
      </c>
      <c r="D150" s="225" t="s">
        <v>1377</v>
      </c>
      <c r="E150" s="224" t="s">
        <v>1374</v>
      </c>
      <c r="F150" s="227">
        <v>0.09325</v>
      </c>
      <c r="G150" s="225">
        <v>70</v>
      </c>
      <c r="P150" s="225">
        <v>73.6</v>
      </c>
    </row>
    <row r="151" spans="1:5" s="216" customFormat="1" ht="11.25">
      <c r="A151" s="40">
        <v>74</v>
      </c>
      <c r="B151" s="216" t="s">
        <v>1362</v>
      </c>
      <c r="C151" s="216" t="s">
        <v>1329</v>
      </c>
      <c r="E151" s="222" t="s">
        <v>1372</v>
      </c>
    </row>
    <row r="152" spans="1:16" s="225" customFormat="1" ht="11.25">
      <c r="A152" s="224"/>
      <c r="B152" s="225" t="s">
        <v>1364</v>
      </c>
      <c r="C152" s="225" t="s">
        <v>711</v>
      </c>
      <c r="D152" s="225" t="s">
        <v>1378</v>
      </c>
      <c r="E152" s="224" t="s">
        <v>1374</v>
      </c>
      <c r="F152" s="227">
        <v>0.15325</v>
      </c>
      <c r="G152" s="225">
        <v>291.5</v>
      </c>
      <c r="P152" s="225">
        <v>306.5</v>
      </c>
    </row>
    <row r="153" spans="1:5" s="216" customFormat="1" ht="11.25">
      <c r="A153" s="40">
        <v>75</v>
      </c>
      <c r="B153" s="216" t="s">
        <v>1362</v>
      </c>
      <c r="C153" s="216" t="s">
        <v>1329</v>
      </c>
      <c r="E153" s="222" t="s">
        <v>1379</v>
      </c>
    </row>
    <row r="154" spans="1:16" s="225" customFormat="1" ht="11.25">
      <c r="A154" s="224"/>
      <c r="B154" s="225" t="s">
        <v>1364</v>
      </c>
      <c r="C154" s="225" t="s">
        <v>711</v>
      </c>
      <c r="D154" s="225" t="s">
        <v>1311</v>
      </c>
      <c r="E154" s="224" t="s">
        <v>1380</v>
      </c>
      <c r="F154" s="227">
        <v>0.15325</v>
      </c>
      <c r="G154" s="225">
        <v>279.8</v>
      </c>
      <c r="P154" s="225">
        <v>294.2</v>
      </c>
    </row>
    <row r="155" spans="1:5" s="216" customFormat="1" ht="11.25">
      <c r="A155" s="40">
        <v>76</v>
      </c>
      <c r="B155" s="216" t="s">
        <v>1362</v>
      </c>
      <c r="C155" s="216" t="s">
        <v>1329</v>
      </c>
      <c r="E155" s="222" t="s">
        <v>1379</v>
      </c>
    </row>
    <row r="156" spans="1:16" s="225" customFormat="1" ht="11.25">
      <c r="A156" s="224"/>
      <c r="B156" s="225" t="s">
        <v>1364</v>
      </c>
      <c r="C156" s="225" t="s">
        <v>711</v>
      </c>
      <c r="D156" s="225" t="s">
        <v>1381</v>
      </c>
      <c r="E156" s="224" t="s">
        <v>1382</v>
      </c>
      <c r="F156" s="227">
        <v>0.15325</v>
      </c>
      <c r="G156" s="225">
        <v>291.5</v>
      </c>
      <c r="P156" s="225">
        <v>306.5</v>
      </c>
    </row>
    <row r="157" spans="1:5" s="216" customFormat="1" ht="11.25">
      <c r="A157" s="40">
        <v>77</v>
      </c>
      <c r="B157" s="216" t="s">
        <v>1362</v>
      </c>
      <c r="C157" s="216" t="s">
        <v>1329</v>
      </c>
      <c r="E157" s="222" t="s">
        <v>1379</v>
      </c>
    </row>
    <row r="158" spans="1:16" s="225" customFormat="1" ht="11.25">
      <c r="A158" s="224"/>
      <c r="B158" s="225" t="s">
        <v>1364</v>
      </c>
      <c r="C158" s="225" t="s">
        <v>711</v>
      </c>
      <c r="D158" s="225" t="s">
        <v>1383</v>
      </c>
      <c r="E158" s="224" t="s">
        <v>1380</v>
      </c>
      <c r="F158" s="227">
        <v>0.15325</v>
      </c>
      <c r="G158" s="225">
        <v>73.7</v>
      </c>
      <c r="P158" s="225">
        <v>77.5</v>
      </c>
    </row>
    <row r="159" spans="1:5" s="216" customFormat="1" ht="11.25">
      <c r="A159" s="40">
        <v>78</v>
      </c>
      <c r="B159" s="216" t="s">
        <v>1362</v>
      </c>
      <c r="C159" s="216" t="s">
        <v>1329</v>
      </c>
      <c r="E159" s="222" t="s">
        <v>1384</v>
      </c>
    </row>
    <row r="160" spans="1:16" s="225" customFormat="1" ht="11.25">
      <c r="A160" s="224"/>
      <c r="B160" s="225" t="s">
        <v>1364</v>
      </c>
      <c r="C160" s="225" t="s">
        <v>711</v>
      </c>
      <c r="D160" s="225" t="s">
        <v>1385</v>
      </c>
      <c r="E160" s="224" t="s">
        <v>1386</v>
      </c>
      <c r="F160" s="227">
        <v>0.15325</v>
      </c>
      <c r="G160" s="225">
        <v>116.6</v>
      </c>
      <c r="P160" s="225">
        <v>122.6</v>
      </c>
    </row>
    <row r="161" spans="1:5" s="216" customFormat="1" ht="11.25">
      <c r="A161" s="40">
        <v>79</v>
      </c>
      <c r="B161" s="216" t="s">
        <v>1362</v>
      </c>
      <c r="C161" s="216" t="s">
        <v>1329</v>
      </c>
      <c r="E161" s="222" t="s">
        <v>1384</v>
      </c>
    </row>
    <row r="162" spans="1:16" s="225" customFormat="1" ht="11.25">
      <c r="A162" s="224"/>
      <c r="B162" s="225" t="s">
        <v>1364</v>
      </c>
      <c r="C162" s="225" t="s">
        <v>711</v>
      </c>
      <c r="D162" s="225" t="s">
        <v>1387</v>
      </c>
      <c r="E162" s="224" t="s">
        <v>1386</v>
      </c>
      <c r="F162" s="227">
        <v>0.15325</v>
      </c>
      <c r="G162" s="225">
        <v>86.9</v>
      </c>
      <c r="P162" s="225">
        <v>91.3</v>
      </c>
    </row>
    <row r="163" spans="1:5" s="216" customFormat="1" ht="11.25">
      <c r="A163" s="40">
        <v>80</v>
      </c>
      <c r="B163" s="216" t="s">
        <v>1362</v>
      </c>
      <c r="C163" s="216" t="s">
        <v>1329</v>
      </c>
      <c r="E163" s="222" t="s">
        <v>1379</v>
      </c>
    </row>
    <row r="164" spans="1:16" s="225" customFormat="1" ht="11.25">
      <c r="A164" s="224"/>
      <c r="B164" s="225" t="s">
        <v>1364</v>
      </c>
      <c r="C164" s="225" t="s">
        <v>711</v>
      </c>
      <c r="D164" s="225" t="s">
        <v>1388</v>
      </c>
      <c r="E164" s="224" t="s">
        <v>1380</v>
      </c>
      <c r="F164" s="227">
        <v>0.15325</v>
      </c>
      <c r="G164" s="225">
        <v>106.9</v>
      </c>
      <c r="P164" s="225">
        <v>112.4</v>
      </c>
    </row>
    <row r="165" spans="1:5" s="216" customFormat="1" ht="11.25">
      <c r="A165" s="40">
        <v>81</v>
      </c>
      <c r="B165" s="216" t="s">
        <v>1362</v>
      </c>
      <c r="C165" s="216" t="s">
        <v>1329</v>
      </c>
      <c r="E165" s="222" t="s">
        <v>1379</v>
      </c>
    </row>
    <row r="166" spans="1:16" s="225" customFormat="1" ht="11.25">
      <c r="A166" s="224"/>
      <c r="B166" s="225" t="s">
        <v>1364</v>
      </c>
      <c r="C166" s="225" t="s">
        <v>711</v>
      </c>
      <c r="D166" s="225" t="s">
        <v>1313</v>
      </c>
      <c r="E166" s="224" t="s">
        <v>1380</v>
      </c>
      <c r="F166" s="227">
        <v>0.15325</v>
      </c>
      <c r="G166" s="225">
        <v>19.3</v>
      </c>
      <c r="L166" s="225">
        <v>18</v>
      </c>
      <c r="P166" s="225">
        <v>1.9</v>
      </c>
    </row>
    <row r="167" spans="1:5" s="216" customFormat="1" ht="11.25">
      <c r="A167" s="40">
        <v>82</v>
      </c>
      <c r="B167" s="216" t="s">
        <v>1362</v>
      </c>
      <c r="C167" s="216" t="s">
        <v>1329</v>
      </c>
      <c r="E167" s="222" t="s">
        <v>1389</v>
      </c>
    </row>
    <row r="168" spans="1:16" s="225" customFormat="1" ht="11.25">
      <c r="A168" s="224"/>
      <c r="B168" s="225" t="s">
        <v>1364</v>
      </c>
      <c r="C168" s="225" t="s">
        <v>711</v>
      </c>
      <c r="D168" s="225" t="s">
        <v>1282</v>
      </c>
      <c r="E168" s="224" t="s">
        <v>1390</v>
      </c>
      <c r="F168" s="227">
        <v>0.15325</v>
      </c>
      <c r="G168" s="225">
        <v>1719.9</v>
      </c>
      <c r="P168" s="225">
        <v>1808.4</v>
      </c>
    </row>
    <row r="169" spans="1:5" s="216" customFormat="1" ht="11.25">
      <c r="A169" s="40">
        <v>83</v>
      </c>
      <c r="B169" s="216" t="s">
        <v>1362</v>
      </c>
      <c r="C169" s="216" t="s">
        <v>1329</v>
      </c>
      <c r="E169" s="222" t="s">
        <v>1391</v>
      </c>
    </row>
    <row r="170" spans="1:16" s="225" customFormat="1" ht="11.25">
      <c r="A170" s="224"/>
      <c r="B170" s="225" t="s">
        <v>1364</v>
      </c>
      <c r="C170" s="225" t="s">
        <v>711</v>
      </c>
      <c r="D170" s="225" t="s">
        <v>1392</v>
      </c>
      <c r="E170" s="224" t="s">
        <v>1393</v>
      </c>
      <c r="F170" s="227">
        <v>0.15325</v>
      </c>
      <c r="G170" s="225">
        <v>116.6</v>
      </c>
      <c r="P170" s="225">
        <v>122.6</v>
      </c>
    </row>
    <row r="171" spans="1:5" s="216" customFormat="1" ht="11.25">
      <c r="A171" s="40">
        <v>84</v>
      </c>
      <c r="B171" s="216" t="s">
        <v>1394</v>
      </c>
      <c r="C171" s="216" t="s">
        <v>1205</v>
      </c>
      <c r="E171" s="222" t="s">
        <v>1395</v>
      </c>
    </row>
    <row r="172" spans="1:16" s="225" customFormat="1" ht="11.25">
      <c r="A172" s="224"/>
      <c r="B172" s="225" t="s">
        <v>1396</v>
      </c>
      <c r="D172" s="225" t="s">
        <v>1397</v>
      </c>
      <c r="E172" s="224" t="s">
        <v>1242</v>
      </c>
      <c r="F172" s="227" t="s">
        <v>1398</v>
      </c>
      <c r="G172" s="225">
        <v>121</v>
      </c>
      <c r="L172" s="225">
        <v>8</v>
      </c>
      <c r="N172" s="225">
        <v>7.5</v>
      </c>
      <c r="P172" s="225">
        <v>98.3</v>
      </c>
    </row>
    <row r="173" spans="1:6" s="216" customFormat="1" ht="11.25">
      <c r="A173" s="40">
        <v>85</v>
      </c>
      <c r="B173" s="216" t="s">
        <v>1394</v>
      </c>
      <c r="C173" s="216" t="s">
        <v>1205</v>
      </c>
      <c r="E173" s="222" t="s">
        <v>1399</v>
      </c>
      <c r="F173" s="230" t="s">
        <v>1400</v>
      </c>
    </row>
    <row r="174" spans="1:16" s="225" customFormat="1" ht="11.25">
      <c r="A174" s="224"/>
      <c r="B174" s="225" t="s">
        <v>1396</v>
      </c>
      <c r="D174" s="225" t="s">
        <v>1401</v>
      </c>
      <c r="E174" s="224" t="s">
        <v>1402</v>
      </c>
      <c r="F174" s="227" t="s">
        <v>1398</v>
      </c>
      <c r="G174" s="225">
        <v>134.6</v>
      </c>
      <c r="L174" s="225">
        <v>16.7</v>
      </c>
      <c r="P174" s="225">
        <v>110.4</v>
      </c>
    </row>
    <row r="175" spans="1:6" s="216" customFormat="1" ht="11.25">
      <c r="A175" s="40">
        <v>86</v>
      </c>
      <c r="B175" s="216" t="s">
        <v>1403</v>
      </c>
      <c r="C175" s="216" t="s">
        <v>1205</v>
      </c>
      <c r="E175" s="222" t="s">
        <v>1404</v>
      </c>
      <c r="F175" s="216" t="s">
        <v>1405</v>
      </c>
    </row>
    <row r="176" spans="1:16" s="225" customFormat="1" ht="11.25">
      <c r="A176" s="224"/>
      <c r="B176" s="225" t="s">
        <v>1057</v>
      </c>
      <c r="D176" s="225" t="s">
        <v>1406</v>
      </c>
      <c r="E176" s="224" t="s">
        <v>1407</v>
      </c>
      <c r="F176" s="227">
        <v>0.0115</v>
      </c>
      <c r="J176" s="225">
        <v>65.9</v>
      </c>
      <c r="K176" s="225">
        <v>46.4</v>
      </c>
      <c r="P176" s="225">
        <v>111.5</v>
      </c>
    </row>
    <row r="177" spans="1:6" s="216" customFormat="1" ht="11.25">
      <c r="A177" s="40">
        <v>87</v>
      </c>
      <c r="B177" s="216" t="s">
        <v>1403</v>
      </c>
      <c r="C177" s="216" t="s">
        <v>1205</v>
      </c>
      <c r="E177" s="222" t="s">
        <v>1408</v>
      </c>
      <c r="F177" s="216" t="s">
        <v>1405</v>
      </c>
    </row>
    <row r="178" spans="1:16" s="225" customFormat="1" ht="11.25">
      <c r="A178" s="224"/>
      <c r="B178" s="225" t="s">
        <v>1057</v>
      </c>
      <c r="D178" s="225" t="s">
        <v>1409</v>
      </c>
      <c r="E178" s="224" t="s">
        <v>1410</v>
      </c>
      <c r="F178" s="227">
        <v>0.0115</v>
      </c>
      <c r="J178" s="225">
        <v>86.4</v>
      </c>
      <c r="K178" s="225">
        <v>50.1</v>
      </c>
      <c r="P178" s="225">
        <v>134.4</v>
      </c>
    </row>
    <row r="179" spans="1:6" s="216" customFormat="1" ht="11.25">
      <c r="A179" s="40">
        <v>88</v>
      </c>
      <c r="B179" s="216" t="s">
        <v>1403</v>
      </c>
      <c r="C179" s="216" t="s">
        <v>1205</v>
      </c>
      <c r="E179" s="222" t="s">
        <v>1408</v>
      </c>
      <c r="F179" s="216" t="s">
        <v>1405</v>
      </c>
    </row>
    <row r="180" spans="1:16" s="225" customFormat="1" ht="11.25">
      <c r="A180" s="224"/>
      <c r="B180" s="225" t="s">
        <v>1057</v>
      </c>
      <c r="D180" s="225" t="s">
        <v>1411</v>
      </c>
      <c r="E180" s="224" t="s">
        <v>1412</v>
      </c>
      <c r="F180" s="227">
        <v>0.0115</v>
      </c>
      <c r="J180" s="225">
        <v>42.1</v>
      </c>
      <c r="K180" s="225">
        <v>71.3</v>
      </c>
      <c r="P180" s="225">
        <v>112.2</v>
      </c>
    </row>
    <row r="181" spans="1:6" s="216" customFormat="1" ht="11.25">
      <c r="A181" s="40">
        <v>89</v>
      </c>
      <c r="B181" s="216" t="s">
        <v>1403</v>
      </c>
      <c r="C181" s="216" t="s">
        <v>1205</v>
      </c>
      <c r="E181" s="222" t="s">
        <v>1408</v>
      </c>
      <c r="F181" s="216" t="s">
        <v>1405</v>
      </c>
    </row>
    <row r="182" spans="1:16" s="225" customFormat="1" ht="11.25">
      <c r="A182" s="224"/>
      <c r="B182" s="225" t="s">
        <v>1057</v>
      </c>
      <c r="D182" s="225" t="s">
        <v>1411</v>
      </c>
      <c r="E182" s="224" t="s">
        <v>1412</v>
      </c>
      <c r="F182" s="227">
        <v>0.0115</v>
      </c>
      <c r="J182" s="225">
        <v>8.7</v>
      </c>
      <c r="K182" s="225">
        <v>64.4</v>
      </c>
      <c r="P182" s="225">
        <v>72</v>
      </c>
    </row>
    <row r="183" spans="1:6" s="216" customFormat="1" ht="11.25">
      <c r="A183" s="40">
        <v>90</v>
      </c>
      <c r="B183" s="216" t="s">
        <v>1403</v>
      </c>
      <c r="C183" s="216" t="s">
        <v>1205</v>
      </c>
      <c r="E183" s="222" t="s">
        <v>1408</v>
      </c>
      <c r="F183" s="216" t="s">
        <v>1405</v>
      </c>
    </row>
    <row r="184" spans="1:16" s="225" customFormat="1" ht="11.25">
      <c r="A184" s="224"/>
      <c r="B184" s="225" t="s">
        <v>1057</v>
      </c>
      <c r="D184" s="225" t="s">
        <v>1413</v>
      </c>
      <c r="E184" s="224" t="s">
        <v>1414</v>
      </c>
      <c r="F184" s="227">
        <v>0.0115</v>
      </c>
      <c r="J184" s="225">
        <v>75.5</v>
      </c>
      <c r="K184" s="225">
        <v>46.4</v>
      </c>
      <c r="P184" s="225">
        <v>121.2</v>
      </c>
    </row>
    <row r="185" spans="1:6" s="216" customFormat="1" ht="11.25">
      <c r="A185" s="40">
        <v>91</v>
      </c>
      <c r="B185" s="216" t="s">
        <v>1403</v>
      </c>
      <c r="C185" s="216" t="s">
        <v>1415</v>
      </c>
      <c r="E185" s="222" t="s">
        <v>1416</v>
      </c>
      <c r="F185" s="216" t="s">
        <v>1405</v>
      </c>
    </row>
    <row r="186" spans="1:16" s="225" customFormat="1" ht="11.25">
      <c r="A186" s="224"/>
      <c r="B186" s="225" t="s">
        <v>1057</v>
      </c>
      <c r="C186" s="225" t="s">
        <v>1263</v>
      </c>
      <c r="D186" s="225" t="s">
        <v>1417</v>
      </c>
      <c r="E186" s="224" t="s">
        <v>1418</v>
      </c>
      <c r="F186" s="227">
        <v>0.0115</v>
      </c>
      <c r="J186" s="225">
        <v>62</v>
      </c>
      <c r="K186" s="225">
        <v>117.1</v>
      </c>
      <c r="P186" s="225">
        <v>176.4</v>
      </c>
    </row>
    <row r="187" spans="1:6" s="216" customFormat="1" ht="11.25">
      <c r="A187" s="40">
        <v>92</v>
      </c>
      <c r="B187" s="216" t="s">
        <v>1403</v>
      </c>
      <c r="C187" s="216" t="s">
        <v>1415</v>
      </c>
      <c r="E187" s="222" t="s">
        <v>1419</v>
      </c>
      <c r="F187" s="216" t="s">
        <v>1405</v>
      </c>
    </row>
    <row r="188" spans="1:16" s="225" customFormat="1" ht="11.25">
      <c r="A188" s="224"/>
      <c r="B188" s="225" t="s">
        <v>1057</v>
      </c>
      <c r="C188" s="225" t="s">
        <v>1263</v>
      </c>
      <c r="D188" s="225" t="s">
        <v>1420</v>
      </c>
      <c r="E188" s="224" t="s">
        <v>1421</v>
      </c>
      <c r="F188" s="227">
        <v>0.0115</v>
      </c>
      <c r="J188" s="225">
        <v>42</v>
      </c>
      <c r="K188" s="225">
        <v>38.1</v>
      </c>
      <c r="P188" s="225">
        <v>79</v>
      </c>
    </row>
    <row r="189" spans="1:7" s="216" customFormat="1" ht="10.5" customHeight="1">
      <c r="A189" s="40">
        <v>93</v>
      </c>
      <c r="B189" s="216" t="s">
        <v>1422</v>
      </c>
      <c r="C189" s="216" t="s">
        <v>1329</v>
      </c>
      <c r="D189" s="3"/>
      <c r="E189" s="222" t="s">
        <v>1423</v>
      </c>
      <c r="F189" s="230" t="s">
        <v>1307</v>
      </c>
      <c r="G189" s="3"/>
    </row>
    <row r="190" spans="1:7" s="225" customFormat="1" ht="11.25">
      <c r="A190" s="224"/>
      <c r="C190" s="225" t="s">
        <v>711</v>
      </c>
      <c r="D190" s="225" t="s">
        <v>1208</v>
      </c>
      <c r="E190" s="224" t="s">
        <v>1424</v>
      </c>
      <c r="F190" s="227">
        <v>0.045</v>
      </c>
      <c r="G190" s="225">
        <v>6996</v>
      </c>
    </row>
    <row r="191" spans="1:5" s="216" customFormat="1" ht="11.25">
      <c r="A191" s="40">
        <v>94</v>
      </c>
      <c r="B191" s="216" t="s">
        <v>1422</v>
      </c>
      <c r="C191" s="216" t="s">
        <v>1329</v>
      </c>
      <c r="E191" s="222" t="s">
        <v>1425</v>
      </c>
    </row>
    <row r="192" spans="1:7" s="225" customFormat="1" ht="11.25">
      <c r="A192" s="224"/>
      <c r="C192" s="225" t="s">
        <v>711</v>
      </c>
      <c r="D192" s="225" t="s">
        <v>690</v>
      </c>
      <c r="E192" s="224" t="s">
        <v>1365</v>
      </c>
      <c r="F192" s="227">
        <v>0.09325</v>
      </c>
      <c r="G192" s="225">
        <v>3259.5</v>
      </c>
    </row>
    <row r="193" spans="1:6" s="216" customFormat="1" ht="11.25">
      <c r="A193" s="40">
        <v>95</v>
      </c>
      <c r="B193" s="216" t="s">
        <v>1422</v>
      </c>
      <c r="C193" s="216" t="s">
        <v>1329</v>
      </c>
      <c r="E193" s="222" t="s">
        <v>1426</v>
      </c>
      <c r="F193" s="231" t="s">
        <v>1307</v>
      </c>
    </row>
    <row r="194" spans="1:16" s="225" customFormat="1" ht="11.25">
      <c r="A194" s="224"/>
      <c r="C194" s="225" t="s">
        <v>711</v>
      </c>
      <c r="D194" s="225" t="s">
        <v>1427</v>
      </c>
      <c r="E194" s="224" t="s">
        <v>1428</v>
      </c>
      <c r="F194" s="227">
        <v>0.065</v>
      </c>
      <c r="G194" s="225">
        <v>77.2</v>
      </c>
      <c r="P194" s="225">
        <v>81.2</v>
      </c>
    </row>
    <row r="195" spans="1:6" s="216" customFormat="1" ht="11.25">
      <c r="A195" s="40">
        <v>96</v>
      </c>
      <c r="B195" s="216" t="s">
        <v>1422</v>
      </c>
      <c r="C195" s="216" t="s">
        <v>1329</v>
      </c>
      <c r="E195" s="222" t="s">
        <v>1426</v>
      </c>
      <c r="F195" s="231" t="s">
        <v>1307</v>
      </c>
    </row>
    <row r="196" spans="1:16" s="225" customFormat="1" ht="11.25">
      <c r="A196" s="224"/>
      <c r="C196" s="225" t="s">
        <v>711</v>
      </c>
      <c r="D196" s="225" t="s">
        <v>1429</v>
      </c>
      <c r="E196" s="224" t="s">
        <v>1430</v>
      </c>
      <c r="F196" s="227">
        <v>0.065</v>
      </c>
      <c r="G196" s="225">
        <v>81.6</v>
      </c>
      <c r="P196" s="225">
        <v>85.8</v>
      </c>
    </row>
    <row r="197" spans="1:6" s="216" customFormat="1" ht="11.25">
      <c r="A197" s="40">
        <v>97</v>
      </c>
      <c r="B197" s="216" t="s">
        <v>1422</v>
      </c>
      <c r="C197" s="216" t="s">
        <v>1329</v>
      </c>
      <c r="E197" s="222" t="s">
        <v>1431</v>
      </c>
      <c r="F197" s="231" t="s">
        <v>1307</v>
      </c>
    </row>
    <row r="198" spans="1:16" s="225" customFormat="1" ht="11.25">
      <c r="A198" s="224"/>
      <c r="C198" s="225" t="s">
        <v>711</v>
      </c>
      <c r="D198" s="225" t="s">
        <v>1432</v>
      </c>
      <c r="E198" s="224" t="s">
        <v>1433</v>
      </c>
      <c r="F198" s="227">
        <v>1.065</v>
      </c>
      <c r="G198" s="225">
        <v>139.3</v>
      </c>
      <c r="M198" s="225">
        <v>38</v>
      </c>
      <c r="P198" s="225">
        <v>108.2</v>
      </c>
    </row>
    <row r="199" spans="1:6" s="216" customFormat="1" ht="11.25">
      <c r="A199" s="40">
        <v>98</v>
      </c>
      <c r="B199" s="216" t="s">
        <v>1422</v>
      </c>
      <c r="C199" s="216" t="s">
        <v>1329</v>
      </c>
      <c r="E199" s="222" t="s">
        <v>1426</v>
      </c>
      <c r="F199" s="231" t="s">
        <v>1307</v>
      </c>
    </row>
    <row r="200" spans="1:16" s="225" customFormat="1" ht="11.25">
      <c r="A200" s="224"/>
      <c r="C200" s="225" t="s">
        <v>711</v>
      </c>
      <c r="D200" s="225" t="s">
        <v>1434</v>
      </c>
      <c r="E200" s="224" t="s">
        <v>1428</v>
      </c>
      <c r="F200" s="227">
        <v>0.065</v>
      </c>
      <c r="G200" s="225">
        <v>40.8</v>
      </c>
      <c r="P200" s="225">
        <v>42.9</v>
      </c>
    </row>
    <row r="201" spans="1:6" s="216" customFormat="1" ht="11.25">
      <c r="A201" s="40">
        <v>99</v>
      </c>
      <c r="B201" s="216" t="s">
        <v>1422</v>
      </c>
      <c r="C201" s="216" t="s">
        <v>1329</v>
      </c>
      <c r="E201" s="222" t="s">
        <v>1426</v>
      </c>
      <c r="F201" s="231" t="s">
        <v>1307</v>
      </c>
    </row>
    <row r="202" spans="1:16" s="225" customFormat="1" ht="11.25">
      <c r="A202" s="224"/>
      <c r="C202" s="225" t="s">
        <v>711</v>
      </c>
      <c r="D202" s="225" t="s">
        <v>1435</v>
      </c>
      <c r="E202" s="224" t="s">
        <v>1436</v>
      </c>
      <c r="F202" s="227">
        <v>0.085</v>
      </c>
      <c r="G202" s="225">
        <v>285.7</v>
      </c>
      <c r="P202" s="225">
        <v>300.4</v>
      </c>
    </row>
    <row r="203" spans="1:6" s="216" customFormat="1" ht="11.25">
      <c r="A203" s="40">
        <v>100</v>
      </c>
      <c r="B203" s="216" t="s">
        <v>1422</v>
      </c>
      <c r="C203" s="216" t="s">
        <v>1329</v>
      </c>
      <c r="E203" s="222" t="s">
        <v>1426</v>
      </c>
      <c r="F203" s="231" t="s">
        <v>1307</v>
      </c>
    </row>
    <row r="204" spans="1:16" s="225" customFormat="1" ht="11.25">
      <c r="A204" s="224"/>
      <c r="C204" s="225" t="s">
        <v>711</v>
      </c>
      <c r="D204" s="225" t="s">
        <v>1437</v>
      </c>
      <c r="E204" s="224" t="s">
        <v>1428</v>
      </c>
      <c r="F204" s="227">
        <v>0.065</v>
      </c>
      <c r="G204" s="225">
        <v>326.5</v>
      </c>
      <c r="P204" s="225">
        <v>343.3</v>
      </c>
    </row>
    <row r="205" spans="1:5" s="216" customFormat="1" ht="11.25">
      <c r="A205" s="40">
        <v>101</v>
      </c>
      <c r="B205" s="216" t="s">
        <v>1422</v>
      </c>
      <c r="C205" s="216" t="s">
        <v>1329</v>
      </c>
      <c r="E205" s="222" t="s">
        <v>1438</v>
      </c>
    </row>
    <row r="206" spans="1:7" s="225" customFormat="1" ht="11.25">
      <c r="A206" s="224"/>
      <c r="C206" s="225" t="s">
        <v>711</v>
      </c>
      <c r="D206" s="225" t="s">
        <v>1439</v>
      </c>
      <c r="E206" s="224" t="s">
        <v>1440</v>
      </c>
      <c r="F206" s="227">
        <v>0.09325</v>
      </c>
      <c r="G206" s="225">
        <v>524</v>
      </c>
    </row>
    <row r="207" spans="1:5" s="216" customFormat="1" ht="11.25">
      <c r="A207" s="40">
        <v>102</v>
      </c>
      <c r="B207" s="216" t="s">
        <v>1422</v>
      </c>
      <c r="C207" s="216" t="s">
        <v>1329</v>
      </c>
      <c r="E207" s="222" t="s">
        <v>1441</v>
      </c>
    </row>
    <row r="208" spans="1:16" s="225" customFormat="1" ht="11.25">
      <c r="A208" s="224"/>
      <c r="C208" s="225" t="s">
        <v>711</v>
      </c>
      <c r="D208" s="225" t="s">
        <v>1442</v>
      </c>
      <c r="E208" s="224" t="s">
        <v>1443</v>
      </c>
      <c r="F208" s="227">
        <v>0.15325</v>
      </c>
      <c r="G208" s="225">
        <v>215.7</v>
      </c>
      <c r="P208" s="225">
        <v>226.8</v>
      </c>
    </row>
    <row r="209" spans="1:5" s="216" customFormat="1" ht="11.25">
      <c r="A209" s="40">
        <v>103</v>
      </c>
      <c r="B209" s="216" t="s">
        <v>1422</v>
      </c>
      <c r="C209" s="216" t="s">
        <v>1329</v>
      </c>
      <c r="E209" s="222" t="s">
        <v>1444</v>
      </c>
    </row>
    <row r="210" spans="1:16" s="225" customFormat="1" ht="11.25">
      <c r="A210" s="224"/>
      <c r="C210" s="225" t="s">
        <v>711</v>
      </c>
      <c r="D210" s="225" t="s">
        <v>1445</v>
      </c>
      <c r="E210" s="224" t="s">
        <v>1446</v>
      </c>
      <c r="F210" s="227">
        <v>0.15325</v>
      </c>
      <c r="G210" s="225">
        <v>291.5</v>
      </c>
      <c r="P210" s="225">
        <v>306.5</v>
      </c>
    </row>
    <row r="211" spans="1:5" s="216" customFormat="1" ht="11.25">
      <c r="A211" s="40">
        <v>104</v>
      </c>
      <c r="B211" s="216" t="s">
        <v>1422</v>
      </c>
      <c r="C211" s="216" t="s">
        <v>1329</v>
      </c>
      <c r="E211" s="222" t="s">
        <v>1441</v>
      </c>
    </row>
    <row r="212" spans="1:16" s="225" customFormat="1" ht="11.25">
      <c r="A212" s="224"/>
      <c r="C212" s="225" t="s">
        <v>711</v>
      </c>
      <c r="D212" s="225" t="s">
        <v>1447</v>
      </c>
      <c r="E212" s="224" t="s">
        <v>1448</v>
      </c>
      <c r="F212" s="227">
        <v>0.15325</v>
      </c>
      <c r="G212" s="225">
        <v>149.8</v>
      </c>
      <c r="P212" s="225">
        <v>157.5</v>
      </c>
    </row>
    <row r="213" spans="1:5" s="216" customFormat="1" ht="11.25">
      <c r="A213" s="40">
        <v>105</v>
      </c>
      <c r="B213" s="216" t="s">
        <v>1422</v>
      </c>
      <c r="C213" s="216" t="s">
        <v>1329</v>
      </c>
      <c r="E213" s="222" t="s">
        <v>1449</v>
      </c>
    </row>
    <row r="214" spans="1:16" s="225" customFormat="1" ht="11.25">
      <c r="A214" s="224"/>
      <c r="C214" s="225" t="s">
        <v>711</v>
      </c>
      <c r="D214" s="225" t="s">
        <v>1392</v>
      </c>
      <c r="E214" s="224" t="s">
        <v>1450</v>
      </c>
      <c r="F214" s="227">
        <v>0.15325</v>
      </c>
      <c r="G214" s="225">
        <v>1224.3</v>
      </c>
      <c r="P214" s="225">
        <v>1287.3</v>
      </c>
    </row>
    <row r="215" spans="1:5" s="216" customFormat="1" ht="11.25">
      <c r="A215" s="40">
        <v>106</v>
      </c>
      <c r="B215" s="216" t="s">
        <v>1422</v>
      </c>
      <c r="C215" s="216" t="s">
        <v>1329</v>
      </c>
      <c r="E215" s="222" t="s">
        <v>1451</v>
      </c>
    </row>
    <row r="216" spans="1:16" s="225" customFormat="1" ht="11.25">
      <c r="A216" s="224"/>
      <c r="C216" s="225" t="s">
        <v>711</v>
      </c>
      <c r="D216" s="225" t="s">
        <v>1452</v>
      </c>
      <c r="E216" s="224" t="s">
        <v>1453</v>
      </c>
      <c r="F216" s="227">
        <v>0.15325</v>
      </c>
      <c r="G216" s="225">
        <v>174.9</v>
      </c>
      <c r="P216" s="225">
        <v>183.9</v>
      </c>
    </row>
    <row r="217" spans="1:6" s="216" customFormat="1" ht="11.25">
      <c r="A217" s="40">
        <v>107</v>
      </c>
      <c r="B217" s="216" t="s">
        <v>1454</v>
      </c>
      <c r="E217" s="222" t="s">
        <v>1455</v>
      </c>
      <c r="F217" s="230" t="s">
        <v>1456</v>
      </c>
    </row>
    <row r="218" spans="1:16" s="225" customFormat="1" ht="11.25">
      <c r="A218" s="224"/>
      <c r="B218" s="225" t="s">
        <v>1457</v>
      </c>
      <c r="C218" s="225" t="s">
        <v>1323</v>
      </c>
      <c r="D218" s="225" t="s">
        <v>1327</v>
      </c>
      <c r="E218" s="224" t="s">
        <v>1458</v>
      </c>
      <c r="F218" s="227">
        <v>0.03</v>
      </c>
      <c r="G218" s="225">
        <v>5206.5</v>
      </c>
      <c r="P218" s="225">
        <v>5236.4</v>
      </c>
    </row>
    <row r="219" spans="1:6" s="216" customFormat="1" ht="11.25">
      <c r="A219" s="40">
        <v>108</v>
      </c>
      <c r="B219" s="216" t="s">
        <v>852</v>
      </c>
      <c r="C219" s="216" t="s">
        <v>1323</v>
      </c>
      <c r="E219" s="222" t="s">
        <v>1459</v>
      </c>
      <c r="F219" s="231" t="s">
        <v>1460</v>
      </c>
    </row>
    <row r="220" spans="1:16" s="225" customFormat="1" ht="11.25">
      <c r="A220" s="224"/>
      <c r="D220" s="225" t="s">
        <v>1461</v>
      </c>
      <c r="E220" s="224" t="s">
        <v>1462</v>
      </c>
      <c r="F220" s="226">
        <v>0.005</v>
      </c>
      <c r="G220" s="225">
        <v>2657</v>
      </c>
      <c r="P220" s="225">
        <v>2793.7</v>
      </c>
    </row>
    <row r="221" spans="1:6" s="216" customFormat="1" ht="11.25">
      <c r="A221" s="40">
        <v>109</v>
      </c>
      <c r="B221" s="216" t="s">
        <v>852</v>
      </c>
      <c r="C221" s="216" t="s">
        <v>1463</v>
      </c>
      <c r="E221" s="222" t="s">
        <v>1464</v>
      </c>
      <c r="F221" s="231" t="s">
        <v>1460</v>
      </c>
    </row>
    <row r="222" spans="1:16" s="225" customFormat="1" ht="11.25">
      <c r="A222" s="224"/>
      <c r="D222" s="225" t="s">
        <v>1465</v>
      </c>
      <c r="E222" s="224" t="s">
        <v>1462</v>
      </c>
      <c r="F222" s="226">
        <v>0.005</v>
      </c>
      <c r="G222" s="225">
        <v>265.4</v>
      </c>
      <c r="L222" s="225">
        <v>40</v>
      </c>
      <c r="N222" s="225">
        <v>5.8</v>
      </c>
      <c r="P222" s="225">
        <v>232.2</v>
      </c>
    </row>
    <row r="223" spans="1:6" s="216" customFormat="1" ht="11.25">
      <c r="A223" s="40">
        <v>110</v>
      </c>
      <c r="B223" s="216" t="s">
        <v>852</v>
      </c>
      <c r="C223" s="216" t="s">
        <v>1323</v>
      </c>
      <c r="E223" s="222" t="s">
        <v>1466</v>
      </c>
      <c r="F223" s="231" t="s">
        <v>1460</v>
      </c>
    </row>
    <row r="224" spans="1:16" s="225" customFormat="1" ht="11.25">
      <c r="A224" s="224"/>
      <c r="D224" s="225" t="s">
        <v>1467</v>
      </c>
      <c r="E224" s="224" t="s">
        <v>1468</v>
      </c>
      <c r="F224" s="226">
        <v>0.005</v>
      </c>
      <c r="G224" s="225">
        <v>685.4</v>
      </c>
      <c r="L224" s="225">
        <v>32.8</v>
      </c>
      <c r="N224" s="225">
        <v>32.7</v>
      </c>
      <c r="P224" s="225">
        <v>654.2</v>
      </c>
    </row>
    <row r="225" spans="1:6" s="216" customFormat="1" ht="11.25">
      <c r="A225" s="40">
        <v>111</v>
      </c>
      <c r="B225" s="216" t="s">
        <v>852</v>
      </c>
      <c r="C225" s="216" t="s">
        <v>1323</v>
      </c>
      <c r="E225" s="222" t="s">
        <v>1469</v>
      </c>
      <c r="F225" s="223"/>
    </row>
    <row r="226" spans="1:16" s="225" customFormat="1" ht="11.25">
      <c r="A226" s="224"/>
      <c r="D226" s="225" t="s">
        <v>1470</v>
      </c>
      <c r="E226" s="224" t="s">
        <v>1471</v>
      </c>
      <c r="F226" s="226">
        <v>0.12</v>
      </c>
      <c r="G226" s="225">
        <v>3.9</v>
      </c>
      <c r="P226" s="225">
        <v>4.1</v>
      </c>
    </row>
    <row r="227" spans="1:6" s="216" customFormat="1" ht="11.25">
      <c r="A227" s="40">
        <v>112</v>
      </c>
      <c r="B227" s="216" t="s">
        <v>852</v>
      </c>
      <c r="C227" s="216" t="s">
        <v>1323</v>
      </c>
      <c r="E227" s="222" t="s">
        <v>1472</v>
      </c>
      <c r="F227" s="223"/>
    </row>
    <row r="228" spans="1:16" s="225" customFormat="1" ht="11.25">
      <c r="A228" s="224"/>
      <c r="D228" s="225" t="s">
        <v>1473</v>
      </c>
      <c r="E228" s="224" t="s">
        <v>1218</v>
      </c>
      <c r="F228" s="226">
        <v>0.12</v>
      </c>
      <c r="G228" s="225">
        <v>47.4</v>
      </c>
      <c r="L228" s="225">
        <v>2.8</v>
      </c>
      <c r="N228" s="225">
        <v>2.8</v>
      </c>
      <c r="P228" s="225">
        <v>44.1</v>
      </c>
    </row>
    <row r="229" spans="1:6" s="216" customFormat="1" ht="11.25">
      <c r="A229" s="40">
        <v>113</v>
      </c>
      <c r="B229" s="216" t="s">
        <v>852</v>
      </c>
      <c r="C229" s="216" t="s">
        <v>1323</v>
      </c>
      <c r="E229" s="222" t="s">
        <v>1474</v>
      </c>
      <c r="F229" s="231" t="s">
        <v>1460</v>
      </c>
    </row>
    <row r="230" spans="1:16" s="225" customFormat="1" ht="11.25">
      <c r="A230" s="224"/>
      <c r="D230" s="225" t="s">
        <v>1327</v>
      </c>
      <c r="E230" s="224" t="s">
        <v>1209</v>
      </c>
      <c r="F230" s="226">
        <v>0.005</v>
      </c>
      <c r="G230" s="225">
        <v>549.8</v>
      </c>
      <c r="P230" s="225">
        <v>527.1</v>
      </c>
    </row>
    <row r="231" spans="1:6" s="216" customFormat="1" ht="11.25">
      <c r="A231" s="40">
        <v>114</v>
      </c>
      <c r="B231" s="216" t="s">
        <v>852</v>
      </c>
      <c r="C231" s="216" t="s">
        <v>1323</v>
      </c>
      <c r="E231" s="222" t="s">
        <v>1475</v>
      </c>
      <c r="F231" s="223"/>
    </row>
    <row r="232" spans="1:16" s="225" customFormat="1" ht="11.25">
      <c r="A232" s="224"/>
      <c r="D232" s="225" t="s">
        <v>1476</v>
      </c>
      <c r="E232" s="224" t="s">
        <v>1213</v>
      </c>
      <c r="F232" s="226">
        <v>0.14</v>
      </c>
      <c r="G232" s="225">
        <v>120.2</v>
      </c>
      <c r="M232" s="225">
        <v>16</v>
      </c>
      <c r="N232" s="225">
        <v>12.6</v>
      </c>
      <c r="P232" s="225">
        <v>97.4</v>
      </c>
    </row>
    <row r="233" spans="1:6" s="216" customFormat="1" ht="11.25">
      <c r="A233" s="40">
        <v>115</v>
      </c>
      <c r="B233" s="216" t="s">
        <v>852</v>
      </c>
      <c r="C233" s="216" t="s">
        <v>1261</v>
      </c>
      <c r="E233" s="222" t="s">
        <v>1477</v>
      </c>
      <c r="F233" s="231" t="s">
        <v>1460</v>
      </c>
    </row>
    <row r="234" spans="1:16" s="225" customFormat="1" ht="11.25">
      <c r="A234" s="224"/>
      <c r="C234" s="225" t="s">
        <v>1263</v>
      </c>
      <c r="D234" s="225" t="s">
        <v>1478</v>
      </c>
      <c r="E234" s="224" t="s">
        <v>1209</v>
      </c>
      <c r="F234" s="226">
        <v>0.005</v>
      </c>
      <c r="G234" s="225">
        <v>1261.8</v>
      </c>
      <c r="L234" s="225">
        <v>6.4</v>
      </c>
      <c r="M234" s="225">
        <v>13.3</v>
      </c>
      <c r="N234" s="225">
        <v>29.6</v>
      </c>
      <c r="O234" s="225">
        <v>11.7</v>
      </c>
      <c r="P234" s="225">
        <v>1265.4</v>
      </c>
    </row>
    <row r="235" spans="1:6" s="216" customFormat="1" ht="11.25">
      <c r="A235" s="40">
        <v>116</v>
      </c>
      <c r="B235" s="216" t="s">
        <v>852</v>
      </c>
      <c r="C235" s="216" t="s">
        <v>1205</v>
      </c>
      <c r="E235" s="222" t="s">
        <v>1479</v>
      </c>
      <c r="F235" s="231" t="s">
        <v>1460</v>
      </c>
    </row>
    <row r="236" spans="1:16" s="225" customFormat="1" ht="11.25">
      <c r="A236" s="224"/>
      <c r="D236" s="225" t="s">
        <v>1208</v>
      </c>
      <c r="E236" s="224" t="s">
        <v>1209</v>
      </c>
      <c r="F236" s="226">
        <v>0.005</v>
      </c>
      <c r="G236" s="225">
        <v>1991.6</v>
      </c>
      <c r="L236" s="225">
        <v>91</v>
      </c>
      <c r="N236" s="225">
        <v>91.9</v>
      </c>
      <c r="P236" s="225">
        <v>1909.3</v>
      </c>
    </row>
    <row r="237" spans="1:6" s="216" customFormat="1" ht="11.25">
      <c r="A237" s="40">
        <v>117</v>
      </c>
      <c r="B237" s="216" t="s">
        <v>852</v>
      </c>
      <c r="C237" s="216" t="s">
        <v>1205</v>
      </c>
      <c r="E237" s="222" t="s">
        <v>1480</v>
      </c>
      <c r="F237" s="231" t="s">
        <v>1460</v>
      </c>
    </row>
    <row r="238" spans="1:16" s="225" customFormat="1" ht="11.25">
      <c r="A238" s="224"/>
      <c r="D238" s="225" t="s">
        <v>1481</v>
      </c>
      <c r="E238" s="224" t="s">
        <v>1482</v>
      </c>
      <c r="F238" s="226">
        <v>0.005</v>
      </c>
      <c r="G238" s="225">
        <v>8083.8</v>
      </c>
      <c r="L238" s="225">
        <v>19.5</v>
      </c>
      <c r="P238" s="225">
        <v>8479.7</v>
      </c>
    </row>
    <row r="239" spans="1:6" s="216" customFormat="1" ht="11.25">
      <c r="A239" s="40">
        <v>118</v>
      </c>
      <c r="B239" s="216" t="s">
        <v>852</v>
      </c>
      <c r="C239" s="216" t="s">
        <v>1261</v>
      </c>
      <c r="E239" s="222" t="s">
        <v>1469</v>
      </c>
      <c r="F239" s="231" t="s">
        <v>1460</v>
      </c>
    </row>
    <row r="240" spans="1:16" s="225" customFormat="1" ht="11.25">
      <c r="A240" s="224"/>
      <c r="C240" s="225" t="s">
        <v>1263</v>
      </c>
      <c r="D240" s="225" t="s">
        <v>1483</v>
      </c>
      <c r="E240" s="224" t="s">
        <v>1220</v>
      </c>
      <c r="F240" s="226">
        <v>0.005</v>
      </c>
      <c r="G240" s="225">
        <v>492.4</v>
      </c>
      <c r="L240" s="225">
        <v>59.8</v>
      </c>
      <c r="N240" s="225">
        <v>25.7</v>
      </c>
      <c r="P240" s="225">
        <v>430.8</v>
      </c>
    </row>
    <row r="241" spans="1:6" s="216" customFormat="1" ht="11.25">
      <c r="A241" s="40">
        <v>119</v>
      </c>
      <c r="B241" s="216" t="s">
        <v>852</v>
      </c>
      <c r="C241" s="216" t="s">
        <v>1261</v>
      </c>
      <c r="E241" s="222" t="s">
        <v>1484</v>
      </c>
      <c r="F241" s="231" t="s">
        <v>1460</v>
      </c>
    </row>
    <row r="242" spans="1:16" s="225" customFormat="1" ht="11.25">
      <c r="A242" s="224"/>
      <c r="C242" s="225" t="s">
        <v>1263</v>
      </c>
      <c r="D242" s="225" t="s">
        <v>1485</v>
      </c>
      <c r="E242" s="224" t="s">
        <v>1486</v>
      </c>
      <c r="F242" s="226">
        <v>0.005</v>
      </c>
      <c r="G242" s="225">
        <v>3070.8</v>
      </c>
      <c r="L242" s="225">
        <v>161.7</v>
      </c>
      <c r="N242" s="225">
        <v>161</v>
      </c>
      <c r="P242" s="225">
        <v>2901</v>
      </c>
    </row>
    <row r="243" spans="1:6" s="216" customFormat="1" ht="11.25">
      <c r="A243" s="40">
        <v>120</v>
      </c>
      <c r="B243" s="216" t="s">
        <v>852</v>
      </c>
      <c r="C243" s="216" t="s">
        <v>1261</v>
      </c>
      <c r="E243" s="222" t="s">
        <v>1487</v>
      </c>
      <c r="F243" s="231" t="s">
        <v>1460</v>
      </c>
    </row>
    <row r="244" spans="1:16" s="225" customFormat="1" ht="11.25">
      <c r="A244" s="224"/>
      <c r="C244" s="225" t="s">
        <v>1263</v>
      </c>
      <c r="D244" s="225" t="s">
        <v>1488</v>
      </c>
      <c r="E244" s="224" t="s">
        <v>1209</v>
      </c>
      <c r="F244" s="226">
        <v>0.005</v>
      </c>
      <c r="G244" s="225">
        <v>1886.6</v>
      </c>
      <c r="L244" s="225">
        <v>53.7</v>
      </c>
      <c r="P244" s="225">
        <v>1928.5</v>
      </c>
    </row>
    <row r="245" spans="1:6" s="216" customFormat="1" ht="11.25">
      <c r="A245" s="40">
        <v>121</v>
      </c>
      <c r="B245" s="216" t="s">
        <v>810</v>
      </c>
      <c r="C245" s="216" t="s">
        <v>1323</v>
      </c>
      <c r="E245" s="222" t="s">
        <v>1489</v>
      </c>
      <c r="F245" s="230"/>
    </row>
    <row r="246" spans="1:16" s="225" customFormat="1" ht="11.25">
      <c r="A246" s="224"/>
      <c r="D246" s="225" t="s">
        <v>1490</v>
      </c>
      <c r="E246" s="224" t="s">
        <v>1491</v>
      </c>
      <c r="F246" s="227" t="s">
        <v>1492</v>
      </c>
      <c r="G246" s="225">
        <v>1173.7</v>
      </c>
      <c r="L246" s="225">
        <v>46.4</v>
      </c>
      <c r="N246" s="225">
        <v>45.8</v>
      </c>
      <c r="P246" s="225">
        <v>1140.2</v>
      </c>
    </row>
    <row r="247" spans="1:6" s="216" customFormat="1" ht="11.25">
      <c r="A247" s="40">
        <v>122</v>
      </c>
      <c r="B247" s="216" t="s">
        <v>852</v>
      </c>
      <c r="C247" s="216" t="s">
        <v>1323</v>
      </c>
      <c r="E247" s="222" t="s">
        <v>1493</v>
      </c>
      <c r="F247" s="231"/>
    </row>
    <row r="248" spans="1:16" s="225" customFormat="1" ht="11.25">
      <c r="A248" s="224"/>
      <c r="D248" s="225" t="s">
        <v>1494</v>
      </c>
      <c r="E248" s="224" t="s">
        <v>1491</v>
      </c>
      <c r="F248" s="227" t="s">
        <v>1492</v>
      </c>
      <c r="G248" s="225">
        <v>10973</v>
      </c>
      <c r="L248" s="225">
        <v>295</v>
      </c>
      <c r="N248" s="225">
        <v>303.9</v>
      </c>
      <c r="P248" s="225">
        <v>10921.8</v>
      </c>
    </row>
    <row r="249" spans="1:6" s="216" customFormat="1" ht="11.25">
      <c r="A249" s="40">
        <v>123</v>
      </c>
      <c r="B249" s="216" t="s">
        <v>852</v>
      </c>
      <c r="C249" s="216" t="s">
        <v>1495</v>
      </c>
      <c r="E249" s="222" t="s">
        <v>1496</v>
      </c>
      <c r="F249" s="230" t="s">
        <v>1460</v>
      </c>
    </row>
    <row r="250" spans="1:16" s="225" customFormat="1" ht="11.25">
      <c r="A250" s="224"/>
      <c r="D250" s="225" t="s">
        <v>1497</v>
      </c>
      <c r="E250" s="224" t="s">
        <v>1498</v>
      </c>
      <c r="F250" s="227">
        <v>0.005</v>
      </c>
      <c r="G250" s="225">
        <v>2215.3</v>
      </c>
      <c r="N250" s="225">
        <v>91.5</v>
      </c>
      <c r="P250" s="225">
        <v>2237.4</v>
      </c>
    </row>
    <row r="251" spans="1:6" s="216" customFormat="1" ht="11.25">
      <c r="A251" s="40">
        <v>124</v>
      </c>
      <c r="B251" s="216" t="s">
        <v>852</v>
      </c>
      <c r="C251" s="216" t="s">
        <v>1495</v>
      </c>
      <c r="E251" s="222" t="s">
        <v>1499</v>
      </c>
      <c r="F251" s="230" t="s">
        <v>1460</v>
      </c>
    </row>
    <row r="252" spans="1:16" s="225" customFormat="1" ht="11.25">
      <c r="A252" s="224"/>
      <c r="D252" s="225" t="s">
        <v>1500</v>
      </c>
      <c r="E252" s="224" t="s">
        <v>1498</v>
      </c>
      <c r="F252" s="227">
        <v>0.005</v>
      </c>
      <c r="G252" s="225">
        <v>116.6</v>
      </c>
      <c r="N252" s="225">
        <v>4.9</v>
      </c>
      <c r="P252" s="225">
        <v>117.7</v>
      </c>
    </row>
    <row r="253" spans="1:6" s="216" customFormat="1" ht="11.25">
      <c r="A253" s="40">
        <v>125</v>
      </c>
      <c r="B253" s="216" t="s">
        <v>852</v>
      </c>
      <c r="C253" s="216" t="s">
        <v>1501</v>
      </c>
      <c r="E253" s="222" t="s">
        <v>1502</v>
      </c>
      <c r="F253" s="230" t="s">
        <v>1460</v>
      </c>
    </row>
    <row r="254" spans="1:16" s="225" customFormat="1" ht="11.25">
      <c r="A254" s="224"/>
      <c r="C254" s="225" t="s">
        <v>840</v>
      </c>
      <c r="D254" s="225" t="s">
        <v>1503</v>
      </c>
      <c r="E254" s="224" t="s">
        <v>1504</v>
      </c>
      <c r="F254" s="227">
        <v>0.005</v>
      </c>
      <c r="G254" s="225">
        <v>8.4</v>
      </c>
      <c r="L254" s="225">
        <v>0.3</v>
      </c>
      <c r="M254" s="225">
        <v>0.3</v>
      </c>
      <c r="N254" s="225">
        <v>0.3</v>
      </c>
      <c r="O254" s="225">
        <v>0.3</v>
      </c>
      <c r="P254" s="225">
        <v>7.4</v>
      </c>
    </row>
    <row r="255" spans="1:6" s="216" customFormat="1" ht="11.25">
      <c r="A255" s="40">
        <v>126</v>
      </c>
      <c r="B255" s="216" t="s">
        <v>852</v>
      </c>
      <c r="C255" s="216" t="s">
        <v>1501</v>
      </c>
      <c r="E255" s="222" t="s">
        <v>1505</v>
      </c>
      <c r="F255" s="230" t="s">
        <v>1460</v>
      </c>
    </row>
    <row r="256" spans="1:16" s="225" customFormat="1" ht="11.25">
      <c r="A256" s="224"/>
      <c r="C256" s="225" t="s">
        <v>840</v>
      </c>
      <c r="D256" s="225" t="s">
        <v>1506</v>
      </c>
      <c r="E256" s="224" t="s">
        <v>1504</v>
      </c>
      <c r="F256" s="227">
        <v>0.005</v>
      </c>
      <c r="G256" s="225">
        <v>1730.1</v>
      </c>
      <c r="L256" s="225">
        <v>0.7</v>
      </c>
      <c r="M256" s="225">
        <v>0.7</v>
      </c>
      <c r="N256" s="225">
        <v>0.7</v>
      </c>
      <c r="O256" s="225">
        <v>0.7</v>
      </c>
      <c r="P256" s="225">
        <v>1727.3</v>
      </c>
    </row>
    <row r="257" spans="1:6" s="216" customFormat="1" ht="11.25">
      <c r="A257" s="40">
        <v>127</v>
      </c>
      <c r="B257" s="216" t="s">
        <v>852</v>
      </c>
      <c r="C257" s="216" t="s">
        <v>1501</v>
      </c>
      <c r="E257" s="222" t="s">
        <v>1507</v>
      </c>
      <c r="F257" s="230" t="s">
        <v>1460</v>
      </c>
    </row>
    <row r="258" spans="1:16" s="225" customFormat="1" ht="11.25">
      <c r="A258" s="224"/>
      <c r="C258" s="225" t="s">
        <v>840</v>
      </c>
      <c r="D258" s="225" t="s">
        <v>1508</v>
      </c>
      <c r="E258" s="224" t="s">
        <v>1504</v>
      </c>
      <c r="F258" s="227">
        <v>0.005</v>
      </c>
      <c r="G258" s="225">
        <v>1131.9</v>
      </c>
      <c r="L258" s="225">
        <v>211</v>
      </c>
      <c r="M258" s="225">
        <v>2.3</v>
      </c>
      <c r="N258" s="225">
        <v>4.8</v>
      </c>
      <c r="O258" s="225">
        <v>30.8</v>
      </c>
      <c r="P258" s="225">
        <v>883</v>
      </c>
    </row>
    <row r="259" spans="1:6" s="216" customFormat="1" ht="11.25">
      <c r="A259" s="40">
        <v>128</v>
      </c>
      <c r="B259" s="216" t="s">
        <v>852</v>
      </c>
      <c r="C259" s="216" t="s">
        <v>1501</v>
      </c>
      <c r="E259" s="222" t="s">
        <v>1509</v>
      </c>
      <c r="F259" s="230" t="s">
        <v>1460</v>
      </c>
    </row>
    <row r="260" spans="1:16" s="225" customFormat="1" ht="11.25">
      <c r="A260" s="224"/>
      <c r="C260" s="225" t="s">
        <v>840</v>
      </c>
      <c r="D260" s="225" t="s">
        <v>1510</v>
      </c>
      <c r="E260" s="224" t="s">
        <v>1511</v>
      </c>
      <c r="F260" s="227">
        <v>0.005</v>
      </c>
      <c r="G260" s="225">
        <v>198.7</v>
      </c>
      <c r="L260" s="225">
        <v>8.8</v>
      </c>
      <c r="M260" s="225">
        <v>13.2</v>
      </c>
      <c r="N260" s="225">
        <v>13.2</v>
      </c>
      <c r="O260" s="225">
        <v>13.2</v>
      </c>
      <c r="P260" s="225">
        <v>150.5</v>
      </c>
    </row>
    <row r="261" spans="1:6" s="216" customFormat="1" ht="11.25">
      <c r="A261" s="40">
        <v>129</v>
      </c>
      <c r="B261" s="216" t="s">
        <v>852</v>
      </c>
      <c r="C261" s="216" t="s">
        <v>1501</v>
      </c>
      <c r="E261" s="222" t="s">
        <v>1512</v>
      </c>
      <c r="F261" s="230" t="s">
        <v>1460</v>
      </c>
    </row>
    <row r="262" spans="1:16" s="225" customFormat="1" ht="11.25">
      <c r="A262" s="224"/>
      <c r="C262" s="225" t="s">
        <v>840</v>
      </c>
      <c r="D262" s="225" t="s">
        <v>1513</v>
      </c>
      <c r="E262" s="224" t="s">
        <v>1514</v>
      </c>
      <c r="F262" s="227">
        <v>0.005</v>
      </c>
      <c r="G262" s="225">
        <v>1178.9</v>
      </c>
      <c r="L262" s="225">
        <v>11.1</v>
      </c>
      <c r="M262" s="225">
        <v>11.1</v>
      </c>
      <c r="N262" s="225">
        <v>22.2</v>
      </c>
      <c r="O262" s="225">
        <v>53.3</v>
      </c>
      <c r="P262" s="225">
        <v>1081.2</v>
      </c>
    </row>
    <row r="263" spans="1:6" s="216" customFormat="1" ht="11.25">
      <c r="A263" s="40">
        <v>130</v>
      </c>
      <c r="B263" s="216" t="s">
        <v>852</v>
      </c>
      <c r="C263" s="216" t="s">
        <v>1501</v>
      </c>
      <c r="E263" s="222" t="s">
        <v>1515</v>
      </c>
      <c r="F263" s="230" t="s">
        <v>1325</v>
      </c>
    </row>
    <row r="264" spans="1:16" s="225" customFormat="1" ht="11.25">
      <c r="A264" s="224"/>
      <c r="C264" s="225" t="s">
        <v>840</v>
      </c>
      <c r="D264" s="225" t="s">
        <v>1439</v>
      </c>
      <c r="E264" s="224" t="s">
        <v>1516</v>
      </c>
      <c r="F264" s="227">
        <v>0.005</v>
      </c>
      <c r="G264" s="225">
        <v>896.4</v>
      </c>
      <c r="L264" s="225">
        <v>68.9</v>
      </c>
      <c r="M264" s="225">
        <v>21.2</v>
      </c>
      <c r="N264" s="225">
        <v>67.9</v>
      </c>
      <c r="O264" s="225">
        <v>69.2</v>
      </c>
      <c r="P264" s="225">
        <v>693.6</v>
      </c>
    </row>
    <row r="265" spans="1:6" s="216" customFormat="1" ht="11.25">
      <c r="A265" s="40">
        <v>131</v>
      </c>
      <c r="B265" s="216" t="s">
        <v>852</v>
      </c>
      <c r="C265" s="216" t="s">
        <v>1501</v>
      </c>
      <c r="E265" s="222" t="s">
        <v>1512</v>
      </c>
      <c r="F265" s="230" t="s">
        <v>1325</v>
      </c>
    </row>
    <row r="266" spans="1:16" s="225" customFormat="1" ht="11.25">
      <c r="A266" s="224"/>
      <c r="C266" s="225" t="s">
        <v>840</v>
      </c>
      <c r="D266" s="225" t="s">
        <v>1513</v>
      </c>
      <c r="E266" s="224" t="s">
        <v>1517</v>
      </c>
      <c r="F266" s="227">
        <v>0.005</v>
      </c>
      <c r="G266" s="225">
        <v>3086</v>
      </c>
      <c r="L266" s="225">
        <v>118.6</v>
      </c>
      <c r="M266" s="225">
        <v>84</v>
      </c>
      <c r="N266" s="225">
        <v>166.6</v>
      </c>
      <c r="O266" s="225">
        <v>63.2</v>
      </c>
      <c r="P266" s="225">
        <v>2772</v>
      </c>
    </row>
    <row r="267" spans="1:6" s="229" customFormat="1" ht="11.25">
      <c r="A267" s="40">
        <v>132</v>
      </c>
      <c r="B267" s="216" t="s">
        <v>852</v>
      </c>
      <c r="C267" s="216" t="s">
        <v>1501</v>
      </c>
      <c r="E267" s="222" t="s">
        <v>1507</v>
      </c>
      <c r="F267" s="230" t="s">
        <v>1325</v>
      </c>
    </row>
    <row r="268" spans="1:16" s="225" customFormat="1" ht="11.25">
      <c r="A268" s="224"/>
      <c r="C268" s="225" t="s">
        <v>840</v>
      </c>
      <c r="D268" s="225" t="s">
        <v>1508</v>
      </c>
      <c r="E268" s="224" t="s">
        <v>1518</v>
      </c>
      <c r="F268" s="227">
        <v>0.005</v>
      </c>
      <c r="G268" s="225">
        <v>682.6</v>
      </c>
      <c r="L268" s="225">
        <v>84</v>
      </c>
      <c r="N268" s="225">
        <v>105.1</v>
      </c>
      <c r="O268" s="225">
        <v>72.8</v>
      </c>
      <c r="P268" s="225">
        <v>452.4</v>
      </c>
    </row>
    <row r="269" spans="1:6" s="229" customFormat="1" ht="11.25">
      <c r="A269" s="40">
        <v>133</v>
      </c>
      <c r="B269" s="216" t="s">
        <v>852</v>
      </c>
      <c r="C269" s="216" t="s">
        <v>1323</v>
      </c>
      <c r="E269" s="222" t="s">
        <v>1519</v>
      </c>
      <c r="F269" s="230" t="s">
        <v>1325</v>
      </c>
    </row>
    <row r="270" spans="1:16" s="225" customFormat="1" ht="11.25">
      <c r="A270" s="224"/>
      <c r="D270" s="225" t="s">
        <v>1508</v>
      </c>
      <c r="E270" s="224" t="s">
        <v>1520</v>
      </c>
      <c r="F270" s="227">
        <v>0.005</v>
      </c>
      <c r="G270" s="225">
        <v>1374.4</v>
      </c>
      <c r="I270" s="225">
        <v>37.6</v>
      </c>
      <c r="J270" s="225">
        <v>169.7</v>
      </c>
      <c r="K270" s="225">
        <v>330.2</v>
      </c>
      <c r="P270" s="225">
        <v>1923.3</v>
      </c>
    </row>
    <row r="271" spans="1:6" s="229" customFormat="1" ht="11.25">
      <c r="A271" s="40">
        <v>134</v>
      </c>
      <c r="B271" s="216" t="s">
        <v>852</v>
      </c>
      <c r="C271" s="216" t="s">
        <v>1323</v>
      </c>
      <c r="E271" s="222" t="s">
        <v>1521</v>
      </c>
      <c r="F271" s="230" t="s">
        <v>1325</v>
      </c>
    </row>
    <row r="272" spans="1:16" s="225" customFormat="1" ht="11.25">
      <c r="A272" s="224"/>
      <c r="D272" s="225" t="s">
        <v>1513</v>
      </c>
      <c r="E272" s="224" t="s">
        <v>1520</v>
      </c>
      <c r="F272" s="227">
        <v>0.005</v>
      </c>
      <c r="G272" s="225">
        <v>615</v>
      </c>
      <c r="H272" s="225">
        <v>239.3</v>
      </c>
      <c r="I272" s="225">
        <v>149.9</v>
      </c>
      <c r="J272" s="225">
        <v>90.7</v>
      </c>
      <c r="K272" s="225">
        <v>22.9</v>
      </c>
      <c r="P272" s="225">
        <v>1105.4</v>
      </c>
    </row>
    <row r="273" spans="1:6" s="229" customFormat="1" ht="11.25">
      <c r="A273" s="40">
        <v>135</v>
      </c>
      <c r="B273" s="216" t="s">
        <v>852</v>
      </c>
      <c r="C273" s="216" t="s">
        <v>1323</v>
      </c>
      <c r="E273" s="222" t="s">
        <v>1522</v>
      </c>
      <c r="F273" s="230" t="s">
        <v>1325</v>
      </c>
    </row>
    <row r="274" spans="1:16" s="225" customFormat="1" ht="11.25">
      <c r="A274" s="224"/>
      <c r="D274" s="225" t="s">
        <v>1510</v>
      </c>
      <c r="E274" s="224" t="s">
        <v>1520</v>
      </c>
      <c r="F274" s="227" t="s">
        <v>1523</v>
      </c>
      <c r="J274" s="225">
        <v>39.3</v>
      </c>
      <c r="K274" s="225">
        <v>107</v>
      </c>
      <c r="P274" s="225">
        <v>150.1</v>
      </c>
    </row>
    <row r="275" spans="1:6" s="216" customFormat="1" ht="11.25">
      <c r="A275" s="40">
        <v>136</v>
      </c>
      <c r="B275" s="216" t="s">
        <v>852</v>
      </c>
      <c r="C275" s="216" t="s">
        <v>1205</v>
      </c>
      <c r="E275" s="222" t="s">
        <v>1524</v>
      </c>
      <c r="F275" s="230" t="s">
        <v>1460</v>
      </c>
    </row>
    <row r="276" spans="1:16" s="225" customFormat="1" ht="11.25">
      <c r="A276" s="224"/>
      <c r="D276" s="225" t="s">
        <v>1525</v>
      </c>
      <c r="E276" s="224" t="s">
        <v>1526</v>
      </c>
      <c r="F276" s="227">
        <v>0.005</v>
      </c>
      <c r="G276" s="225">
        <v>7784.4</v>
      </c>
      <c r="H276" s="225">
        <v>28.6</v>
      </c>
      <c r="I276" s="225">
        <v>237.6</v>
      </c>
      <c r="J276" s="225">
        <v>8.2</v>
      </c>
      <c r="M276" s="225">
        <v>117.7</v>
      </c>
      <c r="N276" s="225">
        <v>178.7</v>
      </c>
      <c r="O276" s="225">
        <v>40.6</v>
      </c>
      <c r="P276" s="225">
        <v>8126.9</v>
      </c>
    </row>
    <row r="277" spans="1:7" s="216" customFormat="1" ht="10.5" customHeight="1">
      <c r="A277" s="40">
        <v>137</v>
      </c>
      <c r="B277" s="216" t="s">
        <v>810</v>
      </c>
      <c r="C277" s="216" t="s">
        <v>1235</v>
      </c>
      <c r="D277" s="3"/>
      <c r="E277" s="222" t="s">
        <v>1371</v>
      </c>
      <c r="F277" s="230" t="s">
        <v>1460</v>
      </c>
      <c r="G277" s="3"/>
    </row>
    <row r="278" spans="1:16" s="225" customFormat="1" ht="11.25">
      <c r="A278" s="224"/>
      <c r="D278" s="225" t="s">
        <v>1527</v>
      </c>
      <c r="E278" s="224" t="s">
        <v>1528</v>
      </c>
      <c r="F278" s="227">
        <v>0.005</v>
      </c>
      <c r="G278" s="225">
        <v>188.5</v>
      </c>
      <c r="M278" s="225">
        <v>7.8</v>
      </c>
      <c r="O278" s="225">
        <v>8.1</v>
      </c>
      <c r="P278" s="225">
        <v>182.5</v>
      </c>
    </row>
    <row r="279" spans="1:7" s="216" customFormat="1" ht="10.5" customHeight="1">
      <c r="A279" s="40">
        <v>138</v>
      </c>
      <c r="B279" s="216" t="s">
        <v>810</v>
      </c>
      <c r="C279" s="216" t="s">
        <v>1221</v>
      </c>
      <c r="D279" s="3"/>
      <c r="E279" s="222" t="s">
        <v>1529</v>
      </c>
      <c r="F279" s="230" t="s">
        <v>1460</v>
      </c>
      <c r="G279" s="3"/>
    </row>
    <row r="280" spans="1:16" s="225" customFormat="1" ht="11.25">
      <c r="A280" s="224"/>
      <c r="D280" s="225" t="s">
        <v>1530</v>
      </c>
      <c r="E280" s="224" t="s">
        <v>1531</v>
      </c>
      <c r="F280" s="227">
        <v>0.005</v>
      </c>
      <c r="G280" s="225">
        <v>8631.1</v>
      </c>
      <c r="H280" s="225">
        <v>70.3</v>
      </c>
      <c r="I280" s="225">
        <v>9.3</v>
      </c>
      <c r="J280" s="225">
        <v>306.3</v>
      </c>
      <c r="K280" s="225">
        <v>276.9</v>
      </c>
      <c r="M280" s="225">
        <v>249.9</v>
      </c>
      <c r="O280" s="225">
        <v>252.7</v>
      </c>
      <c r="P280" s="225">
        <v>9235.2</v>
      </c>
    </row>
    <row r="281" spans="1:7" s="216" customFormat="1" ht="10.5" customHeight="1">
      <c r="A281" s="40">
        <v>139</v>
      </c>
      <c r="B281" s="216" t="s">
        <v>810</v>
      </c>
      <c r="C281" s="216" t="s">
        <v>1235</v>
      </c>
      <c r="D281" s="3"/>
      <c r="E281" s="222" t="s">
        <v>1529</v>
      </c>
      <c r="F281" s="230" t="s">
        <v>1460</v>
      </c>
      <c r="G281" s="3"/>
    </row>
    <row r="282" spans="1:16" s="225" customFormat="1" ht="11.25">
      <c r="A282" s="224"/>
      <c r="D282" s="225" t="s">
        <v>1532</v>
      </c>
      <c r="E282" s="224" t="s">
        <v>1531</v>
      </c>
      <c r="F282" s="227">
        <v>0.005</v>
      </c>
      <c r="G282" s="225">
        <v>914.1</v>
      </c>
      <c r="H282" s="225">
        <v>599.3</v>
      </c>
      <c r="I282" s="225">
        <v>235.2</v>
      </c>
      <c r="J282" s="225">
        <v>1020.3</v>
      </c>
      <c r="K282" s="225">
        <v>859.2</v>
      </c>
      <c r="M282" s="225">
        <v>101.6</v>
      </c>
      <c r="O282" s="225">
        <v>102.7</v>
      </c>
      <c r="P282" s="225">
        <v>3503</v>
      </c>
    </row>
    <row r="283" spans="1:7" s="216" customFormat="1" ht="10.5" customHeight="1">
      <c r="A283" s="40">
        <v>140</v>
      </c>
      <c r="B283" s="216" t="s">
        <v>810</v>
      </c>
      <c r="C283" s="216" t="s">
        <v>1235</v>
      </c>
      <c r="D283" s="3"/>
      <c r="E283" s="222" t="s">
        <v>1533</v>
      </c>
      <c r="F283" s="230" t="s">
        <v>1460</v>
      </c>
      <c r="G283" s="3"/>
    </row>
    <row r="284" spans="1:16" s="225" customFormat="1" ht="11.25">
      <c r="A284" s="224"/>
      <c r="D284" s="225" t="s">
        <v>1534</v>
      </c>
      <c r="E284" s="224" t="s">
        <v>1531</v>
      </c>
      <c r="F284" s="227">
        <v>0.005</v>
      </c>
      <c r="G284" s="225">
        <v>26.4</v>
      </c>
      <c r="H284" s="225">
        <v>9.6</v>
      </c>
      <c r="J284" s="225">
        <v>11.2</v>
      </c>
      <c r="O284" s="225">
        <v>3</v>
      </c>
      <c r="P284" s="225">
        <v>45.9</v>
      </c>
    </row>
    <row r="285" spans="1:7" s="216" customFormat="1" ht="10.5" customHeight="1">
      <c r="A285" s="40">
        <v>141</v>
      </c>
      <c r="B285" s="216" t="s">
        <v>810</v>
      </c>
      <c r="C285" s="216" t="s">
        <v>1235</v>
      </c>
      <c r="D285" s="3"/>
      <c r="E285" s="222" t="s">
        <v>1535</v>
      </c>
      <c r="F285" s="230" t="s">
        <v>1460</v>
      </c>
      <c r="G285" s="3"/>
    </row>
    <row r="286" spans="1:16" s="225" customFormat="1" ht="11.25">
      <c r="A286" s="224"/>
      <c r="D286" s="225" t="s">
        <v>1536</v>
      </c>
      <c r="E286" s="224" t="s">
        <v>1537</v>
      </c>
      <c r="F286" s="227">
        <v>0.005</v>
      </c>
      <c r="G286" s="225">
        <v>26.3</v>
      </c>
      <c r="M286" s="225">
        <v>1.2</v>
      </c>
      <c r="O286" s="225">
        <v>1.2</v>
      </c>
      <c r="P286" s="225">
        <v>25.2</v>
      </c>
    </row>
    <row r="287" spans="1:7" s="216" customFormat="1" ht="10.5" customHeight="1">
      <c r="A287" s="40">
        <v>142</v>
      </c>
      <c r="B287" s="216" t="s">
        <v>810</v>
      </c>
      <c r="C287" s="216" t="s">
        <v>1235</v>
      </c>
      <c r="D287" s="3"/>
      <c r="E287" s="222" t="s">
        <v>1538</v>
      </c>
      <c r="F287" s="230" t="s">
        <v>1460</v>
      </c>
      <c r="G287" s="3"/>
    </row>
    <row r="288" spans="1:16" s="225" customFormat="1" ht="11.25">
      <c r="A288" s="224"/>
      <c r="D288" s="225" t="s">
        <v>1539</v>
      </c>
      <c r="E288" s="224" t="s">
        <v>1537</v>
      </c>
      <c r="F288" s="227">
        <v>0.005</v>
      </c>
      <c r="G288" s="225">
        <v>24.5</v>
      </c>
      <c r="M288" s="225">
        <v>1</v>
      </c>
      <c r="O288" s="225">
        <v>1</v>
      </c>
      <c r="P288" s="225">
        <v>23.7</v>
      </c>
    </row>
    <row r="289" spans="1:7" s="216" customFormat="1" ht="10.5" customHeight="1">
      <c r="A289" s="40">
        <v>143</v>
      </c>
      <c r="B289" s="216" t="s">
        <v>810</v>
      </c>
      <c r="C289" s="216" t="s">
        <v>1205</v>
      </c>
      <c r="D289" s="3"/>
      <c r="E289" s="222" t="s">
        <v>1540</v>
      </c>
      <c r="F289" s="230" t="s">
        <v>1460</v>
      </c>
      <c r="G289" s="3"/>
    </row>
    <row r="290" spans="1:16" s="225" customFormat="1" ht="11.25">
      <c r="A290" s="224"/>
      <c r="D290" s="225" t="s">
        <v>1541</v>
      </c>
      <c r="E290" s="224" t="s">
        <v>1542</v>
      </c>
      <c r="F290" s="227">
        <v>0.005</v>
      </c>
      <c r="G290" s="225">
        <v>37.3</v>
      </c>
      <c r="M290" s="225">
        <v>1.4</v>
      </c>
      <c r="O290" s="225">
        <v>1.3</v>
      </c>
      <c r="P290" s="225">
        <v>36.5</v>
      </c>
    </row>
    <row r="291" spans="1:7" s="216" customFormat="1" ht="10.5" customHeight="1">
      <c r="A291" s="40">
        <v>144</v>
      </c>
      <c r="B291" s="216" t="s">
        <v>810</v>
      </c>
      <c r="C291" s="216" t="s">
        <v>1205</v>
      </c>
      <c r="D291" s="3"/>
      <c r="E291" s="222" t="s">
        <v>1535</v>
      </c>
      <c r="F291" s="230" t="s">
        <v>1460</v>
      </c>
      <c r="G291" s="3"/>
    </row>
    <row r="292" spans="1:16" s="225" customFormat="1" ht="11.25">
      <c r="A292" s="224"/>
      <c r="D292" s="225" t="s">
        <v>1543</v>
      </c>
      <c r="E292" s="224" t="s">
        <v>1537</v>
      </c>
      <c r="F292" s="227">
        <v>0.005</v>
      </c>
      <c r="G292" s="225">
        <v>25.2</v>
      </c>
      <c r="M292" s="225">
        <v>1.3</v>
      </c>
      <c r="O292" s="225">
        <v>1.3</v>
      </c>
      <c r="P292" s="225">
        <v>23.9</v>
      </c>
    </row>
    <row r="293" spans="1:7" s="216" customFormat="1" ht="10.5" customHeight="1">
      <c r="A293" s="40">
        <v>145</v>
      </c>
      <c r="B293" s="216" t="s">
        <v>810</v>
      </c>
      <c r="C293" s="216" t="s">
        <v>1205</v>
      </c>
      <c r="D293" s="3"/>
      <c r="E293" s="222" t="s">
        <v>1535</v>
      </c>
      <c r="F293" s="230" t="s">
        <v>1460</v>
      </c>
      <c r="G293" s="3"/>
    </row>
    <row r="294" spans="1:16" s="225" customFormat="1" ht="11.25">
      <c r="A294" s="224"/>
      <c r="D294" s="225" t="s">
        <v>1544</v>
      </c>
      <c r="E294" s="224" t="s">
        <v>1542</v>
      </c>
      <c r="F294" s="227">
        <v>0.005</v>
      </c>
      <c r="G294" s="225">
        <v>74.9</v>
      </c>
      <c r="M294" s="225">
        <v>3.7</v>
      </c>
      <c r="O294" s="225">
        <v>3.7</v>
      </c>
      <c r="P294" s="225">
        <v>71.3</v>
      </c>
    </row>
    <row r="295" spans="1:7" s="216" customFormat="1" ht="10.5" customHeight="1">
      <c r="A295" s="40">
        <v>146</v>
      </c>
      <c r="B295" s="216" t="s">
        <v>810</v>
      </c>
      <c r="C295" s="216" t="s">
        <v>1545</v>
      </c>
      <c r="D295" s="3"/>
      <c r="E295" s="222" t="s">
        <v>1546</v>
      </c>
      <c r="F295" s="230" t="s">
        <v>1460</v>
      </c>
      <c r="G295" s="3"/>
    </row>
    <row r="296" spans="1:16" s="225" customFormat="1" ht="11.25">
      <c r="A296" s="224"/>
      <c r="D296" s="225" t="s">
        <v>1547</v>
      </c>
      <c r="E296" s="224" t="s">
        <v>1542</v>
      </c>
      <c r="F296" s="227">
        <v>0.005</v>
      </c>
      <c r="G296" s="225">
        <v>27.6</v>
      </c>
      <c r="M296" s="225">
        <v>1.1</v>
      </c>
      <c r="O296" s="225">
        <v>1.1</v>
      </c>
      <c r="P296" s="225">
        <v>26.8</v>
      </c>
    </row>
    <row r="297" spans="1:6" s="229" customFormat="1" ht="11.25">
      <c r="A297" s="40">
        <v>147</v>
      </c>
      <c r="B297" s="216" t="s">
        <v>810</v>
      </c>
      <c r="C297" s="216" t="s">
        <v>1235</v>
      </c>
      <c r="E297" s="222" t="s">
        <v>1548</v>
      </c>
      <c r="F297" s="230" t="s">
        <v>1460</v>
      </c>
    </row>
    <row r="298" spans="1:16" s="225" customFormat="1" ht="11.25">
      <c r="A298" s="224"/>
      <c r="D298" s="225" t="s">
        <v>1549</v>
      </c>
      <c r="E298" s="224" t="s">
        <v>1542</v>
      </c>
      <c r="F298" s="227">
        <v>0.005</v>
      </c>
      <c r="G298" s="225">
        <v>41.8</v>
      </c>
      <c r="M298" s="225">
        <v>1.7</v>
      </c>
      <c r="O298" s="225">
        <v>1.8</v>
      </c>
      <c r="P298" s="225">
        <v>40.5</v>
      </c>
    </row>
    <row r="299" spans="1:6" s="229" customFormat="1" ht="11.25">
      <c r="A299" s="40">
        <v>148</v>
      </c>
      <c r="B299" s="216" t="s">
        <v>810</v>
      </c>
      <c r="C299" s="216" t="s">
        <v>1235</v>
      </c>
      <c r="E299" s="222" t="s">
        <v>1550</v>
      </c>
      <c r="F299" s="230" t="s">
        <v>1460</v>
      </c>
    </row>
    <row r="300" spans="1:16" s="225" customFormat="1" ht="11.25">
      <c r="A300" s="224"/>
      <c r="D300" s="225" t="s">
        <v>1551</v>
      </c>
      <c r="E300" s="224" t="s">
        <v>1537</v>
      </c>
      <c r="F300" s="227">
        <v>0.005</v>
      </c>
      <c r="G300" s="225">
        <v>40.7</v>
      </c>
      <c r="M300" s="225">
        <v>2.4</v>
      </c>
      <c r="O300" s="225">
        <v>2.3</v>
      </c>
      <c r="P300" s="225">
        <v>38.1</v>
      </c>
    </row>
    <row r="301" spans="1:7" s="216" customFormat="1" ht="10.5" customHeight="1">
      <c r="A301" s="40">
        <v>149</v>
      </c>
      <c r="B301" s="216" t="s">
        <v>810</v>
      </c>
      <c r="C301" s="216" t="s">
        <v>1235</v>
      </c>
      <c r="D301" s="3"/>
      <c r="E301" s="222" t="s">
        <v>1552</v>
      </c>
      <c r="F301" s="230" t="s">
        <v>1460</v>
      </c>
      <c r="G301" s="3"/>
    </row>
    <row r="302" spans="1:16" s="225" customFormat="1" ht="11.25">
      <c r="A302" s="224"/>
      <c r="D302" s="225" t="s">
        <v>1553</v>
      </c>
      <c r="E302" s="224" t="s">
        <v>1537</v>
      </c>
      <c r="F302" s="227">
        <v>0.005</v>
      </c>
      <c r="G302" s="225">
        <v>20.8</v>
      </c>
      <c r="M302" s="225">
        <v>0.9</v>
      </c>
      <c r="O302" s="225">
        <v>0.9</v>
      </c>
      <c r="P302" s="225">
        <v>20</v>
      </c>
    </row>
    <row r="303" spans="1:6" s="229" customFormat="1" ht="11.25">
      <c r="A303" s="40">
        <v>150</v>
      </c>
      <c r="B303" s="216" t="s">
        <v>810</v>
      </c>
      <c r="C303" s="216" t="s">
        <v>1554</v>
      </c>
      <c r="E303" s="222" t="s">
        <v>1555</v>
      </c>
      <c r="F303" s="230" t="s">
        <v>1460</v>
      </c>
    </row>
    <row r="304" spans="1:16" s="225" customFormat="1" ht="11.25">
      <c r="A304" s="224"/>
      <c r="C304" s="225" t="s">
        <v>1556</v>
      </c>
      <c r="D304" s="225" t="s">
        <v>1557</v>
      </c>
      <c r="E304" s="224" t="s">
        <v>1542</v>
      </c>
      <c r="F304" s="227">
        <v>0.005</v>
      </c>
      <c r="G304" s="225">
        <v>276.7</v>
      </c>
      <c r="M304" s="225">
        <v>13.2</v>
      </c>
      <c r="O304" s="225">
        <v>13.3</v>
      </c>
      <c r="P304" s="225">
        <v>264.6</v>
      </c>
    </row>
    <row r="305" spans="1:6" s="229" customFormat="1" ht="11.25">
      <c r="A305" s="40">
        <v>151</v>
      </c>
      <c r="B305" s="216" t="s">
        <v>810</v>
      </c>
      <c r="C305" s="216" t="s">
        <v>1205</v>
      </c>
      <c r="E305" s="222" t="s">
        <v>1558</v>
      </c>
      <c r="F305" s="230" t="s">
        <v>1460</v>
      </c>
    </row>
    <row r="306" spans="1:16" s="225" customFormat="1" ht="11.25">
      <c r="A306" s="224"/>
      <c r="D306" s="225" t="s">
        <v>1559</v>
      </c>
      <c r="E306" s="224" t="s">
        <v>1560</v>
      </c>
      <c r="F306" s="227">
        <v>0.005</v>
      </c>
      <c r="G306" s="225">
        <v>56.7</v>
      </c>
      <c r="M306" s="225">
        <v>2</v>
      </c>
      <c r="O306" s="225">
        <v>2</v>
      </c>
      <c r="P306" s="225">
        <v>55.6</v>
      </c>
    </row>
    <row r="307" spans="1:6" s="229" customFormat="1" ht="11.25">
      <c r="A307" s="40">
        <v>152</v>
      </c>
      <c r="B307" s="216" t="s">
        <v>810</v>
      </c>
      <c r="C307" s="216" t="s">
        <v>1205</v>
      </c>
      <c r="E307" s="222" t="s">
        <v>1561</v>
      </c>
      <c r="F307" s="230" t="s">
        <v>1460</v>
      </c>
    </row>
    <row r="308" spans="1:16" s="225" customFormat="1" ht="11.25">
      <c r="A308" s="224"/>
      <c r="D308" s="225" t="s">
        <v>1562</v>
      </c>
      <c r="E308" s="224" t="s">
        <v>1560</v>
      </c>
      <c r="F308" s="227">
        <v>0.005</v>
      </c>
      <c r="G308" s="225">
        <v>66.4</v>
      </c>
      <c r="M308" s="225">
        <v>2.2</v>
      </c>
      <c r="O308" s="225">
        <v>2.4</v>
      </c>
      <c r="P308" s="225">
        <v>65.3</v>
      </c>
    </row>
    <row r="309" spans="1:6" s="229" customFormat="1" ht="11.25">
      <c r="A309" s="40">
        <v>153</v>
      </c>
      <c r="B309" s="216" t="s">
        <v>810</v>
      </c>
      <c r="C309" s="216" t="s">
        <v>1235</v>
      </c>
      <c r="E309" s="222" t="s">
        <v>1563</v>
      </c>
      <c r="F309" s="230" t="s">
        <v>1460</v>
      </c>
    </row>
    <row r="310" spans="1:16" s="225" customFormat="1" ht="11.25">
      <c r="A310" s="224"/>
      <c r="D310" s="225" t="s">
        <v>1564</v>
      </c>
      <c r="E310" s="224" t="s">
        <v>1560</v>
      </c>
      <c r="F310" s="227">
        <v>0.005</v>
      </c>
      <c r="G310" s="225">
        <v>68.7</v>
      </c>
      <c r="M310" s="225">
        <v>3</v>
      </c>
      <c r="O310" s="225">
        <v>3</v>
      </c>
      <c r="P310" s="225">
        <v>66.4</v>
      </c>
    </row>
    <row r="311" spans="1:6" s="229" customFormat="1" ht="11.25">
      <c r="A311" s="40">
        <v>154</v>
      </c>
      <c r="B311" s="216" t="s">
        <v>810</v>
      </c>
      <c r="C311" s="216" t="s">
        <v>1235</v>
      </c>
      <c r="E311" s="222" t="s">
        <v>1565</v>
      </c>
      <c r="F311" s="230" t="s">
        <v>1460</v>
      </c>
    </row>
    <row r="312" spans="1:16" s="225" customFormat="1" ht="11.25">
      <c r="A312" s="224"/>
      <c r="D312" s="225" t="s">
        <v>1566</v>
      </c>
      <c r="E312" s="224" t="s">
        <v>1560</v>
      </c>
      <c r="F312" s="227">
        <v>0.005</v>
      </c>
      <c r="G312" s="225">
        <v>14.7</v>
      </c>
      <c r="M312" s="225">
        <v>0.4</v>
      </c>
      <c r="O312" s="225">
        <v>0.3</v>
      </c>
      <c r="P312" s="225">
        <v>14.7</v>
      </c>
    </row>
    <row r="313" spans="1:6" s="229" customFormat="1" ht="11.25">
      <c r="A313" s="40">
        <v>155</v>
      </c>
      <c r="B313" s="216" t="s">
        <v>810</v>
      </c>
      <c r="C313" s="216" t="s">
        <v>1567</v>
      </c>
      <c r="E313" s="222" t="s">
        <v>1568</v>
      </c>
      <c r="F313" s="230" t="s">
        <v>1460</v>
      </c>
    </row>
    <row r="314" spans="1:16" s="225" customFormat="1" ht="11.25">
      <c r="A314" s="224"/>
      <c r="C314" s="225" t="s">
        <v>1556</v>
      </c>
      <c r="D314" s="225" t="s">
        <v>1569</v>
      </c>
      <c r="E314" s="224" t="s">
        <v>1560</v>
      </c>
      <c r="F314" s="227">
        <v>0.005</v>
      </c>
      <c r="G314" s="225">
        <v>186.2</v>
      </c>
      <c r="M314" s="225">
        <v>8.4</v>
      </c>
      <c r="O314" s="225">
        <v>8.8</v>
      </c>
      <c r="P314" s="225">
        <v>178.8</v>
      </c>
    </row>
    <row r="315" spans="1:6" s="229" customFormat="1" ht="11.25">
      <c r="A315" s="40">
        <v>156</v>
      </c>
      <c r="B315" s="216" t="s">
        <v>810</v>
      </c>
      <c r="C315" s="216" t="s">
        <v>1235</v>
      </c>
      <c r="E315" s="222" t="s">
        <v>1570</v>
      </c>
      <c r="F315" s="230" t="s">
        <v>1460</v>
      </c>
    </row>
    <row r="316" spans="1:16" s="225" customFormat="1" ht="11.25">
      <c r="A316" s="224"/>
      <c r="D316" s="225" t="s">
        <v>1571</v>
      </c>
      <c r="E316" s="224" t="s">
        <v>1560</v>
      </c>
      <c r="F316" s="227">
        <v>0.005</v>
      </c>
      <c r="G316" s="225">
        <v>12.9</v>
      </c>
      <c r="M316" s="225">
        <v>0.4</v>
      </c>
      <c r="O316" s="225">
        <v>0.4</v>
      </c>
      <c r="P316" s="225">
        <v>12.8</v>
      </c>
    </row>
    <row r="317" spans="1:6" s="229" customFormat="1" ht="11.25">
      <c r="A317" s="40">
        <v>157</v>
      </c>
      <c r="B317" s="216" t="s">
        <v>810</v>
      </c>
      <c r="C317" s="216" t="s">
        <v>1235</v>
      </c>
      <c r="E317" s="222" t="s">
        <v>1572</v>
      </c>
      <c r="F317" s="230" t="s">
        <v>1460</v>
      </c>
    </row>
    <row r="318" spans="1:16" s="225" customFormat="1" ht="11.25">
      <c r="A318" s="224"/>
      <c r="D318" s="225" t="s">
        <v>1573</v>
      </c>
      <c r="E318" s="224" t="s">
        <v>1574</v>
      </c>
      <c r="F318" s="227">
        <v>0.005</v>
      </c>
      <c r="G318" s="225">
        <v>28</v>
      </c>
      <c r="M318" s="225">
        <v>1.8</v>
      </c>
      <c r="O318" s="225">
        <v>1.7</v>
      </c>
      <c r="P318" s="225">
        <v>25.9</v>
      </c>
    </row>
    <row r="319" spans="1:6" s="229" customFormat="1" ht="11.25">
      <c r="A319" s="40">
        <v>158</v>
      </c>
      <c r="B319" s="216" t="s">
        <v>810</v>
      </c>
      <c r="C319" s="216" t="s">
        <v>1235</v>
      </c>
      <c r="E319" s="222" t="s">
        <v>1575</v>
      </c>
      <c r="F319" s="230" t="s">
        <v>1460</v>
      </c>
    </row>
    <row r="320" spans="1:16" s="225" customFormat="1" ht="11.25">
      <c r="A320" s="224"/>
      <c r="D320" s="225" t="s">
        <v>1576</v>
      </c>
      <c r="E320" s="224" t="s">
        <v>1577</v>
      </c>
      <c r="F320" s="227">
        <v>0.005</v>
      </c>
      <c r="G320" s="225">
        <v>11.3</v>
      </c>
      <c r="M320" s="225">
        <v>0.3</v>
      </c>
      <c r="O320" s="225">
        <v>0.4</v>
      </c>
      <c r="P320" s="225">
        <v>11.2</v>
      </c>
    </row>
    <row r="321" spans="1:6" s="229" customFormat="1" ht="11.25">
      <c r="A321" s="40">
        <v>159</v>
      </c>
      <c r="B321" s="216" t="s">
        <v>810</v>
      </c>
      <c r="C321" s="216" t="s">
        <v>1235</v>
      </c>
      <c r="E321" s="222" t="s">
        <v>1572</v>
      </c>
      <c r="F321" s="230" t="s">
        <v>1460</v>
      </c>
    </row>
    <row r="322" spans="1:16" s="225" customFormat="1" ht="11.25">
      <c r="A322" s="224"/>
      <c r="D322" s="225" t="s">
        <v>1578</v>
      </c>
      <c r="E322" s="224" t="s">
        <v>1560</v>
      </c>
      <c r="F322" s="227">
        <v>0.005</v>
      </c>
      <c r="G322" s="225">
        <v>71.1</v>
      </c>
      <c r="M322" s="225">
        <v>3</v>
      </c>
      <c r="O322" s="225">
        <v>3</v>
      </c>
      <c r="P322" s="225">
        <v>68.8</v>
      </c>
    </row>
    <row r="323" spans="1:6" s="229" customFormat="1" ht="11.25">
      <c r="A323" s="40">
        <v>160</v>
      </c>
      <c r="B323" s="216" t="s">
        <v>810</v>
      </c>
      <c r="C323" s="216" t="s">
        <v>1235</v>
      </c>
      <c r="E323" s="222" t="s">
        <v>1579</v>
      </c>
      <c r="F323" s="230" t="s">
        <v>1460</v>
      </c>
    </row>
    <row r="324" spans="1:16" s="225" customFormat="1" ht="11.25">
      <c r="A324" s="224"/>
      <c r="D324" s="225" t="s">
        <v>1580</v>
      </c>
      <c r="E324" s="224" t="s">
        <v>1560</v>
      </c>
      <c r="F324" s="227">
        <v>0.005</v>
      </c>
      <c r="G324" s="225">
        <v>19</v>
      </c>
      <c r="M324" s="225">
        <v>0.6</v>
      </c>
      <c r="O324" s="225">
        <v>0.6</v>
      </c>
      <c r="P324" s="225">
        <v>18.8</v>
      </c>
    </row>
    <row r="325" spans="1:6" s="229" customFormat="1" ht="11.25">
      <c r="A325" s="40">
        <v>161</v>
      </c>
      <c r="B325" s="216" t="s">
        <v>810</v>
      </c>
      <c r="C325" s="216" t="s">
        <v>1235</v>
      </c>
      <c r="E325" s="222" t="s">
        <v>1581</v>
      </c>
      <c r="F325" s="230" t="s">
        <v>1460</v>
      </c>
    </row>
    <row r="326" spans="1:16" s="225" customFormat="1" ht="11.25">
      <c r="A326" s="224"/>
      <c r="D326" s="225" t="s">
        <v>1582</v>
      </c>
      <c r="E326" s="224" t="s">
        <v>1560</v>
      </c>
      <c r="F326" s="227">
        <v>0.005</v>
      </c>
      <c r="G326" s="225">
        <v>13.8</v>
      </c>
      <c r="M326" s="225">
        <v>0.8</v>
      </c>
      <c r="O326" s="225">
        <v>0.8</v>
      </c>
      <c r="P326" s="225">
        <v>12.9</v>
      </c>
    </row>
    <row r="327" spans="1:6" s="229" customFormat="1" ht="11.25">
      <c r="A327" s="40">
        <v>162</v>
      </c>
      <c r="B327" s="216" t="s">
        <v>810</v>
      </c>
      <c r="C327" s="216" t="s">
        <v>1235</v>
      </c>
      <c r="E327" s="222" t="s">
        <v>1583</v>
      </c>
      <c r="F327" s="230" t="s">
        <v>1460</v>
      </c>
    </row>
    <row r="328" spans="1:16" s="225" customFormat="1" ht="11.25">
      <c r="A328" s="224"/>
      <c r="D328" s="225" t="s">
        <v>1584</v>
      </c>
      <c r="E328" s="224" t="s">
        <v>1560</v>
      </c>
      <c r="F328" s="227">
        <v>0.005</v>
      </c>
      <c r="G328" s="225">
        <v>101.9</v>
      </c>
      <c r="H328" s="225">
        <v>13.4</v>
      </c>
      <c r="I328" s="225">
        <v>16.7</v>
      </c>
      <c r="M328" s="225">
        <v>7.6</v>
      </c>
      <c r="O328" s="225">
        <v>7.4</v>
      </c>
      <c r="P328" s="225">
        <v>123.3</v>
      </c>
    </row>
    <row r="329" spans="1:6" s="229" customFormat="1" ht="11.25">
      <c r="A329" s="40">
        <v>163</v>
      </c>
      <c r="B329" s="216" t="s">
        <v>810</v>
      </c>
      <c r="C329" s="216" t="s">
        <v>1235</v>
      </c>
      <c r="E329" s="222" t="s">
        <v>1585</v>
      </c>
      <c r="F329" s="230" t="s">
        <v>1460</v>
      </c>
    </row>
    <row r="330" spans="1:16" s="225" customFormat="1" ht="11.25">
      <c r="A330" s="224"/>
      <c r="D330" s="225" t="s">
        <v>1586</v>
      </c>
      <c r="E330" s="224" t="s">
        <v>1560</v>
      </c>
      <c r="F330" s="227">
        <v>0.005</v>
      </c>
      <c r="G330" s="225">
        <v>12.5</v>
      </c>
      <c r="M330" s="225">
        <v>0.7</v>
      </c>
      <c r="O330" s="225">
        <v>0.7</v>
      </c>
      <c r="P330" s="225">
        <v>11.8</v>
      </c>
    </row>
    <row r="331" spans="1:6" s="229" customFormat="1" ht="11.25">
      <c r="A331" s="40">
        <v>164</v>
      </c>
      <c r="B331" s="216" t="s">
        <v>810</v>
      </c>
      <c r="C331" s="216" t="s">
        <v>1235</v>
      </c>
      <c r="E331" s="222" t="s">
        <v>1587</v>
      </c>
      <c r="F331" s="230" t="s">
        <v>1460</v>
      </c>
    </row>
    <row r="332" spans="1:16" s="225" customFormat="1" ht="11.25">
      <c r="A332" s="224"/>
      <c r="D332" s="225" t="s">
        <v>1588</v>
      </c>
      <c r="E332" s="224" t="s">
        <v>1560</v>
      </c>
      <c r="F332" s="227">
        <v>0.005</v>
      </c>
      <c r="G332" s="225">
        <v>18.1</v>
      </c>
      <c r="M332" s="225">
        <v>0.5</v>
      </c>
      <c r="O332" s="225">
        <v>0.6</v>
      </c>
      <c r="P332" s="225">
        <v>18</v>
      </c>
    </row>
    <row r="333" spans="1:6" s="229" customFormat="1" ht="11.25">
      <c r="A333" s="40">
        <v>165</v>
      </c>
      <c r="B333" s="216" t="s">
        <v>810</v>
      </c>
      <c r="C333" s="216" t="s">
        <v>1235</v>
      </c>
      <c r="E333" s="222" t="s">
        <v>1589</v>
      </c>
      <c r="F333" s="230" t="s">
        <v>1460</v>
      </c>
    </row>
    <row r="334" spans="1:16" s="225" customFormat="1" ht="11.25">
      <c r="A334" s="224"/>
      <c r="D334" s="225" t="s">
        <v>1590</v>
      </c>
      <c r="E334" s="224" t="s">
        <v>1560</v>
      </c>
      <c r="F334" s="227">
        <v>0.005</v>
      </c>
      <c r="G334" s="225">
        <v>14.4</v>
      </c>
      <c r="M334" s="225">
        <v>0.3</v>
      </c>
      <c r="O334" s="225">
        <v>0.4</v>
      </c>
      <c r="P334" s="225">
        <v>14.4</v>
      </c>
    </row>
    <row r="335" spans="1:6" s="229" customFormat="1" ht="11.25">
      <c r="A335" s="40">
        <v>166</v>
      </c>
      <c r="B335" s="216" t="s">
        <v>810</v>
      </c>
      <c r="C335" s="216" t="s">
        <v>1235</v>
      </c>
      <c r="E335" s="222" t="s">
        <v>1591</v>
      </c>
      <c r="F335" s="230" t="s">
        <v>1460</v>
      </c>
    </row>
    <row r="336" spans="1:16" s="225" customFormat="1" ht="11.25">
      <c r="A336" s="224"/>
      <c r="D336" s="225" t="s">
        <v>1592</v>
      </c>
      <c r="E336" s="224" t="s">
        <v>1593</v>
      </c>
      <c r="F336" s="227">
        <v>0.005</v>
      </c>
      <c r="G336" s="225">
        <v>12.5</v>
      </c>
      <c r="M336" s="225">
        <v>0.5</v>
      </c>
      <c r="O336" s="225">
        <v>0.5</v>
      </c>
      <c r="P336" s="225">
        <v>12.2</v>
      </c>
    </row>
    <row r="337" spans="1:6" s="229" customFormat="1" ht="11.25">
      <c r="A337" s="40">
        <v>167</v>
      </c>
      <c r="B337" s="216" t="s">
        <v>810</v>
      </c>
      <c r="C337" s="216" t="s">
        <v>1235</v>
      </c>
      <c r="E337" s="222" t="s">
        <v>1591</v>
      </c>
      <c r="F337" s="230" t="s">
        <v>1460</v>
      </c>
    </row>
    <row r="338" spans="1:16" s="225" customFormat="1" ht="11.25">
      <c r="A338" s="224"/>
      <c r="D338" s="225" t="s">
        <v>1594</v>
      </c>
      <c r="E338" s="224" t="s">
        <v>1595</v>
      </c>
      <c r="F338" s="227">
        <v>0.005</v>
      </c>
      <c r="G338" s="225">
        <v>6.4</v>
      </c>
      <c r="H338" s="225">
        <v>30.6</v>
      </c>
      <c r="I338" s="225">
        <v>3.1</v>
      </c>
      <c r="M338" s="225">
        <v>4.4</v>
      </c>
      <c r="O338" s="225">
        <v>4.4</v>
      </c>
      <c r="P338" s="225">
        <v>33</v>
      </c>
    </row>
    <row r="339" spans="1:6" s="229" customFormat="1" ht="11.25">
      <c r="A339" s="40">
        <v>168</v>
      </c>
      <c r="B339" s="216" t="s">
        <v>810</v>
      </c>
      <c r="C339" s="216" t="s">
        <v>1235</v>
      </c>
      <c r="E339" s="222" t="s">
        <v>1591</v>
      </c>
      <c r="F339" s="230" t="s">
        <v>1460</v>
      </c>
    </row>
    <row r="340" spans="1:16" s="225" customFormat="1" ht="11.25">
      <c r="A340" s="224"/>
      <c r="D340" s="225" t="s">
        <v>1596</v>
      </c>
      <c r="E340" s="224" t="s">
        <v>1597</v>
      </c>
      <c r="F340" s="227">
        <v>0.005</v>
      </c>
      <c r="G340" s="225">
        <v>14.5</v>
      </c>
      <c r="I340" s="225">
        <v>25.4</v>
      </c>
      <c r="P340" s="225">
        <v>41.3</v>
      </c>
    </row>
    <row r="341" spans="1:6" s="229" customFormat="1" ht="11.25">
      <c r="A341" s="40">
        <v>169</v>
      </c>
      <c r="B341" s="216" t="s">
        <v>810</v>
      </c>
      <c r="C341" s="216" t="s">
        <v>1235</v>
      </c>
      <c r="E341" s="222" t="s">
        <v>1591</v>
      </c>
      <c r="F341" s="230" t="s">
        <v>1460</v>
      </c>
    </row>
    <row r="342" spans="1:16" s="225" customFormat="1" ht="11.25">
      <c r="A342" s="224"/>
      <c r="D342" s="225" t="s">
        <v>1598</v>
      </c>
      <c r="E342" s="224" t="s">
        <v>1597</v>
      </c>
      <c r="F342" s="227">
        <v>0.005</v>
      </c>
      <c r="G342" s="225">
        <v>77.7</v>
      </c>
      <c r="H342" s="225">
        <v>66.5</v>
      </c>
      <c r="I342" s="225">
        <v>64.2</v>
      </c>
      <c r="P342" s="225">
        <v>217.1</v>
      </c>
    </row>
    <row r="343" spans="1:6" s="229" customFormat="1" ht="11.25">
      <c r="A343" s="40">
        <v>170</v>
      </c>
      <c r="B343" s="216" t="s">
        <v>810</v>
      </c>
      <c r="C343" s="216" t="s">
        <v>1235</v>
      </c>
      <c r="E343" s="222" t="s">
        <v>1599</v>
      </c>
      <c r="F343" s="230" t="s">
        <v>1460</v>
      </c>
    </row>
    <row r="344" spans="1:16" s="225" customFormat="1" ht="11.25">
      <c r="A344" s="224"/>
      <c r="D344" s="225" t="s">
        <v>1600</v>
      </c>
      <c r="E344" s="224" t="s">
        <v>1528</v>
      </c>
      <c r="F344" s="227">
        <v>0.005</v>
      </c>
      <c r="G344" s="225">
        <v>13.7</v>
      </c>
      <c r="P344" s="225">
        <v>14.4</v>
      </c>
    </row>
    <row r="345" spans="1:6" s="229" customFormat="1" ht="11.25">
      <c r="A345" s="40">
        <v>171</v>
      </c>
      <c r="B345" s="216" t="s">
        <v>810</v>
      </c>
      <c r="C345" s="216" t="s">
        <v>1235</v>
      </c>
      <c r="E345" s="222" t="s">
        <v>1436</v>
      </c>
      <c r="F345" s="230" t="s">
        <v>1460</v>
      </c>
    </row>
    <row r="346" spans="1:16" s="225" customFormat="1" ht="11.25">
      <c r="A346" s="224"/>
      <c r="D346" s="225" t="s">
        <v>1601</v>
      </c>
      <c r="E346" s="224" t="s">
        <v>1597</v>
      </c>
      <c r="F346" s="227">
        <v>0.005</v>
      </c>
      <c r="J346" s="225">
        <v>21.2</v>
      </c>
      <c r="P346" s="225">
        <v>21.4</v>
      </c>
    </row>
    <row r="347" spans="1:6" s="229" customFormat="1" ht="11.25">
      <c r="A347" s="40">
        <v>172</v>
      </c>
      <c r="B347" s="216" t="s">
        <v>810</v>
      </c>
      <c r="C347" s="216" t="s">
        <v>1235</v>
      </c>
      <c r="E347" s="222" t="s">
        <v>1602</v>
      </c>
      <c r="F347" s="230" t="s">
        <v>1460</v>
      </c>
    </row>
    <row r="348" spans="1:16" s="225" customFormat="1" ht="11.25">
      <c r="A348" s="224"/>
      <c r="D348" s="225" t="s">
        <v>1603</v>
      </c>
      <c r="E348" s="224" t="s">
        <v>1604</v>
      </c>
      <c r="F348" s="227">
        <v>0.005</v>
      </c>
      <c r="I348" s="225">
        <v>16.9</v>
      </c>
      <c r="J348" s="225">
        <v>7.7</v>
      </c>
      <c r="P348" s="225">
        <v>24.8</v>
      </c>
    </row>
    <row r="349" spans="1:6" s="229" customFormat="1" ht="11.25">
      <c r="A349" s="40">
        <v>173</v>
      </c>
      <c r="B349" s="216" t="s">
        <v>810</v>
      </c>
      <c r="C349" s="216" t="s">
        <v>1235</v>
      </c>
      <c r="E349" s="222" t="s">
        <v>1605</v>
      </c>
      <c r="F349" s="230" t="s">
        <v>1460</v>
      </c>
    </row>
    <row r="350" spans="1:16" s="225" customFormat="1" ht="11.25">
      <c r="A350" s="224"/>
      <c r="D350" s="225" t="s">
        <v>1606</v>
      </c>
      <c r="E350" s="224" t="s">
        <v>1607</v>
      </c>
      <c r="F350" s="227">
        <v>0.005</v>
      </c>
      <c r="J350" s="225">
        <v>8.2</v>
      </c>
      <c r="K350" s="225">
        <v>6.7</v>
      </c>
      <c r="P350" s="225">
        <v>14.7</v>
      </c>
    </row>
    <row r="351" spans="1:6" s="229" customFormat="1" ht="11.25">
      <c r="A351" s="40">
        <v>174</v>
      </c>
      <c r="B351" s="216" t="s">
        <v>810</v>
      </c>
      <c r="C351" s="229" t="s">
        <v>1221</v>
      </c>
      <c r="E351" s="222" t="s">
        <v>1608</v>
      </c>
      <c r="F351" s="216"/>
    </row>
    <row r="352" spans="1:16" s="225" customFormat="1" ht="11.25">
      <c r="A352" s="224"/>
      <c r="B352" s="225" t="s">
        <v>1609</v>
      </c>
      <c r="D352" s="225" t="s">
        <v>1224</v>
      </c>
      <c r="E352" s="224" t="s">
        <v>1610</v>
      </c>
      <c r="F352" s="227">
        <v>0.0613</v>
      </c>
      <c r="G352" s="225">
        <v>9278.7</v>
      </c>
      <c r="H352" s="225">
        <v>552.1</v>
      </c>
      <c r="I352" s="225">
        <v>591.2</v>
      </c>
      <c r="J352" s="225">
        <v>433.6</v>
      </c>
      <c r="K352" s="225">
        <v>57</v>
      </c>
      <c r="O352" s="225">
        <v>73.7</v>
      </c>
      <c r="P352" s="225">
        <v>10576.3</v>
      </c>
    </row>
    <row r="353" spans="1:6" s="229" customFormat="1" ht="11.25">
      <c r="A353" s="40">
        <v>175</v>
      </c>
      <c r="B353" s="216" t="s">
        <v>810</v>
      </c>
      <c r="C353" s="229" t="s">
        <v>1221</v>
      </c>
      <c r="E353" s="222" t="s">
        <v>1611</v>
      </c>
      <c r="F353" s="216"/>
    </row>
    <row r="354" spans="1:16" s="225" customFormat="1" ht="11.25">
      <c r="A354" s="224"/>
      <c r="B354" s="225" t="s">
        <v>1609</v>
      </c>
      <c r="D354" s="225" t="s">
        <v>1224</v>
      </c>
      <c r="E354" s="224" t="s">
        <v>1612</v>
      </c>
      <c r="F354" s="227">
        <v>0.0537</v>
      </c>
      <c r="G354" s="225">
        <v>6463.5</v>
      </c>
      <c r="M354" s="225">
        <v>628.8</v>
      </c>
      <c r="O354" s="225">
        <v>586.3</v>
      </c>
      <c r="P354" s="225">
        <v>5017.2</v>
      </c>
    </row>
    <row r="355" spans="1:6" s="216" customFormat="1" ht="11.25">
      <c r="A355" s="40">
        <v>176</v>
      </c>
      <c r="C355" s="216" t="s">
        <v>1221</v>
      </c>
      <c r="E355" s="222" t="s">
        <v>1613</v>
      </c>
      <c r="F355" s="230" t="s">
        <v>1614</v>
      </c>
    </row>
    <row r="356" spans="1:16" s="225" customFormat="1" ht="11.25">
      <c r="A356" s="224"/>
      <c r="B356" s="225" t="s">
        <v>810</v>
      </c>
      <c r="D356" s="225" t="s">
        <v>1615</v>
      </c>
      <c r="E356" s="224" t="s">
        <v>1616</v>
      </c>
      <c r="F356" s="227" t="s">
        <v>1108</v>
      </c>
      <c r="G356" s="225">
        <v>9383</v>
      </c>
      <c r="H356" s="225">
        <v>176.7</v>
      </c>
      <c r="I356" s="225">
        <v>421.1</v>
      </c>
      <c r="J356" s="225">
        <v>1181.8</v>
      </c>
      <c r="K356" s="225">
        <v>499.8</v>
      </c>
      <c r="P356" s="225">
        <v>12158.9</v>
      </c>
    </row>
    <row r="357" spans="1:5" s="216" customFormat="1" ht="11.25">
      <c r="A357" s="40">
        <v>177</v>
      </c>
      <c r="C357" s="229" t="s">
        <v>638</v>
      </c>
      <c r="E357" s="222" t="s">
        <v>1617</v>
      </c>
    </row>
    <row r="358" spans="1:16" s="225" customFormat="1" ht="11.25">
      <c r="A358" s="224"/>
      <c r="B358" s="225" t="s">
        <v>810</v>
      </c>
      <c r="C358" s="225" t="s">
        <v>858</v>
      </c>
      <c r="D358" s="225" t="s">
        <v>1264</v>
      </c>
      <c r="E358" s="224" t="s">
        <v>1618</v>
      </c>
      <c r="F358" s="227" t="s">
        <v>1619</v>
      </c>
      <c r="G358" s="225">
        <v>172.6</v>
      </c>
      <c r="P358" s="225">
        <v>167.5</v>
      </c>
    </row>
    <row r="359" spans="1:5" s="216" customFormat="1" ht="11.25">
      <c r="A359" s="40">
        <v>178</v>
      </c>
      <c r="C359" s="229" t="s">
        <v>638</v>
      </c>
      <c r="E359" s="222" t="s">
        <v>1620</v>
      </c>
    </row>
    <row r="360" spans="1:16" s="225" customFormat="1" ht="11.25">
      <c r="A360" s="224"/>
      <c r="B360" s="225" t="s">
        <v>810</v>
      </c>
      <c r="C360" s="225" t="s">
        <v>858</v>
      </c>
      <c r="D360" s="225" t="s">
        <v>1621</v>
      </c>
      <c r="E360" s="224" t="s">
        <v>1622</v>
      </c>
      <c r="F360" s="227" t="s">
        <v>1619</v>
      </c>
      <c r="G360" s="225">
        <v>3070</v>
      </c>
      <c r="H360" s="225">
        <v>445.5</v>
      </c>
      <c r="I360" s="225">
        <v>170.9</v>
      </c>
      <c r="J360" s="225">
        <v>198.6</v>
      </c>
      <c r="K360" s="225">
        <v>488.2</v>
      </c>
      <c r="P360" s="225">
        <v>4301.8</v>
      </c>
    </row>
    <row r="361" spans="1:6" s="229" customFormat="1" ht="11.25">
      <c r="A361" s="40">
        <v>179</v>
      </c>
      <c r="B361" s="216"/>
      <c r="C361" s="229" t="s">
        <v>638</v>
      </c>
      <c r="E361" s="222" t="s">
        <v>1623</v>
      </c>
      <c r="F361" s="216"/>
    </row>
    <row r="362" spans="1:16" s="225" customFormat="1" ht="11.25">
      <c r="A362" s="224"/>
      <c r="B362" s="225" t="s">
        <v>810</v>
      </c>
      <c r="C362" s="225" t="s">
        <v>858</v>
      </c>
      <c r="D362" s="225" t="s">
        <v>1624</v>
      </c>
      <c r="E362" s="224" t="s">
        <v>1622</v>
      </c>
      <c r="F362" s="227" t="s">
        <v>1619</v>
      </c>
      <c r="G362" s="225">
        <v>210.6</v>
      </c>
      <c r="J362" s="225">
        <v>3</v>
      </c>
      <c r="P362" s="225">
        <v>207.5</v>
      </c>
    </row>
    <row r="363" spans="1:6" s="216" customFormat="1" ht="11.25">
      <c r="A363" s="40">
        <v>180</v>
      </c>
      <c r="C363" s="216" t="s">
        <v>1235</v>
      </c>
      <c r="E363" s="222" t="s">
        <v>1625</v>
      </c>
      <c r="F363" s="230" t="s">
        <v>1108</v>
      </c>
    </row>
    <row r="364" spans="1:16" s="225" customFormat="1" ht="17.25">
      <c r="A364" s="224"/>
      <c r="B364" s="225" t="s">
        <v>810</v>
      </c>
      <c r="D364" s="225" t="s">
        <v>1530</v>
      </c>
      <c r="E364" s="224" t="s">
        <v>1626</v>
      </c>
      <c r="F364" s="232" t="s">
        <v>1627</v>
      </c>
      <c r="G364" s="225">
        <v>15.3</v>
      </c>
      <c r="I364" s="225">
        <v>6.4</v>
      </c>
      <c r="K364" s="225">
        <v>6.9</v>
      </c>
      <c r="P364" s="225">
        <v>29.5</v>
      </c>
    </row>
    <row r="365" spans="1:6" s="216" customFormat="1" ht="11.25">
      <c r="A365" s="40">
        <v>181</v>
      </c>
      <c r="C365" s="216" t="s">
        <v>1261</v>
      </c>
      <c r="E365" s="222" t="s">
        <v>1628</v>
      </c>
      <c r="F365" s="230" t="s">
        <v>1614</v>
      </c>
    </row>
    <row r="366" spans="1:16" s="225" customFormat="1" ht="11.25">
      <c r="A366" s="224"/>
      <c r="B366" s="225" t="s">
        <v>810</v>
      </c>
      <c r="C366" s="225" t="s">
        <v>1263</v>
      </c>
      <c r="D366" s="225" t="s">
        <v>1629</v>
      </c>
      <c r="E366" s="224" t="s">
        <v>1630</v>
      </c>
      <c r="F366" s="227" t="s">
        <v>1108</v>
      </c>
      <c r="G366" s="225">
        <v>88.4</v>
      </c>
      <c r="H366" s="225">
        <v>92.9</v>
      </c>
      <c r="I366" s="225">
        <v>131.9</v>
      </c>
      <c r="J366" s="225">
        <v>230.2</v>
      </c>
      <c r="K366" s="225">
        <v>491.8</v>
      </c>
      <c r="P366" s="225">
        <v>1066.9</v>
      </c>
    </row>
    <row r="367" spans="1:6" s="216" customFormat="1" ht="11.25">
      <c r="A367" s="40">
        <v>182</v>
      </c>
      <c r="C367" s="216" t="s">
        <v>1631</v>
      </c>
      <c r="E367" s="222" t="s">
        <v>1632</v>
      </c>
      <c r="F367" s="230"/>
    </row>
    <row r="368" spans="1:16" s="225" customFormat="1" ht="11.25">
      <c r="A368" s="224"/>
      <c r="B368" s="225" t="s">
        <v>810</v>
      </c>
      <c r="D368" s="225" t="s">
        <v>1633</v>
      </c>
      <c r="E368" s="224" t="s">
        <v>1634</v>
      </c>
      <c r="F368" s="227" t="s">
        <v>1108</v>
      </c>
      <c r="G368" s="225">
        <v>112.8</v>
      </c>
      <c r="J368" s="225">
        <v>153.6</v>
      </c>
      <c r="K368" s="225">
        <v>399.9</v>
      </c>
      <c r="P368" s="225">
        <v>675.7</v>
      </c>
    </row>
    <row r="369" spans="1:6" s="216" customFormat="1" ht="11.25">
      <c r="A369" s="40">
        <v>183</v>
      </c>
      <c r="C369" s="216" t="s">
        <v>234</v>
      </c>
      <c r="E369" s="222" t="s">
        <v>1635</v>
      </c>
      <c r="F369" s="230" t="s">
        <v>1492</v>
      </c>
    </row>
    <row r="370" spans="1:16" s="225" customFormat="1" ht="11.25">
      <c r="A370" s="224"/>
      <c r="B370" s="225" t="s">
        <v>810</v>
      </c>
      <c r="D370" s="225" t="s">
        <v>1636</v>
      </c>
      <c r="E370" s="224" t="s">
        <v>1637</v>
      </c>
      <c r="F370" s="227">
        <v>0.005</v>
      </c>
      <c r="J370" s="225">
        <v>144.9</v>
      </c>
      <c r="K370" s="225">
        <v>78.7</v>
      </c>
      <c r="P370" s="225">
        <v>223.5</v>
      </c>
    </row>
    <row r="371" spans="1:6" s="216" customFormat="1" ht="11.25">
      <c r="A371" s="40">
        <v>184</v>
      </c>
      <c r="C371" s="216" t="s">
        <v>234</v>
      </c>
      <c r="E371" s="222" t="s">
        <v>1635</v>
      </c>
      <c r="F371" s="230" t="s">
        <v>1492</v>
      </c>
    </row>
    <row r="372" spans="1:16" s="225" customFormat="1" ht="11.25">
      <c r="A372" s="224"/>
      <c r="B372" s="225" t="s">
        <v>810</v>
      </c>
      <c r="D372" s="225" t="s">
        <v>1638</v>
      </c>
      <c r="E372" s="224" t="s">
        <v>1637</v>
      </c>
      <c r="F372" s="227">
        <v>0.005</v>
      </c>
      <c r="J372" s="225">
        <v>23</v>
      </c>
      <c r="K372" s="225">
        <v>16.7</v>
      </c>
      <c r="P372" s="225">
        <v>39.7</v>
      </c>
    </row>
    <row r="373" spans="1:6" s="216" customFormat="1" ht="11.25">
      <c r="A373" s="40">
        <v>185</v>
      </c>
      <c r="C373" s="216" t="s">
        <v>234</v>
      </c>
      <c r="D373" s="216" t="s">
        <v>1639</v>
      </c>
      <c r="E373" s="222" t="s">
        <v>1635</v>
      </c>
      <c r="F373" s="230" t="s">
        <v>1492</v>
      </c>
    </row>
    <row r="374" spans="1:16" s="225" customFormat="1" ht="11.25">
      <c r="A374" s="224"/>
      <c r="B374" s="225" t="s">
        <v>810</v>
      </c>
      <c r="D374" s="225" t="s">
        <v>1640</v>
      </c>
      <c r="E374" s="224" t="s">
        <v>1637</v>
      </c>
      <c r="F374" s="227">
        <v>0.005</v>
      </c>
      <c r="J374" s="225">
        <v>18.5</v>
      </c>
      <c r="K374" s="225">
        <v>45.1</v>
      </c>
      <c r="P374" s="225">
        <v>63.6</v>
      </c>
    </row>
    <row r="375" spans="1:6" s="216" customFormat="1" ht="11.25">
      <c r="A375" s="40">
        <v>186</v>
      </c>
      <c r="C375" s="216" t="s">
        <v>234</v>
      </c>
      <c r="E375" s="222" t="s">
        <v>1635</v>
      </c>
      <c r="F375" s="230" t="s">
        <v>1492</v>
      </c>
    </row>
    <row r="376" spans="1:16" s="225" customFormat="1" ht="11.25">
      <c r="A376" s="224"/>
      <c r="B376" s="225" t="s">
        <v>810</v>
      </c>
      <c r="D376" s="225" t="s">
        <v>1641</v>
      </c>
      <c r="E376" s="224" t="s">
        <v>1637</v>
      </c>
      <c r="F376" s="227">
        <v>0.005</v>
      </c>
      <c r="J376" s="225">
        <v>72.6</v>
      </c>
      <c r="K376" s="225">
        <v>53.6</v>
      </c>
      <c r="P376" s="225">
        <v>126.2</v>
      </c>
    </row>
    <row r="377" spans="1:6" s="216" customFormat="1" ht="11.25">
      <c r="A377" s="40">
        <v>187</v>
      </c>
      <c r="C377" s="216" t="s">
        <v>234</v>
      </c>
      <c r="E377" s="222" t="s">
        <v>1635</v>
      </c>
      <c r="F377" s="230" t="s">
        <v>1492</v>
      </c>
    </row>
    <row r="378" spans="1:16" s="225" customFormat="1" ht="11.25">
      <c r="A378" s="224"/>
      <c r="B378" s="225" t="s">
        <v>810</v>
      </c>
      <c r="D378" s="225" t="s">
        <v>1642</v>
      </c>
      <c r="E378" s="224" t="s">
        <v>1637</v>
      </c>
      <c r="F378" s="227">
        <v>0.005</v>
      </c>
      <c r="J378" s="225">
        <v>22.2</v>
      </c>
      <c r="K378" s="225">
        <v>20.2</v>
      </c>
      <c r="P378" s="225">
        <v>42.4</v>
      </c>
    </row>
    <row r="379" spans="1:6" s="216" customFormat="1" ht="11.25">
      <c r="A379" s="40">
        <v>188</v>
      </c>
      <c r="C379" s="216" t="s">
        <v>234</v>
      </c>
      <c r="E379" s="222" t="s">
        <v>1635</v>
      </c>
      <c r="F379" s="230" t="s">
        <v>1492</v>
      </c>
    </row>
    <row r="380" spans="1:16" s="225" customFormat="1" ht="11.25">
      <c r="A380" s="224"/>
      <c r="B380" s="225" t="s">
        <v>810</v>
      </c>
      <c r="D380" s="225" t="s">
        <v>1643</v>
      </c>
      <c r="E380" s="224" t="s">
        <v>1637</v>
      </c>
      <c r="F380" s="227">
        <v>0.005</v>
      </c>
      <c r="J380" s="225">
        <v>53.3</v>
      </c>
      <c r="K380" s="225">
        <v>34.1</v>
      </c>
      <c r="P380" s="225">
        <v>87.5</v>
      </c>
    </row>
    <row r="381" spans="1:6" s="216" customFormat="1" ht="11.25">
      <c r="A381" s="40">
        <v>189</v>
      </c>
      <c r="C381" s="216" t="s">
        <v>234</v>
      </c>
      <c r="E381" s="222" t="s">
        <v>1635</v>
      </c>
      <c r="F381" s="230" t="s">
        <v>1492</v>
      </c>
    </row>
    <row r="382" spans="1:16" s="225" customFormat="1" ht="11.25">
      <c r="A382" s="224"/>
      <c r="B382" s="225" t="s">
        <v>810</v>
      </c>
      <c r="D382" s="225" t="s">
        <v>1644</v>
      </c>
      <c r="E382" s="224" t="s">
        <v>1637</v>
      </c>
      <c r="F382" s="227">
        <v>0.005</v>
      </c>
      <c r="J382" s="225">
        <v>60</v>
      </c>
      <c r="K382" s="225">
        <v>120.7</v>
      </c>
      <c r="P382" s="225">
        <v>180.7</v>
      </c>
    </row>
    <row r="383" spans="1:6" s="216" customFormat="1" ht="11.25">
      <c r="A383" s="40">
        <v>190</v>
      </c>
      <c r="C383" s="216" t="s">
        <v>234</v>
      </c>
      <c r="E383" s="222" t="s">
        <v>1635</v>
      </c>
      <c r="F383" s="230" t="s">
        <v>1492</v>
      </c>
    </row>
    <row r="384" spans="1:16" s="225" customFormat="1" ht="11.25">
      <c r="A384" s="224"/>
      <c r="B384" s="225" t="s">
        <v>810</v>
      </c>
      <c r="D384" s="225" t="s">
        <v>1645</v>
      </c>
      <c r="E384" s="224" t="s">
        <v>1637</v>
      </c>
      <c r="F384" s="227">
        <v>0.005</v>
      </c>
      <c r="J384" s="225">
        <v>60.7</v>
      </c>
      <c r="K384" s="225">
        <v>76.3</v>
      </c>
      <c r="P384" s="225">
        <v>137</v>
      </c>
    </row>
    <row r="385" spans="1:6" s="216" customFormat="1" ht="11.25">
      <c r="A385" s="40">
        <v>191</v>
      </c>
      <c r="C385" s="216" t="s">
        <v>234</v>
      </c>
      <c r="E385" s="222" t="s">
        <v>1635</v>
      </c>
      <c r="F385" s="230" t="s">
        <v>1492</v>
      </c>
    </row>
    <row r="386" spans="1:16" s="225" customFormat="1" ht="11.25">
      <c r="A386" s="224"/>
      <c r="B386" s="225" t="s">
        <v>810</v>
      </c>
      <c r="D386" s="225" t="s">
        <v>1646</v>
      </c>
      <c r="E386" s="224" t="s">
        <v>1637</v>
      </c>
      <c r="F386" s="227">
        <v>0.005</v>
      </c>
      <c r="J386" s="225">
        <v>45.9</v>
      </c>
      <c r="K386" s="225">
        <v>24.6</v>
      </c>
      <c r="P386" s="225">
        <v>70.5</v>
      </c>
    </row>
    <row r="387" spans="1:6" s="216" customFormat="1" ht="11.25">
      <c r="A387" s="40">
        <v>192</v>
      </c>
      <c r="C387" s="216" t="s">
        <v>234</v>
      </c>
      <c r="E387" s="222" t="s">
        <v>1635</v>
      </c>
      <c r="F387" s="230" t="s">
        <v>1492</v>
      </c>
    </row>
    <row r="388" spans="1:16" s="225" customFormat="1" ht="11.25">
      <c r="A388" s="224"/>
      <c r="B388" s="225" t="s">
        <v>810</v>
      </c>
      <c r="D388" s="225" t="s">
        <v>1647</v>
      </c>
      <c r="E388" s="224" t="s">
        <v>1637</v>
      </c>
      <c r="F388" s="227">
        <v>0.005</v>
      </c>
      <c r="J388" s="225">
        <v>45.9</v>
      </c>
      <c r="K388" s="225">
        <v>49</v>
      </c>
      <c r="P388" s="225">
        <v>94.9</v>
      </c>
    </row>
    <row r="389" spans="1:6" s="216" customFormat="1" ht="11.25">
      <c r="A389" s="40">
        <v>193</v>
      </c>
      <c r="C389" s="216" t="s">
        <v>234</v>
      </c>
      <c r="E389" s="222" t="s">
        <v>1635</v>
      </c>
      <c r="F389" s="230" t="s">
        <v>1492</v>
      </c>
    </row>
    <row r="390" spans="1:16" s="225" customFormat="1" ht="11.25">
      <c r="A390" s="224"/>
      <c r="B390" s="225" t="s">
        <v>810</v>
      </c>
      <c r="D390" s="225" t="s">
        <v>1648</v>
      </c>
      <c r="E390" s="224" t="s">
        <v>1637</v>
      </c>
      <c r="F390" s="227">
        <v>0.005</v>
      </c>
      <c r="J390" s="225">
        <v>22</v>
      </c>
      <c r="P390" s="225">
        <v>22</v>
      </c>
    </row>
    <row r="391" spans="1:6" s="216" customFormat="1" ht="11.25">
      <c r="A391" s="40">
        <v>194</v>
      </c>
      <c r="C391" s="216" t="s">
        <v>234</v>
      </c>
      <c r="E391" s="222" t="s">
        <v>1635</v>
      </c>
      <c r="F391" s="230" t="s">
        <v>1492</v>
      </c>
    </row>
    <row r="392" spans="1:16" s="225" customFormat="1" ht="11.25">
      <c r="A392" s="224"/>
      <c r="B392" s="225" t="s">
        <v>810</v>
      </c>
      <c r="D392" s="225" t="s">
        <v>1649</v>
      </c>
      <c r="E392" s="224" t="s">
        <v>1637</v>
      </c>
      <c r="F392" s="227">
        <v>0.005</v>
      </c>
      <c r="J392" s="225">
        <v>86.4</v>
      </c>
      <c r="K392" s="225">
        <v>135.6</v>
      </c>
      <c r="P392" s="225">
        <v>222</v>
      </c>
    </row>
    <row r="393" spans="1:6" s="216" customFormat="1" ht="11.25">
      <c r="A393" s="40">
        <v>195</v>
      </c>
      <c r="C393" s="216" t="s">
        <v>234</v>
      </c>
      <c r="E393" s="222" t="s">
        <v>1635</v>
      </c>
      <c r="F393" s="230" t="s">
        <v>1492</v>
      </c>
    </row>
    <row r="394" spans="1:16" s="225" customFormat="1" ht="11.25">
      <c r="A394" s="224"/>
      <c r="B394" s="225" t="s">
        <v>810</v>
      </c>
      <c r="D394" s="225" t="s">
        <v>1650</v>
      </c>
      <c r="E394" s="224" t="s">
        <v>1637</v>
      </c>
      <c r="F394" s="227">
        <v>0.005</v>
      </c>
      <c r="J394" s="225">
        <v>38.5</v>
      </c>
      <c r="K394" s="225">
        <v>47.4</v>
      </c>
      <c r="P394" s="225">
        <v>86</v>
      </c>
    </row>
    <row r="395" spans="1:6" s="216" customFormat="1" ht="11.25">
      <c r="A395" s="40">
        <v>196</v>
      </c>
      <c r="C395" s="216" t="s">
        <v>234</v>
      </c>
      <c r="E395" s="222" t="s">
        <v>1651</v>
      </c>
      <c r="F395" s="230" t="s">
        <v>1492</v>
      </c>
    </row>
    <row r="396" spans="1:16" s="225" customFormat="1" ht="11.25">
      <c r="A396" s="224"/>
      <c r="B396" s="225" t="s">
        <v>810</v>
      </c>
      <c r="D396" s="225" t="s">
        <v>1652</v>
      </c>
      <c r="E396" s="224" t="s">
        <v>1637</v>
      </c>
      <c r="F396" s="227">
        <v>0.005</v>
      </c>
      <c r="J396" s="225">
        <v>26.2</v>
      </c>
      <c r="K396" s="225">
        <v>66.2</v>
      </c>
      <c r="P396" s="225">
        <v>92</v>
      </c>
    </row>
    <row r="397" spans="1:6" s="216" customFormat="1" ht="11.25">
      <c r="A397" s="40">
        <v>197</v>
      </c>
      <c r="C397" s="216" t="s">
        <v>234</v>
      </c>
      <c r="E397" s="222" t="s">
        <v>1651</v>
      </c>
      <c r="F397" s="230" t="s">
        <v>1492</v>
      </c>
    </row>
    <row r="398" spans="1:16" s="225" customFormat="1" ht="11.25">
      <c r="A398" s="224"/>
      <c r="B398" s="225" t="s">
        <v>810</v>
      </c>
      <c r="D398" s="225" t="s">
        <v>1653</v>
      </c>
      <c r="E398" s="224" t="s">
        <v>1637</v>
      </c>
      <c r="F398" s="227">
        <v>0.005</v>
      </c>
      <c r="J398" s="225">
        <v>61</v>
      </c>
      <c r="K398" s="225">
        <v>29.2</v>
      </c>
      <c r="P398" s="225">
        <v>90</v>
      </c>
    </row>
    <row r="399" spans="1:6" s="216" customFormat="1" ht="11.25">
      <c r="A399" s="40">
        <v>198</v>
      </c>
      <c r="C399" s="216" t="s">
        <v>234</v>
      </c>
      <c r="E399" s="222" t="s">
        <v>1651</v>
      </c>
      <c r="F399" s="230" t="s">
        <v>1492</v>
      </c>
    </row>
    <row r="400" spans="1:16" s="225" customFormat="1" ht="11.25">
      <c r="A400" s="224"/>
      <c r="B400" s="225" t="s">
        <v>810</v>
      </c>
      <c r="D400" s="225" t="s">
        <v>1654</v>
      </c>
      <c r="E400" s="224" t="s">
        <v>1637</v>
      </c>
      <c r="F400" s="227">
        <v>0.005</v>
      </c>
      <c r="J400" s="225">
        <v>39.5</v>
      </c>
      <c r="K400" s="225">
        <v>14.7</v>
      </c>
      <c r="P400" s="225">
        <v>54</v>
      </c>
    </row>
    <row r="401" spans="1:6" s="216" customFormat="1" ht="11.25">
      <c r="A401" s="40">
        <v>199</v>
      </c>
      <c r="C401" s="216" t="s">
        <v>234</v>
      </c>
      <c r="E401" s="222" t="s">
        <v>1651</v>
      </c>
      <c r="F401" s="230" t="s">
        <v>1492</v>
      </c>
    </row>
    <row r="402" spans="1:16" s="225" customFormat="1" ht="11.25">
      <c r="A402" s="224"/>
      <c r="B402" s="225" t="s">
        <v>810</v>
      </c>
      <c r="D402" s="225" t="s">
        <v>1655</v>
      </c>
      <c r="E402" s="224" t="s">
        <v>1637</v>
      </c>
      <c r="F402" s="227">
        <v>0.005</v>
      </c>
      <c r="J402" s="225">
        <v>8.6</v>
      </c>
      <c r="K402" s="225">
        <v>69.5</v>
      </c>
      <c r="P402" s="225">
        <v>78</v>
      </c>
    </row>
    <row r="403" spans="1:6" s="216" customFormat="1" ht="11.25">
      <c r="A403" s="40">
        <v>200</v>
      </c>
      <c r="C403" s="216" t="s">
        <v>234</v>
      </c>
      <c r="E403" s="222" t="s">
        <v>1656</v>
      </c>
      <c r="F403" s="230" t="s">
        <v>1492</v>
      </c>
    </row>
    <row r="404" spans="1:16" s="225" customFormat="1" ht="11.25">
      <c r="A404" s="224"/>
      <c r="B404" s="225" t="s">
        <v>810</v>
      </c>
      <c r="D404" s="225" t="s">
        <v>1657</v>
      </c>
      <c r="E404" s="224" t="s">
        <v>1637</v>
      </c>
      <c r="F404" s="227">
        <v>0.005</v>
      </c>
      <c r="J404" s="225">
        <v>65.4</v>
      </c>
      <c r="K404" s="225">
        <v>19.6</v>
      </c>
      <c r="P404" s="225">
        <v>85</v>
      </c>
    </row>
    <row r="405" spans="1:6" s="216" customFormat="1" ht="11.25">
      <c r="A405" s="40">
        <v>201</v>
      </c>
      <c r="C405" s="216" t="s">
        <v>234</v>
      </c>
      <c r="E405" s="222" t="s">
        <v>1656</v>
      </c>
      <c r="F405" s="230" t="s">
        <v>1492</v>
      </c>
    </row>
    <row r="406" spans="1:16" s="225" customFormat="1" ht="11.25">
      <c r="A406" s="224"/>
      <c r="B406" s="225" t="s">
        <v>810</v>
      </c>
      <c r="D406" s="225" t="s">
        <v>1658</v>
      </c>
      <c r="E406" s="224" t="s">
        <v>1637</v>
      </c>
      <c r="F406" s="227">
        <v>0.005</v>
      </c>
      <c r="J406" s="225">
        <v>131.2</v>
      </c>
      <c r="K406" s="225">
        <v>88.8</v>
      </c>
      <c r="P406" s="225">
        <v>220</v>
      </c>
    </row>
    <row r="407" spans="1:6" s="216" customFormat="1" ht="11.25">
      <c r="A407" s="40">
        <v>202</v>
      </c>
      <c r="C407" s="216" t="s">
        <v>234</v>
      </c>
      <c r="E407" s="222" t="s">
        <v>1659</v>
      </c>
      <c r="F407" s="230" t="s">
        <v>1492</v>
      </c>
    </row>
    <row r="408" spans="1:16" s="225" customFormat="1" ht="11.25">
      <c r="A408" s="224"/>
      <c r="B408" s="225" t="s">
        <v>810</v>
      </c>
      <c r="D408" s="225" t="s">
        <v>1660</v>
      </c>
      <c r="E408" s="224" t="s">
        <v>1637</v>
      </c>
      <c r="F408" s="227">
        <v>0.005</v>
      </c>
      <c r="J408" s="225">
        <v>38.9</v>
      </c>
      <c r="K408" s="225">
        <v>85.1</v>
      </c>
      <c r="P408" s="225">
        <v>124</v>
      </c>
    </row>
    <row r="409" spans="1:6" s="216" customFormat="1" ht="11.25">
      <c r="A409" s="40">
        <v>203</v>
      </c>
      <c r="C409" s="216" t="s">
        <v>234</v>
      </c>
      <c r="E409" s="222" t="s">
        <v>1659</v>
      </c>
      <c r="F409" s="230" t="s">
        <v>1492</v>
      </c>
    </row>
    <row r="410" spans="1:16" s="225" customFormat="1" ht="11.25">
      <c r="A410" s="224"/>
      <c r="B410" s="225" t="s">
        <v>810</v>
      </c>
      <c r="D410" s="225" t="s">
        <v>1409</v>
      </c>
      <c r="E410" s="224" t="s">
        <v>1637</v>
      </c>
      <c r="F410" s="227">
        <v>0.005</v>
      </c>
      <c r="J410" s="225">
        <v>110.4</v>
      </c>
      <c r="K410" s="225">
        <v>211.4</v>
      </c>
      <c r="P410" s="225">
        <v>321.9</v>
      </c>
    </row>
    <row r="411" spans="1:6" s="216" customFormat="1" ht="11.25">
      <c r="A411" s="40">
        <v>204</v>
      </c>
      <c r="C411" s="216" t="s">
        <v>234</v>
      </c>
      <c r="E411" s="222" t="s">
        <v>1659</v>
      </c>
      <c r="F411" s="230" t="s">
        <v>1492</v>
      </c>
    </row>
    <row r="412" spans="1:16" s="225" customFormat="1" ht="11.25">
      <c r="A412" s="224"/>
      <c r="B412" s="225" t="s">
        <v>810</v>
      </c>
      <c r="D412" s="225" t="s">
        <v>1661</v>
      </c>
      <c r="E412" s="224" t="s">
        <v>1637</v>
      </c>
      <c r="F412" s="227">
        <v>0.005</v>
      </c>
      <c r="J412" s="225">
        <v>127.3</v>
      </c>
      <c r="K412" s="225">
        <v>79.8</v>
      </c>
      <c r="P412" s="225">
        <v>207.1</v>
      </c>
    </row>
    <row r="413" spans="1:6" s="216" customFormat="1" ht="11.25">
      <c r="A413" s="40">
        <v>205</v>
      </c>
      <c r="C413" s="216" t="s">
        <v>234</v>
      </c>
      <c r="E413" s="222" t="s">
        <v>1408</v>
      </c>
      <c r="F413" s="230" t="s">
        <v>1492</v>
      </c>
    </row>
    <row r="414" spans="1:16" s="225" customFormat="1" ht="11.25">
      <c r="A414" s="224"/>
      <c r="B414" s="225" t="s">
        <v>810</v>
      </c>
      <c r="D414" s="225" t="s">
        <v>1663</v>
      </c>
      <c r="E414" s="224" t="s">
        <v>1637</v>
      </c>
      <c r="F414" s="227">
        <v>0.005</v>
      </c>
      <c r="J414" s="225">
        <v>18.3</v>
      </c>
      <c r="K414" s="225">
        <v>58.7</v>
      </c>
      <c r="P414" s="225">
        <v>77</v>
      </c>
    </row>
    <row r="415" spans="1:6" s="216" customFormat="1" ht="11.25">
      <c r="A415" s="40">
        <v>206</v>
      </c>
      <c r="C415" s="216" t="s">
        <v>234</v>
      </c>
      <c r="E415" s="222" t="s">
        <v>1664</v>
      </c>
      <c r="F415" s="230" t="s">
        <v>1492</v>
      </c>
    </row>
    <row r="416" spans="1:16" s="225" customFormat="1" ht="11.25">
      <c r="A416" s="224"/>
      <c r="B416" s="225" t="s">
        <v>810</v>
      </c>
      <c r="D416" s="225" t="s">
        <v>1665</v>
      </c>
      <c r="E416" s="224" t="s">
        <v>1637</v>
      </c>
      <c r="F416" s="227">
        <v>0.005</v>
      </c>
      <c r="K416" s="225">
        <v>18.8</v>
      </c>
      <c r="P416" s="225">
        <v>18.8</v>
      </c>
    </row>
    <row r="417" spans="1:6" s="216" customFormat="1" ht="11.25">
      <c r="A417" s="40">
        <v>207</v>
      </c>
      <c r="C417" s="216" t="s">
        <v>234</v>
      </c>
      <c r="E417" s="222" t="s">
        <v>1666</v>
      </c>
      <c r="F417" s="230" t="s">
        <v>1492</v>
      </c>
    </row>
    <row r="418" spans="1:16" s="225" customFormat="1" ht="11.25">
      <c r="A418" s="224"/>
      <c r="B418" s="225" t="s">
        <v>810</v>
      </c>
      <c r="D418" s="225" t="s">
        <v>1667</v>
      </c>
      <c r="E418" s="224" t="s">
        <v>1637</v>
      </c>
      <c r="F418" s="227">
        <v>0.005</v>
      </c>
      <c r="K418" s="225">
        <v>89.9</v>
      </c>
      <c r="P418" s="225">
        <v>89.9</v>
      </c>
    </row>
    <row r="419" spans="1:6" s="216" customFormat="1" ht="11.25">
      <c r="A419" s="40">
        <v>208</v>
      </c>
      <c r="C419" s="216" t="s">
        <v>234</v>
      </c>
      <c r="E419" s="222"/>
      <c r="F419" s="230"/>
    </row>
    <row r="420" spans="1:16" s="225" customFormat="1" ht="11.25">
      <c r="A420" s="224"/>
      <c r="B420" s="225" t="s">
        <v>810</v>
      </c>
      <c r="D420" s="225" t="s">
        <v>1668</v>
      </c>
      <c r="E420" s="224" t="s">
        <v>1669</v>
      </c>
      <c r="F420" s="227"/>
      <c r="J420" s="225">
        <v>30.2</v>
      </c>
      <c r="K420" s="225">
        <v>178.5</v>
      </c>
      <c r="P420" s="225">
        <v>220.4</v>
      </c>
    </row>
    <row r="421" spans="1:6" s="216" customFormat="1" ht="11.25">
      <c r="A421" s="40">
        <v>209</v>
      </c>
      <c r="C421" s="216" t="s">
        <v>1261</v>
      </c>
      <c r="E421" s="222" t="s">
        <v>1670</v>
      </c>
      <c r="F421" s="230" t="s">
        <v>1405</v>
      </c>
    </row>
    <row r="422" spans="1:16" s="225" customFormat="1" ht="11.25">
      <c r="A422" s="224"/>
      <c r="B422" s="225" t="s">
        <v>810</v>
      </c>
      <c r="C422" s="225" t="s">
        <v>1263</v>
      </c>
      <c r="D422" s="225" t="s">
        <v>1360</v>
      </c>
      <c r="E422" s="224" t="s">
        <v>1671</v>
      </c>
      <c r="F422" s="233" t="s">
        <v>1672</v>
      </c>
      <c r="I422" s="225">
        <v>435.1</v>
      </c>
      <c r="J422" s="225">
        <v>135.8</v>
      </c>
      <c r="K422" s="225">
        <v>521.2</v>
      </c>
      <c r="P422" s="225">
        <v>1096.3</v>
      </c>
    </row>
    <row r="423" spans="1:6" s="216" customFormat="1" ht="11.25">
      <c r="A423" s="40">
        <v>210</v>
      </c>
      <c r="B423" s="216" t="s">
        <v>1673</v>
      </c>
      <c r="C423" s="216" t="s">
        <v>1205</v>
      </c>
      <c r="E423" s="222" t="s">
        <v>1674</v>
      </c>
      <c r="F423" s="230" t="s">
        <v>1325</v>
      </c>
    </row>
    <row r="424" spans="1:16" s="225" customFormat="1" ht="11.25">
      <c r="A424" s="224"/>
      <c r="D424" s="225" t="s">
        <v>1675</v>
      </c>
      <c r="E424" s="224" t="s">
        <v>1676</v>
      </c>
      <c r="F424" s="227">
        <v>0.02</v>
      </c>
      <c r="G424" s="225">
        <v>6.3</v>
      </c>
      <c r="M424" s="225">
        <v>1.1</v>
      </c>
      <c r="O424" s="225">
        <v>1.1</v>
      </c>
      <c r="P424" s="225">
        <v>4.4</v>
      </c>
    </row>
    <row r="425" spans="1:6" s="216" customFormat="1" ht="11.25">
      <c r="A425" s="40">
        <v>211</v>
      </c>
      <c r="B425" s="216" t="s">
        <v>1673</v>
      </c>
      <c r="C425" s="216" t="s">
        <v>1205</v>
      </c>
      <c r="E425" s="222" t="s">
        <v>1677</v>
      </c>
      <c r="F425" s="230" t="s">
        <v>1678</v>
      </c>
    </row>
    <row r="426" spans="1:15" s="225" customFormat="1" ht="11.25">
      <c r="A426" s="224"/>
      <c r="D426" s="225" t="s">
        <v>1227</v>
      </c>
      <c r="E426" s="224" t="s">
        <v>1676</v>
      </c>
      <c r="F426" s="227">
        <v>0.02</v>
      </c>
      <c r="G426" s="225">
        <v>1967.7</v>
      </c>
      <c r="M426" s="225">
        <v>326</v>
      </c>
      <c r="O426" s="225">
        <v>1604</v>
      </c>
    </row>
    <row r="427" spans="1:6" s="216" customFormat="1" ht="11.25">
      <c r="A427" s="40">
        <v>212</v>
      </c>
      <c r="B427" s="216" t="s">
        <v>1673</v>
      </c>
      <c r="C427" s="216" t="s">
        <v>1205</v>
      </c>
      <c r="E427" s="222" t="s">
        <v>1679</v>
      </c>
      <c r="F427" s="230" t="s">
        <v>1325</v>
      </c>
    </row>
    <row r="428" spans="1:16" s="225" customFormat="1" ht="11.25">
      <c r="A428" s="224"/>
      <c r="D428" s="225" t="s">
        <v>1680</v>
      </c>
      <c r="E428" s="224" t="s">
        <v>1676</v>
      </c>
      <c r="F428" s="227">
        <v>0.02</v>
      </c>
      <c r="G428" s="225">
        <v>38</v>
      </c>
      <c r="N428" s="225">
        <v>2</v>
      </c>
      <c r="O428" s="225">
        <v>6.7</v>
      </c>
      <c r="P428" s="225">
        <v>31.3</v>
      </c>
    </row>
    <row r="429" spans="1:6" s="216" customFormat="1" ht="11.25">
      <c r="A429" s="40">
        <v>213</v>
      </c>
      <c r="B429" s="216" t="s">
        <v>1673</v>
      </c>
      <c r="C429" s="216" t="s">
        <v>1205</v>
      </c>
      <c r="E429" s="222" t="s">
        <v>1681</v>
      </c>
      <c r="F429" s="230" t="s">
        <v>1678</v>
      </c>
    </row>
    <row r="430" spans="1:16" s="225" customFormat="1" ht="11.25">
      <c r="A430" s="224"/>
      <c r="D430" s="225" t="s">
        <v>1525</v>
      </c>
      <c r="E430" s="224" t="s">
        <v>1676</v>
      </c>
      <c r="F430" s="227">
        <v>0.02</v>
      </c>
      <c r="G430" s="225">
        <v>18.9</v>
      </c>
      <c r="M430" s="225">
        <v>3.1</v>
      </c>
      <c r="O430" s="225">
        <v>3.1</v>
      </c>
      <c r="P430" s="225">
        <v>12.6</v>
      </c>
    </row>
    <row r="431" spans="1:6" s="216" customFormat="1" ht="11.25">
      <c r="A431" s="40">
        <v>214</v>
      </c>
      <c r="B431" s="216" t="s">
        <v>1673</v>
      </c>
      <c r="C431" s="216" t="s">
        <v>1205</v>
      </c>
      <c r="E431" s="222" t="s">
        <v>1682</v>
      </c>
      <c r="F431" s="230" t="s">
        <v>1325</v>
      </c>
    </row>
    <row r="432" spans="1:16" s="225" customFormat="1" ht="11.25">
      <c r="A432" s="224"/>
      <c r="D432" s="225" t="s">
        <v>1683</v>
      </c>
      <c r="E432" s="224" t="s">
        <v>1676</v>
      </c>
      <c r="F432" s="227">
        <v>0.02</v>
      </c>
      <c r="G432" s="225">
        <v>109.6</v>
      </c>
      <c r="P432" s="225">
        <v>115.2</v>
      </c>
    </row>
    <row r="433" spans="1:6" s="216" customFormat="1" ht="11.25">
      <c r="A433" s="40">
        <v>215</v>
      </c>
      <c r="B433" s="216" t="s">
        <v>1673</v>
      </c>
      <c r="C433" s="216" t="s">
        <v>1205</v>
      </c>
      <c r="E433" s="222" t="s">
        <v>1684</v>
      </c>
      <c r="F433" s="230" t="s">
        <v>1678</v>
      </c>
    </row>
    <row r="434" spans="1:16" s="225" customFormat="1" ht="11.25">
      <c r="A434" s="224"/>
      <c r="D434" s="225" t="s">
        <v>1685</v>
      </c>
      <c r="E434" s="224" t="s">
        <v>1676</v>
      </c>
      <c r="F434" s="227">
        <v>0.02</v>
      </c>
      <c r="G434" s="225">
        <v>35.7</v>
      </c>
      <c r="M434" s="225">
        <v>5.9</v>
      </c>
      <c r="O434" s="225">
        <v>5.6</v>
      </c>
      <c r="P434" s="225">
        <v>23.3</v>
      </c>
    </row>
    <row r="435" spans="1:5" s="216" customFormat="1" ht="11.25">
      <c r="A435" s="40">
        <v>216</v>
      </c>
      <c r="B435" s="216" t="s">
        <v>1673</v>
      </c>
      <c r="C435" s="216" t="s">
        <v>1205</v>
      </c>
      <c r="E435" s="222" t="s">
        <v>1686</v>
      </c>
    </row>
    <row r="436" spans="1:16" s="225" customFormat="1" ht="11.25">
      <c r="A436" s="224"/>
      <c r="D436" s="225" t="s">
        <v>1687</v>
      </c>
      <c r="E436" s="224" t="s">
        <v>1676</v>
      </c>
      <c r="F436" s="227">
        <v>0.075</v>
      </c>
      <c r="G436" s="225">
        <v>184.5</v>
      </c>
      <c r="M436" s="225">
        <v>30</v>
      </c>
      <c r="O436" s="225">
        <v>28.7</v>
      </c>
      <c r="P436" s="225">
        <v>119.4</v>
      </c>
    </row>
    <row r="437" spans="1:5" s="216" customFormat="1" ht="11.25">
      <c r="A437" s="40">
        <v>217</v>
      </c>
      <c r="B437" s="216" t="s">
        <v>1673</v>
      </c>
      <c r="C437" s="216" t="s">
        <v>1205</v>
      </c>
      <c r="E437" s="222" t="s">
        <v>1688</v>
      </c>
    </row>
    <row r="438" spans="1:16" s="225" customFormat="1" ht="11.25">
      <c r="A438" s="224"/>
      <c r="D438" s="225" t="s">
        <v>1689</v>
      </c>
      <c r="E438" s="224" t="s">
        <v>1676</v>
      </c>
      <c r="F438" s="227">
        <v>0.075</v>
      </c>
      <c r="G438" s="225">
        <v>30.7</v>
      </c>
      <c r="M438" s="225">
        <v>4.9</v>
      </c>
      <c r="O438" s="225">
        <v>4.6</v>
      </c>
      <c r="P438" s="225">
        <v>19.8</v>
      </c>
    </row>
    <row r="439" spans="1:6" s="216" customFormat="1" ht="11.25">
      <c r="A439" s="40">
        <v>218</v>
      </c>
      <c r="B439" s="216" t="s">
        <v>1673</v>
      </c>
      <c r="C439" s="216" t="s">
        <v>1205</v>
      </c>
      <c r="E439" s="222" t="s">
        <v>1366</v>
      </c>
      <c r="F439" s="230" t="s">
        <v>1678</v>
      </c>
    </row>
    <row r="440" spans="1:16" s="225" customFormat="1" ht="11.25">
      <c r="A440" s="224"/>
      <c r="D440" s="225" t="s">
        <v>1690</v>
      </c>
      <c r="E440" s="224" t="s">
        <v>1676</v>
      </c>
      <c r="F440" s="227">
        <v>0.02</v>
      </c>
      <c r="G440" s="225">
        <v>16.6</v>
      </c>
      <c r="M440" s="225">
        <v>2.7</v>
      </c>
      <c r="O440" s="225">
        <v>2.6</v>
      </c>
      <c r="P440" s="225">
        <v>10.8</v>
      </c>
    </row>
    <row r="441" spans="1:6" s="216" customFormat="1" ht="11.25">
      <c r="A441" s="40">
        <v>219</v>
      </c>
      <c r="B441" s="216" t="s">
        <v>1673</v>
      </c>
      <c r="C441" s="216" t="s">
        <v>1205</v>
      </c>
      <c r="E441" s="222" t="s">
        <v>1691</v>
      </c>
      <c r="F441" s="230" t="s">
        <v>1678</v>
      </c>
    </row>
    <row r="442" spans="1:16" s="225" customFormat="1" ht="11.25">
      <c r="A442" s="224"/>
      <c r="D442" s="225" t="s">
        <v>1692</v>
      </c>
      <c r="E442" s="224" t="s">
        <v>1676</v>
      </c>
      <c r="F442" s="227">
        <v>0.02</v>
      </c>
      <c r="G442" s="225">
        <v>87.1</v>
      </c>
      <c r="P442" s="225">
        <v>84.6</v>
      </c>
    </row>
    <row r="443" spans="1:5" s="216" customFormat="1" ht="11.25">
      <c r="A443" s="40">
        <v>220</v>
      </c>
      <c r="B443" s="216" t="s">
        <v>1673</v>
      </c>
      <c r="C443" s="216" t="s">
        <v>1205</v>
      </c>
      <c r="E443" s="222" t="s">
        <v>1693</v>
      </c>
    </row>
    <row r="444" spans="1:16" s="225" customFormat="1" ht="11.25">
      <c r="A444" s="224"/>
      <c r="D444" s="225" t="s">
        <v>1694</v>
      </c>
      <c r="E444" s="224" t="s">
        <v>1676</v>
      </c>
      <c r="F444" s="227">
        <v>0.075</v>
      </c>
      <c r="G444" s="225">
        <v>115.5</v>
      </c>
      <c r="P444" s="225">
        <v>112.1</v>
      </c>
    </row>
    <row r="445" spans="1:6" s="216" customFormat="1" ht="11.25">
      <c r="A445" s="40">
        <v>221</v>
      </c>
      <c r="B445" s="216" t="s">
        <v>1673</v>
      </c>
      <c r="C445" s="216" t="s">
        <v>1205</v>
      </c>
      <c r="E445" s="222" t="s">
        <v>1695</v>
      </c>
      <c r="F445" s="230" t="s">
        <v>1678</v>
      </c>
    </row>
    <row r="446" spans="1:16" s="225" customFormat="1" ht="11.25">
      <c r="A446" s="224"/>
      <c r="D446" s="225" t="s">
        <v>1696</v>
      </c>
      <c r="E446" s="224" t="s">
        <v>1676</v>
      </c>
      <c r="F446" s="227">
        <v>0.02</v>
      </c>
      <c r="G446" s="225">
        <v>48.3</v>
      </c>
      <c r="M446" s="225">
        <v>1.9</v>
      </c>
      <c r="N446" s="225">
        <v>3.6</v>
      </c>
      <c r="O446" s="225">
        <v>7.9</v>
      </c>
      <c r="P446" s="225">
        <v>34.5</v>
      </c>
    </row>
    <row r="447" spans="1:6" s="216" customFormat="1" ht="11.25">
      <c r="A447" s="40">
        <v>222</v>
      </c>
      <c r="B447" s="216" t="s">
        <v>1673</v>
      </c>
      <c r="C447" s="216" t="s">
        <v>1205</v>
      </c>
      <c r="E447" s="222" t="s">
        <v>1697</v>
      </c>
      <c r="F447" s="230" t="s">
        <v>1325</v>
      </c>
    </row>
    <row r="448" spans="1:16" s="225" customFormat="1" ht="11.25">
      <c r="A448" s="224"/>
      <c r="D448" s="225" t="s">
        <v>1557</v>
      </c>
      <c r="E448" s="224" t="s">
        <v>1676</v>
      </c>
      <c r="F448" s="227">
        <v>0.02</v>
      </c>
      <c r="G448" s="225">
        <v>36.1</v>
      </c>
      <c r="M448" s="225">
        <v>6.2</v>
      </c>
      <c r="P448" s="225">
        <v>31.6</v>
      </c>
    </row>
    <row r="449" spans="1:6" s="216" customFormat="1" ht="11.25">
      <c r="A449" s="40">
        <v>223</v>
      </c>
      <c r="B449" s="216" t="s">
        <v>1673</v>
      </c>
      <c r="C449" s="216" t="s">
        <v>1205</v>
      </c>
      <c r="E449" s="222" t="s">
        <v>1698</v>
      </c>
      <c r="F449" s="230" t="s">
        <v>1325</v>
      </c>
    </row>
    <row r="450" spans="1:16" s="225" customFormat="1" ht="11.25">
      <c r="A450" s="224"/>
      <c r="D450" s="225" t="s">
        <v>1650</v>
      </c>
      <c r="E450" s="224" t="s">
        <v>1676</v>
      </c>
      <c r="F450" s="227">
        <v>0.02</v>
      </c>
      <c r="G450" s="225">
        <v>234.1</v>
      </c>
      <c r="M450" s="225">
        <v>17.2</v>
      </c>
      <c r="O450" s="225">
        <v>17.8</v>
      </c>
      <c r="P450" s="225">
        <v>211</v>
      </c>
    </row>
    <row r="451" spans="1:6" s="216" customFormat="1" ht="11.25">
      <c r="A451" s="40">
        <v>224</v>
      </c>
      <c r="B451" s="216" t="s">
        <v>1673</v>
      </c>
      <c r="C451" s="216" t="s">
        <v>1205</v>
      </c>
      <c r="E451" s="222" t="s">
        <v>1699</v>
      </c>
      <c r="F451" s="230" t="s">
        <v>1325</v>
      </c>
    </row>
    <row r="452" spans="1:16" s="225" customFormat="1" ht="11.25">
      <c r="A452" s="224"/>
      <c r="D452" s="225" t="s">
        <v>1527</v>
      </c>
      <c r="E452" s="224" t="s">
        <v>1700</v>
      </c>
      <c r="F452" s="227">
        <v>0.02</v>
      </c>
      <c r="G452" s="225">
        <v>11.6</v>
      </c>
      <c r="M452" s="225">
        <v>2</v>
      </c>
      <c r="O452" s="225">
        <v>2.1</v>
      </c>
      <c r="P452" s="225">
        <v>8.2</v>
      </c>
    </row>
    <row r="453" spans="1:6" s="229" customFormat="1" ht="11.25">
      <c r="A453" s="40">
        <v>225</v>
      </c>
      <c r="B453" s="216" t="s">
        <v>1673</v>
      </c>
      <c r="C453" s="216" t="s">
        <v>1221</v>
      </c>
      <c r="E453" s="222" t="s">
        <v>1701</v>
      </c>
      <c r="F453" s="230" t="s">
        <v>1325</v>
      </c>
    </row>
    <row r="454" spans="1:16" s="225" customFormat="1" ht="11.25">
      <c r="A454" s="224"/>
      <c r="D454" s="225" t="s">
        <v>1224</v>
      </c>
      <c r="E454" s="224" t="s">
        <v>1225</v>
      </c>
      <c r="F454" s="227">
        <v>0.01</v>
      </c>
      <c r="G454" s="225">
        <v>4832.3</v>
      </c>
      <c r="L454" s="225">
        <v>246.2</v>
      </c>
      <c r="N454" s="225">
        <v>252.8</v>
      </c>
      <c r="P454" s="225">
        <v>4572.9</v>
      </c>
    </row>
    <row r="455" spans="1:6" s="216" customFormat="1" ht="11.25">
      <c r="A455" s="40">
        <v>226</v>
      </c>
      <c r="B455" s="216" t="s">
        <v>1702</v>
      </c>
      <c r="C455" s="216" t="s">
        <v>1235</v>
      </c>
      <c r="E455" s="222" t="s">
        <v>1703</v>
      </c>
      <c r="F455" s="230"/>
    </row>
    <row r="456" spans="1:16" s="225" customFormat="1" ht="11.25">
      <c r="A456" s="224"/>
      <c r="B456" s="225" t="s">
        <v>1704</v>
      </c>
      <c r="D456" s="225" t="s">
        <v>1705</v>
      </c>
      <c r="E456" s="224"/>
      <c r="F456" s="227"/>
      <c r="G456" s="225">
        <v>1710.5</v>
      </c>
      <c r="M456" s="225">
        <v>23.8</v>
      </c>
      <c r="O456" s="225">
        <v>23.8</v>
      </c>
      <c r="P456" s="225">
        <v>1662.9</v>
      </c>
    </row>
    <row r="457" spans="1:6" s="216" customFormat="1" ht="11.25">
      <c r="A457" s="40">
        <v>227</v>
      </c>
      <c r="B457" s="216" t="s">
        <v>432</v>
      </c>
      <c r="C457" s="216" t="s">
        <v>1501</v>
      </c>
      <c r="E457" s="222" t="s">
        <v>1706</v>
      </c>
      <c r="F457" s="230" t="s">
        <v>1325</v>
      </c>
    </row>
    <row r="458" spans="1:16" s="225" customFormat="1" ht="11.25">
      <c r="A458" s="224"/>
      <c r="C458" s="225" t="s">
        <v>840</v>
      </c>
      <c r="D458" s="225" t="s">
        <v>1707</v>
      </c>
      <c r="E458" s="224" t="s">
        <v>1708</v>
      </c>
      <c r="F458" s="227">
        <v>0.03</v>
      </c>
      <c r="G458" s="225">
        <v>134.1</v>
      </c>
      <c r="P458" s="225">
        <v>141</v>
      </c>
    </row>
    <row r="459" spans="1:6" s="216" customFormat="1" ht="11.25">
      <c r="A459" s="40">
        <v>228</v>
      </c>
      <c r="B459" s="216" t="s">
        <v>432</v>
      </c>
      <c r="C459" s="216" t="s">
        <v>1221</v>
      </c>
      <c r="E459" s="222" t="s">
        <v>1709</v>
      </c>
      <c r="F459" s="230" t="s">
        <v>1710</v>
      </c>
    </row>
    <row r="460" spans="1:16" s="225" customFormat="1" ht="11.25">
      <c r="A460" s="224"/>
      <c r="D460" s="225" t="s">
        <v>1711</v>
      </c>
      <c r="E460" s="224" t="s">
        <v>1712</v>
      </c>
      <c r="F460" s="233" t="s">
        <v>1713</v>
      </c>
      <c r="G460" s="225">
        <v>1457.5</v>
      </c>
      <c r="N460" s="225">
        <v>68.6</v>
      </c>
      <c r="O460" s="225">
        <v>70.9</v>
      </c>
      <c r="P460" s="225">
        <v>1393.2</v>
      </c>
    </row>
    <row r="461" spans="1:6" s="216" customFormat="1" ht="11.25">
      <c r="A461" s="40">
        <v>229</v>
      </c>
      <c r="B461" s="216" t="s">
        <v>432</v>
      </c>
      <c r="C461" s="216" t="s">
        <v>1501</v>
      </c>
      <c r="E461" s="222" t="s">
        <v>1714</v>
      </c>
      <c r="F461" s="230" t="s">
        <v>1325</v>
      </c>
    </row>
    <row r="462" spans="1:16" s="225" customFormat="1" ht="11.25">
      <c r="A462" s="224"/>
      <c r="C462" s="225" t="s">
        <v>840</v>
      </c>
      <c r="D462" s="225" t="s">
        <v>1715</v>
      </c>
      <c r="E462" s="224" t="s">
        <v>1716</v>
      </c>
      <c r="F462" s="227">
        <v>0.005</v>
      </c>
      <c r="G462" s="225">
        <v>48.7</v>
      </c>
      <c r="H462" s="225">
        <v>17.4</v>
      </c>
      <c r="I462" s="225">
        <v>14.4</v>
      </c>
      <c r="J462" s="225">
        <v>7.4</v>
      </c>
      <c r="K462" s="225">
        <v>11.6</v>
      </c>
      <c r="M462" s="225">
        <v>2.8</v>
      </c>
      <c r="O462" s="225">
        <v>5.8</v>
      </c>
      <c r="P462" s="225">
        <v>89.8</v>
      </c>
    </row>
    <row r="463" s="216" customFormat="1" ht="11.25">
      <c r="A463" s="40"/>
    </row>
    <row r="464" spans="1:16" s="216" customFormat="1" ht="10.5" customHeight="1">
      <c r="A464" s="234"/>
      <c r="C464" s="64" t="s">
        <v>1717</v>
      </c>
      <c r="F464" s="231"/>
      <c r="G464" s="216">
        <f>SUM(G5:G462)</f>
        <v>188745.90000000002</v>
      </c>
      <c r="H464" s="216">
        <f aca="true" t="shared" si="0" ref="H464:P464">SUM(H5:H462)</f>
        <v>2342.2</v>
      </c>
      <c r="I464" s="216">
        <f t="shared" si="0"/>
        <v>3454.6000000000004</v>
      </c>
      <c r="J464" s="216">
        <f t="shared" si="0"/>
        <v>6239.399999999997</v>
      </c>
      <c r="K464" s="216">
        <f t="shared" si="0"/>
        <v>6458.200000000002</v>
      </c>
      <c r="L464" s="216">
        <f t="shared" si="0"/>
        <v>2923.0000000000005</v>
      </c>
      <c r="M464" s="216">
        <f t="shared" si="0"/>
        <v>3087.1</v>
      </c>
      <c r="N464" s="216">
        <f t="shared" si="0"/>
        <v>3104.999999999999</v>
      </c>
      <c r="O464" s="216">
        <f t="shared" si="0"/>
        <v>4283.600000000001</v>
      </c>
      <c r="P464" s="216">
        <f t="shared" si="0"/>
        <v>183448.79999999987</v>
      </c>
    </row>
    <row r="465" spans="1:6" s="216" customFormat="1" ht="11.25">
      <c r="A465" s="40"/>
      <c r="F465" s="229"/>
    </row>
    <row r="466" spans="1:6" s="216" customFormat="1" ht="11.25">
      <c r="A466" s="40"/>
      <c r="B466" s="216" t="s">
        <v>1718</v>
      </c>
      <c r="F466" s="231"/>
    </row>
    <row r="467" spans="1:6" s="216" customFormat="1" ht="11.25">
      <c r="A467" s="40"/>
      <c r="B467" s="216" t="s">
        <v>1719</v>
      </c>
      <c r="F467" s="229"/>
    </row>
    <row r="468" spans="1:6" s="216" customFormat="1" ht="11.25">
      <c r="A468" s="40"/>
      <c r="F468" s="231"/>
    </row>
    <row r="469" ht="12.75">
      <c r="B469" s="235" t="s">
        <v>1720</v>
      </c>
    </row>
    <row r="470" spans="1:6" s="216" customFormat="1" ht="11.25">
      <c r="A470" s="40"/>
      <c r="B470" s="235" t="s">
        <v>1721</v>
      </c>
      <c r="F470" s="229"/>
    </row>
    <row r="471" spans="1:6" s="216" customFormat="1" ht="11.25">
      <c r="A471" s="40"/>
      <c r="B471" s="235" t="s">
        <v>1722</v>
      </c>
      <c r="F471" s="231"/>
    </row>
    <row r="472" spans="1:6" s="216" customFormat="1" ht="11.25">
      <c r="A472" s="40"/>
      <c r="F472" s="231"/>
    </row>
    <row r="473" spans="1:6" s="216" customFormat="1" ht="11.25">
      <c r="A473" s="40"/>
      <c r="F473" s="229"/>
    </row>
    <row r="474" spans="1:6" s="216" customFormat="1" ht="11.25">
      <c r="A474" s="40"/>
      <c r="F474" s="231"/>
    </row>
    <row r="475" spans="1:6" s="216" customFormat="1" ht="11.25">
      <c r="A475" s="40"/>
      <c r="F475" s="229"/>
    </row>
    <row r="476" spans="1:6" s="216" customFormat="1" ht="11.25">
      <c r="A476" s="40"/>
      <c r="F476" s="231"/>
    </row>
    <row r="477" spans="1:6" s="216" customFormat="1" ht="11.25">
      <c r="A477" s="40"/>
      <c r="F477" s="229"/>
    </row>
    <row r="478" spans="1:6" s="216" customFormat="1" ht="11.25">
      <c r="A478" s="40"/>
      <c r="F478" s="231"/>
    </row>
    <row r="479" spans="1:6" s="216" customFormat="1" ht="11.25">
      <c r="A479" s="40"/>
      <c r="F479" s="229"/>
    </row>
    <row r="480" spans="1:6" s="216" customFormat="1" ht="11.25">
      <c r="A480" s="40"/>
      <c r="F480" s="231"/>
    </row>
    <row r="481" spans="1:4" ht="12.75">
      <c r="A481" s="236"/>
      <c r="B481" s="217"/>
      <c r="C481" s="217"/>
      <c r="D481" s="217"/>
    </row>
    <row r="482" spans="1:11" ht="12.75">
      <c r="A482" s="236"/>
      <c r="B482" s="217"/>
      <c r="C482" s="217"/>
      <c r="D482" s="217" t="s">
        <v>264</v>
      </c>
      <c r="F482" s="237"/>
      <c r="K482" s="217" t="s">
        <v>473</v>
      </c>
    </row>
    <row r="483" spans="1:6" s="216" customFormat="1" ht="11.25">
      <c r="A483" s="40"/>
      <c r="F483" s="229"/>
    </row>
    <row r="484" spans="1:6" s="216" customFormat="1" ht="11.25">
      <c r="A484" s="40"/>
      <c r="F484" s="231"/>
    </row>
    <row r="485" spans="1:6" s="216" customFormat="1" ht="11.25">
      <c r="A485" s="40"/>
      <c r="F485" s="229"/>
    </row>
    <row r="486" spans="1:6" s="216" customFormat="1" ht="11.25">
      <c r="A486" s="40"/>
      <c r="F486" s="231"/>
    </row>
    <row r="487" spans="1:6" s="216" customFormat="1" ht="11.25">
      <c r="A487" s="40"/>
      <c r="F487" s="229"/>
    </row>
    <row r="489" spans="1:6" s="216" customFormat="1" ht="11.25">
      <c r="A489" s="40"/>
      <c r="F489" s="229"/>
    </row>
    <row r="490" spans="1:6" s="216" customFormat="1" ht="11.25">
      <c r="A490" s="40"/>
      <c r="F490" s="231"/>
    </row>
    <row r="491" spans="1:6" s="216" customFormat="1" ht="11.25">
      <c r="A491" s="40"/>
      <c r="F491" s="229"/>
    </row>
    <row r="492" spans="1:6" s="216" customFormat="1" ht="11.25">
      <c r="A492" s="40"/>
      <c r="F492" s="231"/>
    </row>
    <row r="493" spans="1:6" s="216" customFormat="1" ht="11.25">
      <c r="A493" s="40"/>
      <c r="F493" s="229"/>
    </row>
    <row r="494" spans="1:6" s="216" customFormat="1" ht="11.25">
      <c r="A494" s="40"/>
      <c r="F494" s="231"/>
    </row>
    <row r="495" spans="1:6" s="216" customFormat="1" ht="11.25">
      <c r="A495" s="40"/>
      <c r="F495" s="229"/>
    </row>
    <row r="496" spans="1:6" s="216" customFormat="1" ht="11.25">
      <c r="A496" s="40"/>
      <c r="F496" s="231"/>
    </row>
    <row r="497" spans="1:6" s="216" customFormat="1" ht="11.25">
      <c r="A497" s="40"/>
      <c r="F497" s="229"/>
    </row>
    <row r="498" spans="1:6" s="216" customFormat="1" ht="11.25">
      <c r="A498" s="40"/>
      <c r="F498" s="231"/>
    </row>
    <row r="499" spans="1:6" s="216" customFormat="1" ht="11.25">
      <c r="A499" s="40"/>
      <c r="F499" s="229"/>
    </row>
    <row r="500" spans="1:6" s="216" customFormat="1" ht="11.25">
      <c r="A500" s="40"/>
      <c r="F500" s="231"/>
    </row>
    <row r="501" spans="1:6" s="216" customFormat="1" ht="11.25">
      <c r="A501" s="40"/>
      <c r="F501" s="229"/>
    </row>
    <row r="502" spans="1:6" s="216" customFormat="1" ht="11.25">
      <c r="A502" s="40"/>
      <c r="F502" s="231"/>
    </row>
    <row r="503" spans="1:6" s="216" customFormat="1" ht="11.25">
      <c r="A503" s="40"/>
      <c r="F503" s="229"/>
    </row>
    <row r="504" spans="1:6" s="216" customFormat="1" ht="11.25">
      <c r="A504" s="40"/>
      <c r="F504" s="231"/>
    </row>
    <row r="505" spans="1:6" s="216" customFormat="1" ht="11.25">
      <c r="A505" s="40"/>
      <c r="F505" s="229"/>
    </row>
    <row r="506" spans="1:6" s="216" customFormat="1" ht="11.25">
      <c r="A506" s="40"/>
      <c r="F506" s="231"/>
    </row>
    <row r="507" spans="1:6" s="216" customFormat="1" ht="11.25">
      <c r="A507" s="40"/>
      <c r="F507" s="229"/>
    </row>
    <row r="508" spans="1:6" s="216" customFormat="1" ht="11.25">
      <c r="A508" s="40"/>
      <c r="F508" s="231"/>
    </row>
    <row r="509" spans="1:6" s="216" customFormat="1" ht="11.25">
      <c r="A509" s="40"/>
      <c r="F509" s="229"/>
    </row>
    <row r="510" spans="1:6" s="216" customFormat="1" ht="11.25">
      <c r="A510" s="40"/>
      <c r="F510" s="231"/>
    </row>
    <row r="511" spans="1:6" s="216" customFormat="1" ht="11.25">
      <c r="A511" s="40"/>
      <c r="F511" s="229"/>
    </row>
    <row r="512" spans="1:6" s="216" customFormat="1" ht="11.25">
      <c r="A512" s="40"/>
      <c r="F512" s="231"/>
    </row>
    <row r="513" spans="1:6" s="216" customFormat="1" ht="11.25">
      <c r="A513" s="40"/>
      <c r="F513" s="229"/>
    </row>
    <row r="514" spans="1:6" s="216" customFormat="1" ht="11.25">
      <c r="A514" s="40"/>
      <c r="F514" s="231"/>
    </row>
    <row r="515" spans="1:6" s="216" customFormat="1" ht="11.25">
      <c r="A515" s="40"/>
      <c r="F515" s="229"/>
    </row>
    <row r="516" spans="1:6" s="216" customFormat="1" ht="11.25">
      <c r="A516" s="40"/>
      <c r="F516" s="231"/>
    </row>
    <row r="517" spans="1:6" s="216" customFormat="1" ht="11.25">
      <c r="A517" s="40"/>
      <c r="F517" s="229"/>
    </row>
    <row r="518" spans="1:6" s="216" customFormat="1" ht="11.25">
      <c r="A518" s="40"/>
      <c r="F518" s="231"/>
    </row>
    <row r="519" spans="1:6" s="216" customFormat="1" ht="11.25">
      <c r="A519" s="40"/>
      <c r="F519" s="229"/>
    </row>
    <row r="520" spans="1:6" s="216" customFormat="1" ht="11.25">
      <c r="A520" s="40"/>
      <c r="F520" s="231"/>
    </row>
    <row r="521" spans="1:6" s="216" customFormat="1" ht="11.25">
      <c r="A521" s="40"/>
      <c r="F521" s="229"/>
    </row>
    <row r="522" spans="1:6" s="216" customFormat="1" ht="11.25">
      <c r="A522" s="40"/>
      <c r="F522" s="231"/>
    </row>
    <row r="523" spans="1:6" s="216" customFormat="1" ht="11.25">
      <c r="A523" s="40"/>
      <c r="F523" s="229"/>
    </row>
    <row r="524" spans="1:6" s="216" customFormat="1" ht="11.25">
      <c r="A524" s="40"/>
      <c r="F524" s="231"/>
    </row>
    <row r="525" spans="1:6" s="216" customFormat="1" ht="11.25">
      <c r="A525" s="40"/>
      <c r="F525" s="229"/>
    </row>
    <row r="526" spans="1:6" s="216" customFormat="1" ht="11.25">
      <c r="A526" s="40"/>
      <c r="F526" s="231"/>
    </row>
    <row r="527" spans="1:6" s="216" customFormat="1" ht="11.25">
      <c r="A527" s="40"/>
      <c r="F527" s="229"/>
    </row>
    <row r="528" spans="1:6" s="216" customFormat="1" ht="11.25">
      <c r="A528" s="40"/>
      <c r="F528" s="231"/>
    </row>
    <row r="529" spans="1:6" s="216" customFormat="1" ht="11.25">
      <c r="A529" s="40"/>
      <c r="F529" s="229"/>
    </row>
    <row r="530" spans="1:6" s="216" customFormat="1" ht="11.25">
      <c r="A530" s="40"/>
      <c r="F530" s="231"/>
    </row>
    <row r="531" spans="1:6" s="216" customFormat="1" ht="11.25">
      <c r="A531" s="40"/>
      <c r="F531" s="229"/>
    </row>
    <row r="532" spans="1:6" s="216" customFormat="1" ht="11.25">
      <c r="A532" s="40"/>
      <c r="F532" s="231"/>
    </row>
    <row r="533" spans="1:6" s="216" customFormat="1" ht="11.25">
      <c r="A533" s="40"/>
      <c r="F533" s="229"/>
    </row>
    <row r="534" spans="1:6" s="216" customFormat="1" ht="11.25">
      <c r="A534" s="40"/>
      <c r="F534" s="231"/>
    </row>
    <row r="535" spans="1:6" s="216" customFormat="1" ht="11.25">
      <c r="A535" s="40"/>
      <c r="F535" s="229"/>
    </row>
    <row r="536" spans="1:6" s="216" customFormat="1" ht="11.25">
      <c r="A536" s="40"/>
      <c r="F536" s="231"/>
    </row>
    <row r="537" spans="1:6" s="216" customFormat="1" ht="11.25">
      <c r="A537" s="40"/>
      <c r="F537" s="229"/>
    </row>
    <row r="538" spans="1:6" s="216" customFormat="1" ht="11.25">
      <c r="A538" s="40"/>
      <c r="F538" s="231"/>
    </row>
    <row r="539" spans="1:6" s="216" customFormat="1" ht="11.25">
      <c r="A539" s="40"/>
      <c r="F539" s="229"/>
    </row>
    <row r="540" spans="1:6" s="216" customFormat="1" ht="11.25">
      <c r="A540" s="40"/>
      <c r="F540" s="231"/>
    </row>
    <row r="541" spans="1:6" s="216" customFormat="1" ht="11.25">
      <c r="A541" s="40"/>
      <c r="F541" s="229"/>
    </row>
    <row r="542" spans="1:6" s="216" customFormat="1" ht="11.25">
      <c r="A542" s="40"/>
      <c r="F542" s="231"/>
    </row>
    <row r="543" spans="1:6" s="216" customFormat="1" ht="11.25">
      <c r="A543" s="40"/>
      <c r="F543" s="229"/>
    </row>
    <row r="544" spans="1:6" s="216" customFormat="1" ht="11.25">
      <c r="A544" s="40"/>
      <c r="F544" s="231"/>
    </row>
    <row r="545" spans="1:6" s="216" customFormat="1" ht="11.25">
      <c r="A545" s="40"/>
      <c r="F545" s="229"/>
    </row>
    <row r="546" spans="1:6" s="216" customFormat="1" ht="11.25">
      <c r="A546" s="40"/>
      <c r="F546" s="231"/>
    </row>
    <row r="547" spans="1:6" s="216" customFormat="1" ht="11.25">
      <c r="A547" s="40"/>
      <c r="F547" s="229"/>
    </row>
    <row r="548" spans="1:6" s="216" customFormat="1" ht="11.25">
      <c r="A548" s="40"/>
      <c r="F548" s="231"/>
    </row>
    <row r="549" spans="1:6" s="216" customFormat="1" ht="11.25">
      <c r="A549" s="40"/>
      <c r="F549" s="229"/>
    </row>
    <row r="550" spans="1:6" s="216" customFormat="1" ht="11.25">
      <c r="A550" s="40"/>
      <c r="F550" s="231"/>
    </row>
    <row r="551" spans="1:6" s="216" customFormat="1" ht="11.25">
      <c r="A551" s="40"/>
      <c r="F551" s="229"/>
    </row>
    <row r="552" spans="1:6" s="216" customFormat="1" ht="11.25">
      <c r="A552" s="40"/>
      <c r="F552" s="231"/>
    </row>
    <row r="553" spans="1:6" s="216" customFormat="1" ht="11.25">
      <c r="A553" s="40"/>
      <c r="F553" s="229"/>
    </row>
    <row r="554" spans="1:6" s="216" customFormat="1" ht="11.25">
      <c r="A554" s="40"/>
      <c r="F554" s="231"/>
    </row>
    <row r="555" spans="1:6" s="216" customFormat="1" ht="11.25">
      <c r="A555" s="40"/>
      <c r="F555" s="229"/>
    </row>
    <row r="556" spans="1:6" s="216" customFormat="1" ht="11.25">
      <c r="A556" s="40"/>
      <c r="F556" s="231"/>
    </row>
    <row r="557" spans="1:6" s="216" customFormat="1" ht="11.25">
      <c r="A557" s="40"/>
      <c r="F557" s="229"/>
    </row>
    <row r="558" spans="1:6" s="216" customFormat="1" ht="11.25">
      <c r="A558" s="40"/>
      <c r="F558" s="231"/>
    </row>
    <row r="559" spans="1:6" s="216" customFormat="1" ht="11.25">
      <c r="A559" s="40"/>
      <c r="F559" s="229"/>
    </row>
    <row r="560" spans="1:6" s="216" customFormat="1" ht="11.25">
      <c r="A560" s="40"/>
      <c r="F560" s="231"/>
    </row>
    <row r="561" spans="1:6" s="216" customFormat="1" ht="11.25">
      <c r="A561" s="40"/>
      <c r="F561" s="229"/>
    </row>
    <row r="562" spans="1:6" s="216" customFormat="1" ht="11.25">
      <c r="A562" s="40"/>
      <c r="F562" s="231"/>
    </row>
    <row r="563" spans="1:6" s="216" customFormat="1" ht="11.25">
      <c r="A563" s="40"/>
      <c r="F563" s="229"/>
    </row>
    <row r="564" spans="1:6" s="216" customFormat="1" ht="11.25">
      <c r="A564" s="40"/>
      <c r="F564" s="231"/>
    </row>
    <row r="565" spans="1:6" s="216" customFormat="1" ht="11.25">
      <c r="A565" s="40"/>
      <c r="F565" s="229"/>
    </row>
    <row r="566" spans="1:6" s="216" customFormat="1" ht="11.25">
      <c r="A566" s="40"/>
      <c r="F566" s="231"/>
    </row>
    <row r="567" spans="1:6" s="216" customFormat="1" ht="11.25">
      <c r="A567" s="40"/>
      <c r="F567" s="229"/>
    </row>
    <row r="568" spans="1:6" s="216" customFormat="1" ht="11.25">
      <c r="A568" s="40"/>
      <c r="F568" s="231"/>
    </row>
    <row r="569" spans="1:6" s="216" customFormat="1" ht="11.25">
      <c r="A569" s="40"/>
      <c r="F569" s="229"/>
    </row>
    <row r="570" spans="1:6" s="216" customFormat="1" ht="11.25">
      <c r="A570" s="40"/>
      <c r="F570" s="231"/>
    </row>
    <row r="571" spans="1:6" s="216" customFormat="1" ht="11.25">
      <c r="A571" s="40"/>
      <c r="F571" s="229"/>
    </row>
    <row r="572" spans="1:6" s="216" customFormat="1" ht="11.25">
      <c r="A572" s="40"/>
      <c r="F572" s="231"/>
    </row>
    <row r="573" spans="1:6" s="216" customFormat="1" ht="11.25">
      <c r="A573" s="40"/>
      <c r="F573" s="229"/>
    </row>
    <row r="574" spans="1:6" s="216" customFormat="1" ht="11.25">
      <c r="A574" s="40"/>
      <c r="F574" s="231"/>
    </row>
    <row r="575" spans="1:6" s="216" customFormat="1" ht="11.25">
      <c r="A575" s="40"/>
      <c r="F575" s="229"/>
    </row>
    <row r="576" spans="1:6" s="216" customFormat="1" ht="11.25">
      <c r="A576" s="40"/>
      <c r="F576" s="231"/>
    </row>
    <row r="577" spans="1:6" s="216" customFormat="1" ht="11.25">
      <c r="A577" s="40"/>
      <c r="F577" s="229"/>
    </row>
    <row r="578" spans="1:6" s="216" customFormat="1" ht="11.25">
      <c r="A578" s="40"/>
      <c r="F578" s="231"/>
    </row>
    <row r="579" spans="1:6" s="216" customFormat="1" ht="11.25">
      <c r="A579" s="40"/>
      <c r="F579" s="229"/>
    </row>
    <row r="580" spans="1:6" s="216" customFormat="1" ht="11.25">
      <c r="A580" s="40"/>
      <c r="F580" s="231"/>
    </row>
    <row r="581" spans="1:6" s="216" customFormat="1" ht="11.25">
      <c r="A581" s="40"/>
      <c r="F581" s="229"/>
    </row>
    <row r="582" spans="1:6" s="216" customFormat="1" ht="11.25">
      <c r="A582" s="40"/>
      <c r="F582" s="231"/>
    </row>
    <row r="583" spans="1:6" s="216" customFormat="1" ht="11.25">
      <c r="A583" s="40"/>
      <c r="F583" s="229"/>
    </row>
    <row r="584" spans="1:6" s="216" customFormat="1" ht="11.25">
      <c r="A584" s="40"/>
      <c r="F584" s="231"/>
    </row>
    <row r="585" spans="1:6" s="216" customFormat="1" ht="11.25">
      <c r="A585" s="40"/>
      <c r="F585" s="229"/>
    </row>
    <row r="586" spans="1:6" s="216" customFormat="1" ht="11.25">
      <c r="A586" s="40"/>
      <c r="F586" s="231"/>
    </row>
    <row r="587" spans="1:6" s="216" customFormat="1" ht="11.25">
      <c r="A587" s="40"/>
      <c r="F587" s="229"/>
    </row>
    <row r="588" spans="1:6" s="216" customFormat="1" ht="11.25">
      <c r="A588" s="40"/>
      <c r="F588" s="231"/>
    </row>
    <row r="589" spans="1:6" s="216" customFormat="1" ht="11.25">
      <c r="A589" s="40"/>
      <c r="F589" s="229"/>
    </row>
    <row r="590" spans="1:6" s="216" customFormat="1" ht="11.25">
      <c r="A590" s="40"/>
      <c r="F590" s="231"/>
    </row>
    <row r="591" spans="1:6" s="216" customFormat="1" ht="11.25">
      <c r="A591" s="40"/>
      <c r="F591" s="229"/>
    </row>
    <row r="592" spans="1:6" s="216" customFormat="1" ht="11.25">
      <c r="A592" s="40"/>
      <c r="F592" s="231"/>
    </row>
    <row r="593" spans="1:6" s="216" customFormat="1" ht="11.25">
      <c r="A593" s="40"/>
      <c r="F593" s="229"/>
    </row>
    <row r="594" spans="1:6" s="216" customFormat="1" ht="11.25">
      <c r="A594" s="40"/>
      <c r="F594" s="231"/>
    </row>
    <row r="595" spans="1:6" s="216" customFormat="1" ht="11.25">
      <c r="A595" s="40"/>
      <c r="F595" s="229"/>
    </row>
    <row r="596" spans="1:6" s="216" customFormat="1" ht="11.25">
      <c r="A596" s="40"/>
      <c r="F596" s="231"/>
    </row>
    <row r="597" spans="1:6" s="216" customFormat="1" ht="11.25">
      <c r="A597" s="40"/>
      <c r="F597" s="229"/>
    </row>
    <row r="598" spans="1:6" s="216" customFormat="1" ht="11.25">
      <c r="A598" s="40"/>
      <c r="F598" s="231"/>
    </row>
    <row r="599" spans="1:6" s="216" customFormat="1" ht="11.25">
      <c r="A599" s="40"/>
      <c r="F599" s="229"/>
    </row>
    <row r="600" spans="1:6" s="216" customFormat="1" ht="11.25">
      <c r="A600" s="40"/>
      <c r="F600" s="231"/>
    </row>
    <row r="601" spans="1:6" s="216" customFormat="1" ht="11.25">
      <c r="A601" s="40"/>
      <c r="F601" s="229"/>
    </row>
    <row r="602" spans="1:6" s="216" customFormat="1" ht="11.25">
      <c r="A602" s="40"/>
      <c r="F602" s="231"/>
    </row>
    <row r="603" spans="1:6" s="216" customFormat="1" ht="11.25">
      <c r="A603" s="40"/>
      <c r="F603" s="229"/>
    </row>
    <row r="604" spans="1:6" s="216" customFormat="1" ht="11.25">
      <c r="A604" s="40"/>
      <c r="F604" s="231"/>
    </row>
    <row r="605" spans="1:6" s="216" customFormat="1" ht="11.25">
      <c r="A605" s="40"/>
      <c r="F605" s="229"/>
    </row>
    <row r="606" spans="1:6" s="216" customFormat="1" ht="11.25">
      <c r="A606" s="40"/>
      <c r="F606" s="231"/>
    </row>
    <row r="607" spans="1:6" s="216" customFormat="1" ht="11.25">
      <c r="A607" s="40"/>
      <c r="F607" s="229"/>
    </row>
    <row r="608" spans="1:6" s="216" customFormat="1" ht="11.25">
      <c r="A608" s="40"/>
      <c r="F608" s="231"/>
    </row>
    <row r="609" spans="1:6" s="216" customFormat="1" ht="11.25">
      <c r="A609" s="40"/>
      <c r="F609" s="229"/>
    </row>
    <row r="610" spans="1:6" s="216" customFormat="1" ht="11.25">
      <c r="A610" s="40"/>
      <c r="F610" s="231"/>
    </row>
    <row r="611" spans="1:6" s="216" customFormat="1" ht="11.25">
      <c r="A611" s="40"/>
      <c r="F611" s="229"/>
    </row>
    <row r="612" spans="1:6" s="216" customFormat="1" ht="11.25">
      <c r="A612" s="40"/>
      <c r="F612" s="231"/>
    </row>
    <row r="613" spans="1:6" s="216" customFormat="1" ht="11.25">
      <c r="A613" s="40"/>
      <c r="F613" s="229"/>
    </row>
    <row r="614" spans="1:6" s="216" customFormat="1" ht="11.25">
      <c r="A614" s="40"/>
      <c r="F614" s="231"/>
    </row>
    <row r="615" spans="1:6" s="216" customFormat="1" ht="11.25">
      <c r="A615" s="40"/>
      <c r="F615" s="229"/>
    </row>
    <row r="616" spans="1:6" s="216" customFormat="1" ht="11.25">
      <c r="A616" s="40"/>
      <c r="F616" s="231"/>
    </row>
    <row r="617" spans="1:6" s="216" customFormat="1" ht="11.25">
      <c r="A617" s="40"/>
      <c r="F617" s="229"/>
    </row>
    <row r="618" spans="1:6" s="216" customFormat="1" ht="11.25">
      <c r="A618" s="40"/>
      <c r="F618" s="231"/>
    </row>
    <row r="619" spans="1:6" s="216" customFormat="1" ht="11.25">
      <c r="A619" s="40"/>
      <c r="F619" s="229"/>
    </row>
    <row r="620" spans="1:6" s="216" customFormat="1" ht="11.25">
      <c r="A620" s="40"/>
      <c r="F620" s="231"/>
    </row>
    <row r="621" spans="1:6" s="216" customFormat="1" ht="11.25">
      <c r="A621" s="40"/>
      <c r="F621" s="229"/>
    </row>
    <row r="622" spans="1:6" s="216" customFormat="1" ht="11.25">
      <c r="A622" s="40"/>
      <c r="F622" s="231"/>
    </row>
    <row r="623" spans="1:6" s="216" customFormat="1" ht="11.25">
      <c r="A623" s="40"/>
      <c r="F623" s="229"/>
    </row>
    <row r="624" spans="1:6" s="216" customFormat="1" ht="11.25">
      <c r="A624" s="40"/>
      <c r="F624" s="231"/>
    </row>
    <row r="625" spans="1:6" s="216" customFormat="1" ht="11.25">
      <c r="A625" s="40"/>
      <c r="F625" s="229"/>
    </row>
    <row r="626" spans="1:6" s="216" customFormat="1" ht="11.25">
      <c r="A626" s="40"/>
      <c r="F626" s="231"/>
    </row>
    <row r="627" spans="1:6" s="216" customFormat="1" ht="11.25">
      <c r="A627" s="40"/>
      <c r="F627" s="229"/>
    </row>
    <row r="628" spans="1:6" s="216" customFormat="1" ht="11.25">
      <c r="A628" s="40"/>
      <c r="F628" s="231"/>
    </row>
    <row r="629" spans="1:6" s="216" customFormat="1" ht="11.25">
      <c r="A629" s="40"/>
      <c r="F629" s="229"/>
    </row>
    <row r="630" spans="1:6" s="216" customFormat="1" ht="11.25">
      <c r="A630" s="40"/>
      <c r="F630" s="231"/>
    </row>
    <row r="631" spans="1:6" s="216" customFormat="1" ht="11.25">
      <c r="A631" s="40"/>
      <c r="F631" s="229"/>
    </row>
    <row r="632" spans="1:6" s="216" customFormat="1" ht="11.25">
      <c r="A632" s="40"/>
      <c r="F632" s="231"/>
    </row>
    <row r="633" spans="1:6" s="216" customFormat="1" ht="11.25">
      <c r="A633" s="40"/>
      <c r="F633" s="229"/>
    </row>
    <row r="634" spans="1:6" s="216" customFormat="1" ht="11.25">
      <c r="A634" s="40"/>
      <c r="F634" s="231"/>
    </row>
    <row r="635" spans="1:6" s="216" customFormat="1" ht="11.25">
      <c r="A635" s="40"/>
      <c r="F635" s="229"/>
    </row>
    <row r="636" spans="1:6" s="216" customFormat="1" ht="11.25">
      <c r="A636" s="40"/>
      <c r="F636" s="231"/>
    </row>
    <row r="637" spans="1:6" s="216" customFormat="1" ht="11.25">
      <c r="A637" s="40"/>
      <c r="F637" s="229"/>
    </row>
    <row r="638" spans="1:6" s="216" customFormat="1" ht="11.25">
      <c r="A638" s="40"/>
      <c r="F638" s="231"/>
    </row>
    <row r="639" spans="1:6" s="216" customFormat="1" ht="11.25">
      <c r="A639" s="40"/>
      <c r="F639" s="229"/>
    </row>
    <row r="640" spans="1:6" s="216" customFormat="1" ht="11.25">
      <c r="A640" s="40"/>
      <c r="F640" s="231"/>
    </row>
    <row r="641" spans="1:6" s="216" customFormat="1" ht="11.25">
      <c r="A641" s="40"/>
      <c r="F641" s="229"/>
    </row>
    <row r="642" spans="1:6" s="216" customFormat="1" ht="11.25">
      <c r="A642" s="40"/>
      <c r="F642" s="231"/>
    </row>
    <row r="643" spans="1:6" s="216" customFormat="1" ht="11.25">
      <c r="A643" s="40"/>
      <c r="F643" s="229"/>
    </row>
    <row r="644" spans="1:6" s="216" customFormat="1" ht="11.25">
      <c r="A644" s="40"/>
      <c r="F644" s="231"/>
    </row>
    <row r="645" spans="1:6" s="216" customFormat="1" ht="11.25">
      <c r="A645" s="40"/>
      <c r="F645" s="229"/>
    </row>
    <row r="646" spans="1:6" s="216" customFormat="1" ht="11.25">
      <c r="A646" s="40"/>
      <c r="F646" s="231"/>
    </row>
    <row r="647" spans="1:6" s="216" customFormat="1" ht="11.25">
      <c r="A647" s="40"/>
      <c r="F647" s="229"/>
    </row>
    <row r="648" spans="1:6" s="216" customFormat="1" ht="11.25">
      <c r="A648" s="40"/>
      <c r="F648" s="231"/>
    </row>
    <row r="649" spans="1:6" s="216" customFormat="1" ht="11.25">
      <c r="A649" s="40"/>
      <c r="F649" s="229"/>
    </row>
    <row r="650" spans="1:6" s="216" customFormat="1" ht="11.25">
      <c r="A650" s="40"/>
      <c r="F650" s="231"/>
    </row>
    <row r="651" spans="1:6" s="216" customFormat="1" ht="11.25">
      <c r="A651" s="40"/>
      <c r="F651" s="229"/>
    </row>
    <row r="652" spans="1:6" s="216" customFormat="1" ht="11.25">
      <c r="A652" s="40"/>
      <c r="F652" s="231"/>
    </row>
    <row r="653" spans="1:6" s="216" customFormat="1" ht="11.25">
      <c r="A653" s="40"/>
      <c r="F653" s="229"/>
    </row>
    <row r="654" spans="1:6" s="216" customFormat="1" ht="11.25">
      <c r="A654" s="40"/>
      <c r="F654" s="231"/>
    </row>
    <row r="655" spans="1:6" s="216" customFormat="1" ht="11.25">
      <c r="A655" s="40"/>
      <c r="F655" s="229"/>
    </row>
    <row r="656" spans="1:6" s="216" customFormat="1" ht="11.25">
      <c r="A656" s="40"/>
      <c r="F656" s="231"/>
    </row>
    <row r="657" spans="1:6" s="216" customFormat="1" ht="11.25">
      <c r="A657" s="40"/>
      <c r="F657" s="229"/>
    </row>
    <row r="658" spans="1:6" s="216" customFormat="1" ht="11.25">
      <c r="A658" s="40"/>
      <c r="F658" s="231"/>
    </row>
    <row r="659" spans="1:6" s="216" customFormat="1" ht="11.25">
      <c r="A659" s="40"/>
      <c r="F659" s="229"/>
    </row>
    <row r="660" spans="1:6" s="216" customFormat="1" ht="11.25">
      <c r="A660" s="40"/>
      <c r="F660" s="231"/>
    </row>
    <row r="661" spans="1:6" s="216" customFormat="1" ht="11.25">
      <c r="A661" s="40"/>
      <c r="F661" s="229"/>
    </row>
    <row r="662" spans="1:6" s="216" customFormat="1" ht="11.25">
      <c r="A662" s="40"/>
      <c r="F662" s="231"/>
    </row>
    <row r="663" spans="1:6" s="216" customFormat="1" ht="11.25">
      <c r="A663" s="40"/>
      <c r="F663" s="229"/>
    </row>
    <row r="664" spans="1:6" s="216" customFormat="1" ht="11.25">
      <c r="A664" s="40"/>
      <c r="F664" s="231"/>
    </row>
    <row r="665" spans="1:6" s="216" customFormat="1" ht="11.25">
      <c r="A665" s="40"/>
      <c r="F665" s="229"/>
    </row>
    <row r="666" spans="1:6" s="216" customFormat="1" ht="11.25">
      <c r="A666" s="40"/>
      <c r="F666" s="231"/>
    </row>
    <row r="667" spans="1:6" s="216" customFormat="1" ht="11.25">
      <c r="A667" s="40"/>
      <c r="F667" s="229"/>
    </row>
    <row r="668" spans="1:6" s="216" customFormat="1" ht="11.25">
      <c r="A668" s="40"/>
      <c r="F668" s="231"/>
    </row>
    <row r="669" spans="1:6" s="216" customFormat="1" ht="11.25">
      <c r="A669" s="40"/>
      <c r="F669" s="229"/>
    </row>
    <row r="670" spans="1:6" s="216" customFormat="1" ht="11.25">
      <c r="A670" s="40"/>
      <c r="F670" s="231"/>
    </row>
    <row r="671" spans="1:6" s="216" customFormat="1" ht="11.25">
      <c r="A671" s="40"/>
      <c r="F671" s="229"/>
    </row>
    <row r="672" spans="1:6" s="216" customFormat="1" ht="11.25">
      <c r="A672" s="40"/>
      <c r="F672" s="231"/>
    </row>
    <row r="673" spans="1:6" s="216" customFormat="1" ht="11.25">
      <c r="A673" s="40"/>
      <c r="F673" s="229"/>
    </row>
    <row r="674" spans="1:6" s="216" customFormat="1" ht="11.25">
      <c r="A674" s="40"/>
      <c r="F674" s="231"/>
    </row>
    <row r="675" spans="1:6" s="216" customFormat="1" ht="11.25">
      <c r="A675" s="40"/>
      <c r="F675" s="229"/>
    </row>
    <row r="676" spans="1:6" s="216" customFormat="1" ht="11.25">
      <c r="A676" s="40"/>
      <c r="F676" s="231"/>
    </row>
    <row r="677" spans="1:6" s="216" customFormat="1" ht="11.25">
      <c r="A677" s="40"/>
      <c r="F677" s="229"/>
    </row>
    <row r="678" spans="1:6" s="216" customFormat="1" ht="11.25">
      <c r="A678" s="40"/>
      <c r="F678" s="231"/>
    </row>
    <row r="679" spans="1:6" s="216" customFormat="1" ht="11.25">
      <c r="A679" s="40"/>
      <c r="F679" s="229"/>
    </row>
    <row r="680" spans="1:6" s="216" customFormat="1" ht="11.25">
      <c r="A680" s="40"/>
      <c r="F680" s="231"/>
    </row>
    <row r="681" spans="1:6" s="216" customFormat="1" ht="11.25">
      <c r="A681" s="40"/>
      <c r="F681" s="229"/>
    </row>
    <row r="682" spans="1:6" s="216" customFormat="1" ht="11.25">
      <c r="A682" s="40"/>
      <c r="F682" s="231"/>
    </row>
    <row r="683" spans="1:6" s="216" customFormat="1" ht="11.25">
      <c r="A683" s="40"/>
      <c r="F683" s="229"/>
    </row>
    <row r="684" spans="1:6" s="216" customFormat="1" ht="11.25">
      <c r="A684" s="40"/>
      <c r="F684" s="231"/>
    </row>
    <row r="685" spans="1:6" s="216" customFormat="1" ht="11.25">
      <c r="A685" s="40"/>
      <c r="F685" s="229"/>
    </row>
    <row r="686" spans="1:6" s="216" customFormat="1" ht="11.25">
      <c r="A686" s="40"/>
      <c r="F686" s="231"/>
    </row>
    <row r="687" spans="1:6" s="216" customFormat="1" ht="11.25">
      <c r="A687" s="40"/>
      <c r="F687" s="229"/>
    </row>
    <row r="688" spans="1:6" s="216" customFormat="1" ht="11.25">
      <c r="A688" s="40"/>
      <c r="F688" s="231"/>
    </row>
    <row r="689" spans="1:6" s="216" customFormat="1" ht="11.25">
      <c r="A689" s="40"/>
      <c r="F689" s="229"/>
    </row>
    <row r="690" spans="1:6" s="216" customFormat="1" ht="11.25">
      <c r="A690" s="40"/>
      <c r="F690" s="231"/>
    </row>
    <row r="691" spans="1:6" s="216" customFormat="1" ht="11.25">
      <c r="A691" s="40"/>
      <c r="F691" s="229"/>
    </row>
    <row r="692" spans="1:6" s="216" customFormat="1" ht="11.25">
      <c r="A692" s="40"/>
      <c r="F692" s="231"/>
    </row>
    <row r="693" spans="1:6" s="216" customFormat="1" ht="11.25">
      <c r="A693" s="40"/>
      <c r="F693" s="229"/>
    </row>
    <row r="694" spans="1:6" s="216" customFormat="1" ht="11.25">
      <c r="A694" s="40"/>
      <c r="F694" s="231"/>
    </row>
    <row r="695" spans="1:6" s="216" customFormat="1" ht="11.25">
      <c r="A695" s="40"/>
      <c r="F695" s="229"/>
    </row>
    <row r="696" spans="1:6" s="216" customFormat="1" ht="11.25">
      <c r="A696" s="40"/>
      <c r="F696" s="231"/>
    </row>
    <row r="697" spans="1:6" s="216" customFormat="1" ht="11.25">
      <c r="A697" s="40"/>
      <c r="F697" s="229"/>
    </row>
    <row r="698" spans="1:6" s="216" customFormat="1" ht="11.25">
      <c r="A698" s="40"/>
      <c r="F698" s="231"/>
    </row>
    <row r="699" spans="1:6" s="216" customFormat="1" ht="11.25">
      <c r="A699" s="40"/>
      <c r="F699" s="229"/>
    </row>
    <row r="700" spans="1:6" s="216" customFormat="1" ht="11.25">
      <c r="A700" s="40"/>
      <c r="F700" s="231"/>
    </row>
    <row r="701" spans="1:6" s="216" customFormat="1" ht="11.25">
      <c r="A701" s="40"/>
      <c r="F701" s="229"/>
    </row>
    <row r="702" spans="1:6" s="216" customFormat="1" ht="11.25">
      <c r="A702" s="40"/>
      <c r="F702" s="231"/>
    </row>
    <row r="703" spans="1:6" s="216" customFormat="1" ht="11.25">
      <c r="A703" s="40"/>
      <c r="F703" s="229"/>
    </row>
    <row r="704" spans="1:6" s="216" customFormat="1" ht="11.25">
      <c r="A704" s="40"/>
      <c r="F704" s="231"/>
    </row>
    <row r="705" spans="1:6" s="216" customFormat="1" ht="11.25">
      <c r="A705" s="40"/>
      <c r="F705" s="229"/>
    </row>
    <row r="706" spans="1:6" s="216" customFormat="1" ht="11.25">
      <c r="A706" s="40"/>
      <c r="F706" s="231"/>
    </row>
    <row r="707" spans="1:6" s="216" customFormat="1" ht="11.25">
      <c r="A707" s="40"/>
      <c r="F707" s="229"/>
    </row>
    <row r="708" spans="1:6" s="216" customFormat="1" ht="11.25">
      <c r="A708" s="40"/>
      <c r="F708" s="231"/>
    </row>
    <row r="709" spans="1:6" s="216" customFormat="1" ht="11.25">
      <c r="A709" s="40"/>
      <c r="F709" s="229"/>
    </row>
    <row r="710" spans="1:6" s="216" customFormat="1" ht="11.25">
      <c r="A710" s="40"/>
      <c r="F710" s="231"/>
    </row>
    <row r="711" spans="1:6" s="216" customFormat="1" ht="11.25">
      <c r="A711" s="40"/>
      <c r="F711" s="229"/>
    </row>
    <row r="712" spans="1:6" s="216" customFormat="1" ht="11.25">
      <c r="A712" s="40"/>
      <c r="F712" s="231"/>
    </row>
    <row r="713" spans="1:6" s="216" customFormat="1" ht="11.25">
      <c r="A713" s="40"/>
      <c r="F713" s="229"/>
    </row>
    <row r="714" spans="1:6" s="216" customFormat="1" ht="11.25">
      <c r="A714" s="40"/>
      <c r="F714" s="231"/>
    </row>
    <row r="715" spans="1:6" s="216" customFormat="1" ht="11.25">
      <c r="A715" s="40"/>
      <c r="F715" s="229"/>
    </row>
    <row r="716" spans="1:6" s="216" customFormat="1" ht="11.25">
      <c r="A716" s="40"/>
      <c r="F716" s="231"/>
    </row>
    <row r="717" spans="1:6" s="216" customFormat="1" ht="11.25">
      <c r="A717" s="40"/>
      <c r="F717" s="229"/>
    </row>
    <row r="718" spans="1:6" s="216" customFormat="1" ht="11.25">
      <c r="A718" s="40"/>
      <c r="F718" s="231"/>
    </row>
    <row r="719" spans="1:6" s="216" customFormat="1" ht="11.25">
      <c r="A719" s="40"/>
      <c r="F719" s="229"/>
    </row>
    <row r="720" spans="1:6" s="216" customFormat="1" ht="11.25">
      <c r="A720" s="40"/>
      <c r="F720" s="231"/>
    </row>
    <row r="721" spans="1:6" s="216" customFormat="1" ht="11.25">
      <c r="A721" s="40"/>
      <c r="F721" s="229"/>
    </row>
    <row r="722" spans="1:6" s="216" customFormat="1" ht="11.25">
      <c r="A722" s="40"/>
      <c r="F722" s="231"/>
    </row>
    <row r="723" spans="1:6" s="216" customFormat="1" ht="11.25">
      <c r="A723" s="40"/>
      <c r="F723" s="229"/>
    </row>
    <row r="724" spans="1:6" s="216" customFormat="1" ht="11.25">
      <c r="A724" s="40"/>
      <c r="F724" s="231"/>
    </row>
    <row r="725" spans="1:6" s="216" customFormat="1" ht="11.25">
      <c r="A725" s="40"/>
      <c r="F725" s="229"/>
    </row>
    <row r="726" spans="1:6" s="216" customFormat="1" ht="11.25">
      <c r="A726" s="40"/>
      <c r="F726" s="231"/>
    </row>
    <row r="727" spans="1:6" s="216" customFormat="1" ht="11.25">
      <c r="A727" s="40"/>
      <c r="F727" s="229"/>
    </row>
    <row r="728" spans="1:6" s="216" customFormat="1" ht="11.25">
      <c r="A728" s="40"/>
      <c r="F728" s="231"/>
    </row>
    <row r="729" spans="1:6" s="216" customFormat="1" ht="11.25">
      <c r="A729" s="40"/>
      <c r="F729" s="229"/>
    </row>
    <row r="730" spans="1:6" s="216" customFormat="1" ht="11.25">
      <c r="A730" s="40"/>
      <c r="F730" s="231"/>
    </row>
    <row r="731" spans="1:6" s="216" customFormat="1" ht="11.25">
      <c r="A731" s="40"/>
      <c r="F731" s="229"/>
    </row>
    <row r="732" spans="1:6" s="216" customFormat="1" ht="11.25">
      <c r="A732" s="40"/>
      <c r="F732" s="231"/>
    </row>
    <row r="733" spans="1:6" s="216" customFormat="1" ht="11.25">
      <c r="A733" s="40"/>
      <c r="F733" s="229"/>
    </row>
    <row r="734" spans="1:6" s="216" customFormat="1" ht="11.25">
      <c r="A734" s="40"/>
      <c r="F734" s="231"/>
    </row>
    <row r="735" spans="1:6" s="216" customFormat="1" ht="11.25">
      <c r="A735" s="40"/>
      <c r="F735" s="229"/>
    </row>
    <row r="736" spans="1:6" s="216" customFormat="1" ht="11.25">
      <c r="A736" s="40"/>
      <c r="F736" s="231"/>
    </row>
    <row r="737" spans="1:6" s="216" customFormat="1" ht="11.25">
      <c r="A737" s="40"/>
      <c r="F737" s="229"/>
    </row>
    <row r="738" spans="1:6" s="216" customFormat="1" ht="11.25">
      <c r="A738" s="40"/>
      <c r="F738" s="231"/>
    </row>
    <row r="739" spans="1:6" s="216" customFormat="1" ht="11.25">
      <c r="A739" s="40"/>
      <c r="F739" s="229"/>
    </row>
    <row r="740" spans="1:6" s="216" customFormat="1" ht="11.25">
      <c r="A740" s="40"/>
      <c r="F740" s="231"/>
    </row>
    <row r="741" spans="1:6" s="216" customFormat="1" ht="11.25">
      <c r="A741" s="40"/>
      <c r="F741" s="229"/>
    </row>
    <row r="742" spans="1:6" s="216" customFormat="1" ht="11.25">
      <c r="A742" s="40"/>
      <c r="F742" s="231"/>
    </row>
    <row r="743" spans="1:6" s="216" customFormat="1" ht="11.25">
      <c r="A743" s="40"/>
      <c r="F743" s="229"/>
    </row>
    <row r="744" spans="1:6" s="216" customFormat="1" ht="11.25">
      <c r="A744" s="40"/>
      <c r="F744" s="231"/>
    </row>
    <row r="745" spans="1:6" s="216" customFormat="1" ht="11.25">
      <c r="A745" s="40"/>
      <c r="F745" s="229"/>
    </row>
    <row r="746" spans="1:6" s="216" customFormat="1" ht="11.25">
      <c r="A746" s="40"/>
      <c r="F746" s="231"/>
    </row>
    <row r="747" spans="1:6" s="216" customFormat="1" ht="11.25">
      <c r="A747" s="40"/>
      <c r="F747" s="229"/>
    </row>
    <row r="748" spans="1:6" s="216" customFormat="1" ht="11.25">
      <c r="A748" s="40"/>
      <c r="F748" s="231"/>
    </row>
    <row r="749" spans="1:6" s="216" customFormat="1" ht="11.25">
      <c r="A749" s="40"/>
      <c r="F749" s="229"/>
    </row>
    <row r="750" spans="1:6" s="216" customFormat="1" ht="11.25">
      <c r="A750" s="40"/>
      <c r="F750" s="231"/>
    </row>
    <row r="751" spans="1:6" s="216" customFormat="1" ht="11.25">
      <c r="A751" s="40"/>
      <c r="F751" s="229"/>
    </row>
    <row r="752" spans="1:6" s="216" customFormat="1" ht="11.25">
      <c r="A752" s="40"/>
      <c r="F752" s="231"/>
    </row>
    <row r="753" spans="1:6" s="216" customFormat="1" ht="11.25">
      <c r="A753" s="40"/>
      <c r="F753" s="229"/>
    </row>
    <row r="754" spans="1:6" s="216" customFormat="1" ht="11.25">
      <c r="A754" s="40"/>
      <c r="F754" s="231"/>
    </row>
    <row r="755" spans="1:6" s="216" customFormat="1" ht="11.25">
      <c r="A755" s="40"/>
      <c r="F755" s="229"/>
    </row>
    <row r="756" spans="1:6" s="216" customFormat="1" ht="11.25">
      <c r="A756" s="40"/>
      <c r="F756" s="231"/>
    </row>
    <row r="757" spans="1:6" s="216" customFormat="1" ht="11.25">
      <c r="A757" s="40"/>
      <c r="F757" s="229"/>
    </row>
    <row r="758" spans="1:6" s="216" customFormat="1" ht="11.25">
      <c r="A758" s="40"/>
      <c r="F758" s="231"/>
    </row>
    <row r="759" spans="1:6" s="216" customFormat="1" ht="11.25">
      <c r="A759" s="40"/>
      <c r="F759" s="229"/>
    </row>
    <row r="760" spans="1:6" s="216" customFormat="1" ht="11.25">
      <c r="A760" s="40"/>
      <c r="F760" s="231"/>
    </row>
    <row r="761" spans="1:6" s="216" customFormat="1" ht="11.25">
      <c r="A761" s="40"/>
      <c r="F761" s="229"/>
    </row>
    <row r="762" spans="1:6" s="216" customFormat="1" ht="11.25">
      <c r="A762" s="40"/>
      <c r="F762" s="231"/>
    </row>
    <row r="763" spans="1:6" s="216" customFormat="1" ht="11.25">
      <c r="A763" s="40"/>
      <c r="F763" s="229"/>
    </row>
    <row r="764" spans="1:6" s="216" customFormat="1" ht="11.25">
      <c r="A764" s="40"/>
      <c r="F764" s="231"/>
    </row>
    <row r="765" spans="1:6" s="216" customFormat="1" ht="11.25">
      <c r="A765" s="40"/>
      <c r="F765" s="229"/>
    </row>
    <row r="766" spans="1:6" s="216" customFormat="1" ht="11.25">
      <c r="A766" s="40"/>
      <c r="F766" s="231"/>
    </row>
    <row r="767" spans="1:6" s="216" customFormat="1" ht="11.25">
      <c r="A767" s="40"/>
      <c r="F767" s="229"/>
    </row>
    <row r="768" spans="1:6" s="216" customFormat="1" ht="11.25">
      <c r="A768" s="40"/>
      <c r="F768" s="231"/>
    </row>
    <row r="769" spans="1:6" s="216" customFormat="1" ht="11.25">
      <c r="A769" s="40"/>
      <c r="F769" s="229"/>
    </row>
    <row r="770" spans="1:6" s="216" customFormat="1" ht="11.25">
      <c r="A770" s="40"/>
      <c r="F770" s="231"/>
    </row>
    <row r="771" spans="1:6" s="216" customFormat="1" ht="11.25">
      <c r="A771" s="40"/>
      <c r="F771" s="229"/>
    </row>
    <row r="772" spans="1:6" s="216" customFormat="1" ht="11.25">
      <c r="A772" s="40"/>
      <c r="F772" s="231"/>
    </row>
    <row r="773" spans="1:6" s="216" customFormat="1" ht="11.25">
      <c r="A773" s="40"/>
      <c r="F773" s="229"/>
    </row>
    <row r="774" spans="1:6" s="216" customFormat="1" ht="11.25">
      <c r="A774" s="40"/>
      <c r="F774" s="231"/>
    </row>
    <row r="775" spans="1:6" s="216" customFormat="1" ht="11.25">
      <c r="A775" s="40"/>
      <c r="F775" s="229"/>
    </row>
    <row r="776" spans="1:6" s="216" customFormat="1" ht="11.25">
      <c r="A776" s="40"/>
      <c r="F776" s="231"/>
    </row>
    <row r="777" spans="1:6" s="216" customFormat="1" ht="11.25">
      <c r="A777" s="40"/>
      <c r="F777" s="229"/>
    </row>
    <row r="778" spans="1:6" s="216" customFormat="1" ht="11.25">
      <c r="A778" s="40"/>
      <c r="F778" s="231"/>
    </row>
    <row r="779" spans="1:6" s="216" customFormat="1" ht="11.25">
      <c r="A779" s="40"/>
      <c r="F779" s="229"/>
    </row>
    <row r="780" spans="1:6" s="216" customFormat="1" ht="11.25">
      <c r="A780" s="40"/>
      <c r="F780" s="231"/>
    </row>
    <row r="781" spans="1:6" s="216" customFormat="1" ht="11.25">
      <c r="A781" s="40"/>
      <c r="F781" s="229"/>
    </row>
    <row r="782" spans="1:6" s="216" customFormat="1" ht="11.25">
      <c r="A782" s="40"/>
      <c r="F782" s="231"/>
    </row>
    <row r="783" spans="1:6" s="216" customFormat="1" ht="11.25">
      <c r="A783" s="40"/>
      <c r="F783" s="229"/>
    </row>
    <row r="784" spans="1:6" s="216" customFormat="1" ht="11.25">
      <c r="A784" s="40"/>
      <c r="F784" s="231"/>
    </row>
    <row r="785" spans="1:6" s="216" customFormat="1" ht="11.25">
      <c r="A785" s="40"/>
      <c r="F785" s="229"/>
    </row>
    <row r="786" spans="1:6" s="216" customFormat="1" ht="11.25">
      <c r="A786" s="40"/>
      <c r="F786" s="231"/>
    </row>
    <row r="787" spans="1:6" s="216" customFormat="1" ht="11.25">
      <c r="A787" s="40"/>
      <c r="F787" s="229"/>
    </row>
    <row r="788" spans="1:6" s="216" customFormat="1" ht="11.25">
      <c r="A788" s="40"/>
      <c r="F788" s="231"/>
    </row>
    <row r="789" spans="1:6" s="216" customFormat="1" ht="11.25">
      <c r="A789" s="40"/>
      <c r="F789" s="229"/>
    </row>
    <row r="790" spans="1:6" s="216" customFormat="1" ht="11.25">
      <c r="A790" s="40"/>
      <c r="F790" s="231"/>
    </row>
    <row r="791" spans="1:6" s="216" customFormat="1" ht="11.25">
      <c r="A791" s="40"/>
      <c r="F791" s="229"/>
    </row>
    <row r="792" spans="1:6" s="216" customFormat="1" ht="11.25">
      <c r="A792" s="40"/>
      <c r="F792" s="231"/>
    </row>
    <row r="793" spans="1:6" s="216" customFormat="1" ht="11.25">
      <c r="A793" s="40"/>
      <c r="F793" s="229"/>
    </row>
    <row r="794" spans="1:6" s="216" customFormat="1" ht="11.25">
      <c r="A794" s="40"/>
      <c r="F794" s="231"/>
    </row>
    <row r="795" spans="1:6" s="216" customFormat="1" ht="11.25">
      <c r="A795" s="40"/>
      <c r="F795" s="229"/>
    </row>
    <row r="796" spans="1:6" s="216" customFormat="1" ht="11.25">
      <c r="A796" s="40"/>
      <c r="F796" s="231"/>
    </row>
    <row r="797" spans="1:6" s="216" customFormat="1" ht="11.25">
      <c r="A797" s="40"/>
      <c r="F797" s="229"/>
    </row>
    <row r="798" spans="1:6" s="216" customFormat="1" ht="11.25">
      <c r="A798" s="40"/>
      <c r="F798" s="231"/>
    </row>
    <row r="799" spans="1:6" s="216" customFormat="1" ht="11.25">
      <c r="A799" s="40"/>
      <c r="F799" s="229"/>
    </row>
    <row r="800" spans="1:6" s="216" customFormat="1" ht="11.25">
      <c r="A800" s="40"/>
      <c r="F800" s="231"/>
    </row>
    <row r="801" spans="1:6" s="216" customFormat="1" ht="11.25">
      <c r="A801" s="40"/>
      <c r="F801" s="229"/>
    </row>
    <row r="802" spans="1:6" s="216" customFormat="1" ht="11.25">
      <c r="A802" s="40"/>
      <c r="F802" s="231"/>
    </row>
    <row r="803" spans="1:6" s="216" customFormat="1" ht="11.25">
      <c r="A803" s="40"/>
      <c r="F803" s="229"/>
    </row>
    <row r="804" spans="1:6" s="216" customFormat="1" ht="11.25">
      <c r="A804" s="40"/>
      <c r="F804" s="231"/>
    </row>
    <row r="805" spans="1:6" s="216" customFormat="1" ht="11.25">
      <c r="A805" s="40"/>
      <c r="F805" s="229"/>
    </row>
    <row r="806" spans="1:6" s="216" customFormat="1" ht="11.25">
      <c r="A806" s="40"/>
      <c r="F806" s="231"/>
    </row>
    <row r="807" ht="12.75">
      <c r="F807" s="229"/>
    </row>
    <row r="808" ht="12.75">
      <c r="F808" s="231"/>
    </row>
    <row r="809" ht="12.75">
      <c r="F809" s="229"/>
    </row>
    <row r="810" ht="12.75">
      <c r="F810" s="231"/>
    </row>
    <row r="811" ht="12.75">
      <c r="F811" s="229"/>
    </row>
    <row r="812" ht="12.75">
      <c r="F812" s="231"/>
    </row>
    <row r="813" ht="12.75">
      <c r="F813" s="229"/>
    </row>
    <row r="814" ht="12.75">
      <c r="F814" s="231"/>
    </row>
    <row r="815" ht="12.75">
      <c r="F815" s="229"/>
    </row>
    <row r="816" ht="12.75">
      <c r="F816" s="231"/>
    </row>
    <row r="817" ht="12.75">
      <c r="F817" s="229"/>
    </row>
    <row r="818" ht="12.75">
      <c r="F818" s="231"/>
    </row>
    <row r="819" ht="12.75">
      <c r="F819" s="229"/>
    </row>
    <row r="820" ht="12.75">
      <c r="F820" s="231"/>
    </row>
    <row r="821" ht="12.75">
      <c r="F821" s="229"/>
    </row>
    <row r="822" ht="12.75">
      <c r="F822" s="231"/>
    </row>
    <row r="823" ht="12.75">
      <c r="F823" s="229"/>
    </row>
    <row r="824" ht="12.75">
      <c r="F824" s="231"/>
    </row>
    <row r="825" ht="12.75">
      <c r="F825" s="229"/>
    </row>
    <row r="826" ht="12.75">
      <c r="F826" s="231"/>
    </row>
    <row r="827" ht="12.75">
      <c r="F827" s="229"/>
    </row>
    <row r="828" ht="12.75">
      <c r="F828" s="231"/>
    </row>
    <row r="829" ht="12.75">
      <c r="F829" s="229"/>
    </row>
    <row r="830" ht="12.75">
      <c r="F830" s="231"/>
    </row>
    <row r="831" ht="12.75">
      <c r="F831" s="229"/>
    </row>
    <row r="832" ht="12.75">
      <c r="F832" s="231"/>
    </row>
    <row r="833" ht="12.75">
      <c r="F833" s="229"/>
    </row>
    <row r="834" ht="12.75">
      <c r="F834" s="231"/>
    </row>
    <row r="835" ht="12.75">
      <c r="F835" s="229"/>
    </row>
    <row r="836" ht="12.75">
      <c r="F836" s="231"/>
    </row>
    <row r="837" ht="12.75">
      <c r="F837" s="229"/>
    </row>
    <row r="838" ht="12.75">
      <c r="F838" s="231"/>
    </row>
    <row r="839" ht="12.75">
      <c r="F839" s="229"/>
    </row>
    <row r="840" ht="12.75">
      <c r="F840" s="231"/>
    </row>
    <row r="841" ht="12.75">
      <c r="F841" s="229"/>
    </row>
    <row r="842" ht="12.75">
      <c r="F842" s="231"/>
    </row>
    <row r="843" ht="12.75">
      <c r="F843" s="229"/>
    </row>
    <row r="844" ht="12.75">
      <c r="F844" s="231"/>
    </row>
    <row r="845" ht="12.75">
      <c r="F845" s="229"/>
    </row>
    <row r="846" ht="12.75">
      <c r="F846" s="231"/>
    </row>
    <row r="847" ht="12.75">
      <c r="F847" s="229"/>
    </row>
    <row r="848" ht="12.75">
      <c r="F848" s="231"/>
    </row>
    <row r="849" ht="12.75">
      <c r="F849" s="229"/>
    </row>
    <row r="850" ht="12.75">
      <c r="F850" s="231"/>
    </row>
    <row r="851" ht="12.75">
      <c r="F851" s="229"/>
    </row>
    <row r="852" ht="12.75">
      <c r="F852" s="231"/>
    </row>
    <row r="853" ht="12.75">
      <c r="F853" s="229"/>
    </row>
    <row r="854" ht="12.75">
      <c r="F854" s="231"/>
    </row>
    <row r="855" ht="12.75">
      <c r="F855" s="229"/>
    </row>
    <row r="856" ht="12.75">
      <c r="F856" s="231"/>
    </row>
    <row r="857" ht="12.75">
      <c r="F857" s="229"/>
    </row>
    <row r="858" ht="12.75">
      <c r="F858" s="231"/>
    </row>
    <row r="859" ht="12.75">
      <c r="F859" s="229"/>
    </row>
    <row r="860" ht="12.75">
      <c r="F860" s="231"/>
    </row>
    <row r="861" ht="12.75">
      <c r="F861" s="229"/>
    </row>
    <row r="862" ht="12.75">
      <c r="F862" s="231"/>
    </row>
    <row r="863" ht="12.75">
      <c r="F863" s="229"/>
    </row>
    <row r="864" ht="12.75">
      <c r="F864" s="231"/>
    </row>
    <row r="865" ht="12.75">
      <c r="F865" s="229"/>
    </row>
    <row r="866" ht="12.75">
      <c r="F866" s="231"/>
    </row>
    <row r="867" ht="12.75">
      <c r="F867" s="229"/>
    </row>
    <row r="868" ht="12.75">
      <c r="F868" s="231"/>
    </row>
    <row r="869" ht="12.75">
      <c r="F869" s="229"/>
    </row>
    <row r="870" ht="12.75">
      <c r="F870" s="231"/>
    </row>
    <row r="871" ht="12.75">
      <c r="F871" s="229"/>
    </row>
    <row r="872" ht="12.75">
      <c r="F872" s="231"/>
    </row>
    <row r="873" ht="12.75">
      <c r="F873" s="229"/>
    </row>
    <row r="874" ht="12.75">
      <c r="F874" s="231"/>
    </row>
    <row r="875" ht="12.75">
      <c r="F875" s="229"/>
    </row>
    <row r="876" ht="12.75">
      <c r="F876" s="231"/>
    </row>
    <row r="877" ht="12.75">
      <c r="F877" s="229"/>
    </row>
    <row r="878" ht="12.75">
      <c r="F878" s="231"/>
    </row>
    <row r="879" ht="12.75">
      <c r="F879" s="229"/>
    </row>
    <row r="880" ht="12.75">
      <c r="F880" s="231"/>
    </row>
    <row r="881" ht="12.75">
      <c r="F881" s="229"/>
    </row>
    <row r="882" ht="12.75">
      <c r="F882" s="231"/>
    </row>
    <row r="883" ht="12.75">
      <c r="F883" s="229"/>
    </row>
    <row r="884" ht="12.75">
      <c r="F884" s="231"/>
    </row>
    <row r="885" ht="12.75">
      <c r="F885" s="229"/>
    </row>
    <row r="886" ht="12.75">
      <c r="F886" s="231"/>
    </row>
    <row r="887" ht="12.75">
      <c r="F887" s="229"/>
    </row>
    <row r="888" ht="12.75">
      <c r="F888" s="231"/>
    </row>
    <row r="889" ht="12.75">
      <c r="F889" s="229"/>
    </row>
    <row r="890" ht="12.75">
      <c r="F890" s="231"/>
    </row>
    <row r="891" ht="12.75">
      <c r="F891" s="229"/>
    </row>
    <row r="892" ht="12.75">
      <c r="F892" s="231"/>
    </row>
    <row r="893" ht="12.75">
      <c r="F893" s="229"/>
    </row>
    <row r="894" ht="12.75">
      <c r="F894" s="231"/>
    </row>
    <row r="895" ht="12.75">
      <c r="F895" s="229"/>
    </row>
    <row r="896" ht="12.75">
      <c r="F896" s="231"/>
    </row>
    <row r="897" ht="12.75">
      <c r="F897" s="229"/>
    </row>
    <row r="898" ht="12.75">
      <c r="F898" s="231"/>
    </row>
    <row r="899" ht="12.75">
      <c r="F899" s="229"/>
    </row>
    <row r="900" ht="12.75">
      <c r="F900" s="231"/>
    </row>
    <row r="901" ht="12.75">
      <c r="F901" s="229"/>
    </row>
    <row r="902" ht="12.75">
      <c r="F902" s="231"/>
    </row>
    <row r="903" ht="12.75">
      <c r="F903" s="229"/>
    </row>
    <row r="904" ht="12.75">
      <c r="F904" s="231"/>
    </row>
    <row r="905" ht="12.75">
      <c r="F905" s="229"/>
    </row>
    <row r="906" ht="12.75">
      <c r="F906" s="231"/>
    </row>
    <row r="907" ht="12.75">
      <c r="F907" s="229"/>
    </row>
    <row r="908" ht="12.75">
      <c r="F908" s="231"/>
    </row>
    <row r="909" ht="12.75">
      <c r="F909" s="229"/>
    </row>
    <row r="910" ht="12.75">
      <c r="F910" s="231"/>
    </row>
    <row r="911" ht="12.75">
      <c r="F911" s="229"/>
    </row>
    <row r="912" ht="12.75">
      <c r="F912" s="231"/>
    </row>
    <row r="913" ht="12.75">
      <c r="F913" s="229"/>
    </row>
    <row r="914" ht="12.75">
      <c r="F914" s="231"/>
    </row>
    <row r="915" ht="12.75">
      <c r="F915" s="229"/>
    </row>
    <row r="916" ht="12.75">
      <c r="F916" s="231"/>
    </row>
    <row r="917" ht="12.75">
      <c r="F917" s="229"/>
    </row>
    <row r="918" ht="12.75">
      <c r="F918" s="231"/>
    </row>
    <row r="919" ht="12.75">
      <c r="F919" s="229"/>
    </row>
    <row r="920" ht="12.75">
      <c r="F920" s="231"/>
    </row>
    <row r="921" ht="12.75">
      <c r="F921" s="229"/>
    </row>
    <row r="922" ht="12.75">
      <c r="F922" s="231"/>
    </row>
    <row r="923" ht="12.75">
      <c r="F923" s="229"/>
    </row>
    <row r="924" ht="12.75">
      <c r="F924" s="231"/>
    </row>
    <row r="925" ht="12.75">
      <c r="F925" s="229"/>
    </row>
    <row r="926" ht="12.75">
      <c r="F926" s="231"/>
    </row>
    <row r="927" ht="12.75">
      <c r="F927" s="229"/>
    </row>
    <row r="928" ht="12.75">
      <c r="F928" s="231"/>
    </row>
    <row r="929" ht="12.75">
      <c r="F929" s="229"/>
    </row>
    <row r="930" ht="12.75">
      <c r="F930" s="231"/>
    </row>
    <row r="931" ht="12.75">
      <c r="F931" s="229"/>
    </row>
    <row r="932" ht="12.75">
      <c r="F932" s="231"/>
    </row>
    <row r="933" ht="12.75">
      <c r="F933" s="229"/>
    </row>
    <row r="934" ht="12.75">
      <c r="F934" s="231"/>
    </row>
    <row r="935" ht="12.75">
      <c r="F935" s="229"/>
    </row>
    <row r="936" ht="12.75">
      <c r="F936" s="231"/>
    </row>
    <row r="937" ht="12.75">
      <c r="F937" s="229"/>
    </row>
    <row r="938" ht="12.75">
      <c r="F938" s="231"/>
    </row>
    <row r="939" ht="12.75">
      <c r="F939" s="229"/>
    </row>
    <row r="940" ht="12.75">
      <c r="F940" s="231"/>
    </row>
    <row r="941" ht="12.75">
      <c r="F941" s="229"/>
    </row>
    <row r="942" ht="12.75">
      <c r="F942" s="231"/>
    </row>
    <row r="943" ht="12.75">
      <c r="F943" s="229"/>
    </row>
    <row r="944" ht="12.75">
      <c r="F944" s="231"/>
    </row>
    <row r="945" ht="12.75">
      <c r="F945" s="229"/>
    </row>
    <row r="946" ht="12.75">
      <c r="F946" s="231"/>
    </row>
    <row r="947" ht="12.75">
      <c r="F947" s="229"/>
    </row>
    <row r="948" ht="12.75">
      <c r="F948" s="231"/>
    </row>
    <row r="949" ht="12.75">
      <c r="F949" s="229"/>
    </row>
    <row r="950" ht="12.75">
      <c r="F950" s="231"/>
    </row>
    <row r="951" ht="12.75">
      <c r="F951" s="229"/>
    </row>
    <row r="952" ht="12.75">
      <c r="F952" s="231"/>
    </row>
    <row r="953" ht="12.75">
      <c r="F953" s="229"/>
    </row>
    <row r="954" ht="12.75">
      <c r="F954" s="231"/>
    </row>
    <row r="955" ht="12.75">
      <c r="F955" s="229"/>
    </row>
    <row r="956" ht="12.75">
      <c r="F956" s="231"/>
    </row>
    <row r="957" ht="12.75">
      <c r="F957" s="229"/>
    </row>
    <row r="958" ht="12.75">
      <c r="F958" s="231"/>
    </row>
    <row r="959" ht="12.75">
      <c r="F959" s="229"/>
    </row>
    <row r="960" ht="12.75">
      <c r="F960" s="231"/>
    </row>
    <row r="961" ht="12.75">
      <c r="F961" s="229"/>
    </row>
    <row r="962" ht="12.75">
      <c r="F962" s="231"/>
    </row>
    <row r="963" ht="12.75">
      <c r="F963" s="229"/>
    </row>
    <row r="964" ht="12.75">
      <c r="F964" s="231"/>
    </row>
    <row r="965" ht="12.75">
      <c r="F965" s="229"/>
    </row>
    <row r="966" ht="12.75">
      <c r="F966" s="231"/>
    </row>
    <row r="967" ht="12.75">
      <c r="F967" s="229"/>
    </row>
    <row r="968" ht="12.75">
      <c r="F968" s="231"/>
    </row>
    <row r="969" ht="12.75">
      <c r="F969" s="229"/>
    </row>
    <row r="970" ht="12.75">
      <c r="F970" s="231"/>
    </row>
    <row r="971" ht="12.75">
      <c r="F971" s="229"/>
    </row>
    <row r="972" ht="12.75">
      <c r="F972" s="231"/>
    </row>
    <row r="973" ht="12.75">
      <c r="F973" s="229"/>
    </row>
    <row r="974" ht="12.75">
      <c r="F974" s="231"/>
    </row>
    <row r="975" ht="12.75">
      <c r="F975" s="229"/>
    </row>
    <row r="976" ht="12.75">
      <c r="F976" s="231"/>
    </row>
    <row r="977" ht="12.75">
      <c r="F977" s="229"/>
    </row>
    <row r="978" ht="12.75">
      <c r="F978" s="231"/>
    </row>
    <row r="979" ht="12.75">
      <c r="F979" s="229"/>
    </row>
    <row r="980" ht="12.75">
      <c r="F980" s="231"/>
    </row>
    <row r="981" ht="12.75">
      <c r="F981" s="229"/>
    </row>
    <row r="982" ht="12.75">
      <c r="F982" s="231"/>
    </row>
    <row r="983" ht="12.75">
      <c r="F983" s="229"/>
    </row>
    <row r="984" ht="12.75">
      <c r="F984" s="231"/>
    </row>
    <row r="985" ht="12.75">
      <c r="F985" s="229"/>
    </row>
    <row r="986" ht="12.75">
      <c r="F986" s="231"/>
    </row>
    <row r="987" ht="12.75">
      <c r="F987" s="229"/>
    </row>
    <row r="988" ht="12.75">
      <c r="F988" s="231"/>
    </row>
    <row r="989" ht="12.75">
      <c r="F989" s="229"/>
    </row>
    <row r="990" ht="12.75">
      <c r="F990" s="231"/>
    </row>
    <row r="991" ht="12.75">
      <c r="F991" s="229"/>
    </row>
    <row r="992" ht="12.75">
      <c r="F992" s="231"/>
    </row>
    <row r="993" ht="12.75">
      <c r="F993" s="229"/>
    </row>
    <row r="994" ht="12.75">
      <c r="F994" s="231"/>
    </row>
    <row r="995" ht="12.75">
      <c r="F995" s="229"/>
    </row>
    <row r="996" ht="12.75">
      <c r="F996" s="231"/>
    </row>
    <row r="997" ht="12.75">
      <c r="F997" s="229"/>
    </row>
    <row r="998" ht="12.75">
      <c r="F998" s="231"/>
    </row>
    <row r="999" ht="12.75">
      <c r="F999" s="229"/>
    </row>
    <row r="1000" ht="12.75">
      <c r="F1000" s="231"/>
    </row>
    <row r="1001" ht="12.75">
      <c r="F1001" s="229"/>
    </row>
    <row r="1002" ht="12.75">
      <c r="F1002" s="231"/>
    </row>
    <row r="1003" ht="12.75">
      <c r="F1003" s="229"/>
    </row>
    <row r="1004" ht="12.75">
      <c r="F1004" s="231"/>
    </row>
    <row r="1005" ht="12.75">
      <c r="F1005" s="229"/>
    </row>
    <row r="1006" ht="12.75">
      <c r="F1006" s="231"/>
    </row>
    <row r="1007" ht="12.75">
      <c r="F1007" s="229"/>
    </row>
    <row r="1008" ht="12.75">
      <c r="F1008" s="231"/>
    </row>
    <row r="1009" ht="12.75">
      <c r="F1009" s="229"/>
    </row>
    <row r="1010" ht="12.75">
      <c r="F1010" s="231"/>
    </row>
    <row r="1011" ht="12.75">
      <c r="F1011" s="229"/>
    </row>
    <row r="1012" ht="12.75">
      <c r="F1012" s="231"/>
    </row>
    <row r="1013" ht="12.75">
      <c r="F1013" s="229"/>
    </row>
    <row r="1014" ht="12.75">
      <c r="F1014" s="231"/>
    </row>
    <row r="1015" ht="12.75">
      <c r="F1015" s="229"/>
    </row>
    <row r="1016" ht="12.75">
      <c r="F1016" s="231"/>
    </row>
    <row r="1017" ht="12.75">
      <c r="F1017" s="229"/>
    </row>
    <row r="1018" ht="12.75">
      <c r="F1018" s="231"/>
    </row>
    <row r="1019" ht="12.75">
      <c r="F1019" s="229"/>
    </row>
    <row r="1020" ht="12.75">
      <c r="F1020" s="231"/>
    </row>
    <row r="1021" ht="12.75">
      <c r="F1021" s="229"/>
    </row>
    <row r="1022" ht="12.75">
      <c r="F1022" s="231"/>
    </row>
    <row r="1023" ht="12.75">
      <c r="F1023" s="229"/>
    </row>
    <row r="1024" ht="12.75">
      <c r="F1024" s="231"/>
    </row>
    <row r="1025" ht="12.75">
      <c r="F1025" s="229"/>
    </row>
    <row r="1026" ht="12.75">
      <c r="F1026" s="231"/>
    </row>
    <row r="1027" ht="12.75">
      <c r="F1027" s="229"/>
    </row>
    <row r="1028" ht="12.75">
      <c r="F1028" s="231"/>
    </row>
    <row r="1029" ht="12.75">
      <c r="F1029" s="229"/>
    </row>
    <row r="1030" ht="12.75">
      <c r="F1030" s="231"/>
    </row>
    <row r="1031" ht="12.75">
      <c r="F1031" s="229"/>
    </row>
    <row r="1032" ht="12.75">
      <c r="F1032" s="231"/>
    </row>
    <row r="1033" ht="12.75">
      <c r="F1033" s="229"/>
    </row>
    <row r="1034" ht="12.75">
      <c r="F1034" s="231"/>
    </row>
    <row r="1035" ht="12.75">
      <c r="F1035" s="229"/>
    </row>
    <row r="1036" ht="12.75">
      <c r="F1036" s="231"/>
    </row>
    <row r="1037" ht="12.75">
      <c r="F1037" s="229"/>
    </row>
    <row r="1038" ht="12.75">
      <c r="F1038" s="231"/>
    </row>
    <row r="1039" ht="12.75">
      <c r="F1039" s="229"/>
    </row>
    <row r="1040" ht="12.75">
      <c r="F1040" s="231"/>
    </row>
    <row r="1041" ht="12.75">
      <c r="F1041" s="229"/>
    </row>
    <row r="1042" ht="12.75">
      <c r="F1042" s="231"/>
    </row>
    <row r="1043" ht="12.75">
      <c r="F1043" s="229"/>
    </row>
    <row r="1044" ht="12.75">
      <c r="F1044" s="231"/>
    </row>
    <row r="1045" ht="12.75">
      <c r="F1045" s="229"/>
    </row>
    <row r="1046" ht="12.75">
      <c r="F1046" s="231"/>
    </row>
    <row r="1047" ht="12.75">
      <c r="F1047" s="229"/>
    </row>
    <row r="1048" ht="12.75">
      <c r="F1048" s="231"/>
    </row>
    <row r="1049" ht="12.75">
      <c r="F1049" s="229"/>
    </row>
    <row r="1050" ht="12.75">
      <c r="F1050" s="231"/>
    </row>
    <row r="1051" ht="12.75">
      <c r="F1051" s="229"/>
    </row>
    <row r="1052" ht="12.75">
      <c r="F1052" s="231"/>
    </row>
    <row r="1053" ht="12.75">
      <c r="F1053" s="229"/>
    </row>
    <row r="1054" ht="12.75">
      <c r="F1054" s="231"/>
    </row>
    <row r="1055" ht="12.75">
      <c r="F1055" s="229"/>
    </row>
    <row r="1056" ht="12.75">
      <c r="F1056" s="231"/>
    </row>
    <row r="1057" ht="12.75">
      <c r="F1057" s="229"/>
    </row>
    <row r="1058" ht="12.75">
      <c r="F1058" s="231"/>
    </row>
    <row r="1059" ht="12.75">
      <c r="F1059" s="229"/>
    </row>
    <row r="1060" ht="12.75">
      <c r="F1060" s="231"/>
    </row>
    <row r="1061" ht="12.75">
      <c r="F1061" s="229"/>
    </row>
    <row r="1062" ht="12.75">
      <c r="F1062" s="231"/>
    </row>
    <row r="1063" ht="12.75">
      <c r="F1063" s="229"/>
    </row>
    <row r="1064" ht="12.75">
      <c r="F1064" s="231"/>
    </row>
    <row r="1065" ht="12.75">
      <c r="F1065" s="229"/>
    </row>
    <row r="1066" ht="12.75">
      <c r="F1066" s="231"/>
    </row>
    <row r="1067" ht="12.75">
      <c r="F1067" s="229"/>
    </row>
    <row r="1068" ht="12.75">
      <c r="F1068" s="231"/>
    </row>
    <row r="1069" ht="12.75">
      <c r="F1069" s="229"/>
    </row>
    <row r="1070" ht="12.75">
      <c r="F1070" s="231"/>
    </row>
    <row r="1071" ht="12.75">
      <c r="F1071" s="229"/>
    </row>
    <row r="1072" ht="12.75">
      <c r="F1072" s="231"/>
    </row>
    <row r="1073" ht="12.75">
      <c r="F1073" s="229"/>
    </row>
    <row r="1074" ht="12.75">
      <c r="F1074" s="231"/>
    </row>
    <row r="1075" ht="12.75">
      <c r="F1075" s="229"/>
    </row>
    <row r="1076" ht="12.75">
      <c r="F1076" s="231"/>
    </row>
    <row r="1077" ht="12.75">
      <c r="F1077" s="229"/>
    </row>
    <row r="1078" ht="12.75">
      <c r="F1078" s="231"/>
    </row>
    <row r="1079" ht="12.75">
      <c r="F1079" s="229"/>
    </row>
    <row r="1080" ht="12.75">
      <c r="F1080" s="231"/>
    </row>
    <row r="1081" ht="12.75">
      <c r="F1081" s="229"/>
    </row>
    <row r="1082" ht="12.75">
      <c r="F1082" s="231"/>
    </row>
    <row r="1083" ht="12.75">
      <c r="F1083" s="229"/>
    </row>
    <row r="1084" ht="12.75">
      <c r="F1084" s="231"/>
    </row>
    <row r="1085" ht="12.75">
      <c r="F1085" s="229"/>
    </row>
    <row r="1086" ht="12.75">
      <c r="F1086" s="231"/>
    </row>
    <row r="1087" ht="12.75">
      <c r="F1087" s="229"/>
    </row>
    <row r="1088" ht="12.75">
      <c r="F1088" s="231"/>
    </row>
    <row r="1089" ht="12.75">
      <c r="F1089" s="229"/>
    </row>
    <row r="1090" ht="12.75">
      <c r="F1090" s="231"/>
    </row>
    <row r="1091" ht="12.75">
      <c r="F1091" s="229"/>
    </row>
    <row r="1092" ht="12.75">
      <c r="F1092" s="231"/>
    </row>
    <row r="1093" ht="12.75">
      <c r="F1093" s="229"/>
    </row>
    <row r="1094" ht="12.75">
      <c r="F1094" s="231"/>
    </row>
    <row r="1095" ht="12.75">
      <c r="F1095" s="229"/>
    </row>
    <row r="1096" ht="12.75">
      <c r="F1096" s="231"/>
    </row>
    <row r="1097" ht="12.75">
      <c r="F1097" s="229"/>
    </row>
    <row r="1098" ht="12.75">
      <c r="F1098" s="231"/>
    </row>
    <row r="1099" ht="12.75">
      <c r="F1099" s="229"/>
    </row>
    <row r="1100" ht="12.75">
      <c r="F1100" s="231"/>
    </row>
    <row r="1101" ht="12.75">
      <c r="F1101" s="229"/>
    </row>
    <row r="1102" ht="12.75">
      <c r="F1102" s="231"/>
    </row>
    <row r="1103" ht="12.75">
      <c r="F1103" s="229"/>
    </row>
    <row r="1104" ht="12.75">
      <c r="F1104" s="231"/>
    </row>
    <row r="1105" ht="12.75">
      <c r="F1105" s="229"/>
    </row>
    <row r="1106" ht="12.75">
      <c r="F1106" s="231"/>
    </row>
    <row r="1107" ht="12.75">
      <c r="F1107" s="229"/>
    </row>
    <row r="1108" ht="12.75">
      <c r="F1108" s="231"/>
    </row>
    <row r="1109" ht="12.75">
      <c r="F1109" s="229"/>
    </row>
    <row r="1110" ht="12.75">
      <c r="F1110" s="231"/>
    </row>
    <row r="1111" ht="12.75">
      <c r="F1111" s="229"/>
    </row>
    <row r="1112" ht="12.75">
      <c r="F1112" s="231"/>
    </row>
    <row r="1113" ht="12.75">
      <c r="F1113" s="229"/>
    </row>
    <row r="1114" ht="12.75">
      <c r="F1114" s="231"/>
    </row>
    <row r="1115" ht="12.75">
      <c r="F1115" s="229"/>
    </row>
    <row r="1116" ht="12.75">
      <c r="F1116" s="231"/>
    </row>
    <row r="1117" ht="12.75">
      <c r="F1117" s="229"/>
    </row>
    <row r="1118" ht="12.75">
      <c r="F1118" s="231"/>
    </row>
    <row r="1119" ht="12.75">
      <c r="F1119" s="229"/>
    </row>
    <row r="1120" ht="12.75">
      <c r="F1120" s="231"/>
    </row>
    <row r="1121" ht="12.75">
      <c r="F1121" s="229"/>
    </row>
    <row r="1122" ht="12.75">
      <c r="F1122" s="231"/>
    </row>
    <row r="1123" ht="12.75">
      <c r="F1123" s="229"/>
    </row>
    <row r="1124" ht="12.75">
      <c r="F1124" s="231"/>
    </row>
    <row r="1125" ht="12.75">
      <c r="F1125" s="229"/>
    </row>
    <row r="1126" ht="12.75">
      <c r="F1126" s="231"/>
    </row>
    <row r="1127" ht="12.75">
      <c r="F1127" s="229"/>
    </row>
    <row r="1128" ht="12.75">
      <c r="F1128" s="231"/>
    </row>
    <row r="1129" ht="12.75">
      <c r="F1129" s="229"/>
    </row>
    <row r="1130" ht="12.75">
      <c r="F1130" s="231"/>
    </row>
    <row r="1131" ht="12.75">
      <c r="F1131" s="229"/>
    </row>
    <row r="1132" ht="12.75">
      <c r="F1132" s="231"/>
    </row>
    <row r="1133" ht="12.75">
      <c r="F1133" s="229"/>
    </row>
    <row r="1134" ht="12.75">
      <c r="F1134" s="231"/>
    </row>
    <row r="1135" ht="12.75">
      <c r="F1135" s="229"/>
    </row>
    <row r="1136" ht="12.75">
      <c r="F1136" s="231"/>
    </row>
    <row r="1137" ht="12.75">
      <c r="F1137" s="229"/>
    </row>
    <row r="1138" ht="12.75">
      <c r="F1138" s="231"/>
    </row>
    <row r="1139" ht="12.75">
      <c r="F1139" s="229"/>
    </row>
    <row r="1140" ht="12.75">
      <c r="F1140" s="231"/>
    </row>
    <row r="1141" ht="12.75">
      <c r="F1141" s="229"/>
    </row>
    <row r="1142" ht="12.75">
      <c r="F1142" s="231"/>
    </row>
    <row r="1143" ht="12.75">
      <c r="F1143" s="229"/>
    </row>
    <row r="1144" ht="12.75">
      <c r="F1144" s="231"/>
    </row>
    <row r="1145" ht="12.75">
      <c r="F1145" s="229"/>
    </row>
    <row r="1146" ht="12.75">
      <c r="F1146" s="231"/>
    </row>
    <row r="1147" ht="12.75">
      <c r="F1147" s="229"/>
    </row>
    <row r="1148" ht="12.75">
      <c r="F1148" s="231"/>
    </row>
    <row r="1149" ht="12.75">
      <c r="F1149" s="229"/>
    </row>
    <row r="1150" ht="12.75">
      <c r="F1150" s="231"/>
    </row>
    <row r="1151" ht="12.75">
      <c r="F1151" s="229"/>
    </row>
    <row r="1152" ht="12.75">
      <c r="F1152" s="231"/>
    </row>
    <row r="1153" ht="12.75">
      <c r="F1153" s="229"/>
    </row>
    <row r="1154" ht="12.75">
      <c r="F1154" s="231"/>
    </row>
    <row r="1155" ht="12.75">
      <c r="F1155" s="229"/>
    </row>
    <row r="1156" ht="12.75">
      <c r="F1156" s="231"/>
    </row>
    <row r="1157" ht="12.75">
      <c r="F1157" s="229"/>
    </row>
    <row r="1158" ht="12.75">
      <c r="F1158" s="231"/>
    </row>
    <row r="1159" ht="12.75">
      <c r="F1159" s="229"/>
    </row>
    <row r="1160" ht="12.75">
      <c r="F1160" s="231"/>
    </row>
    <row r="1161" ht="12.75">
      <c r="F1161" s="229"/>
    </row>
    <row r="1162" ht="12.75">
      <c r="F1162" s="231"/>
    </row>
    <row r="1163" ht="12.75">
      <c r="F1163" s="229"/>
    </row>
    <row r="1164" ht="12.75">
      <c r="F1164" s="231"/>
    </row>
    <row r="1165" ht="12.75">
      <c r="F1165" s="229"/>
    </row>
    <row r="1166" ht="12.75">
      <c r="F1166" s="231"/>
    </row>
    <row r="1167" ht="12.75">
      <c r="F1167" s="229"/>
    </row>
    <row r="1168" ht="12.75">
      <c r="F1168" s="231"/>
    </row>
    <row r="1169" ht="12.75">
      <c r="F1169" s="229"/>
    </row>
    <row r="1170" ht="12.75">
      <c r="F1170" s="231"/>
    </row>
    <row r="1171" ht="12.75">
      <c r="F1171" s="229"/>
    </row>
    <row r="1172" ht="12.75">
      <c r="F1172" s="231"/>
    </row>
    <row r="1173" ht="12.75">
      <c r="F1173" s="229"/>
    </row>
    <row r="1174" ht="12.75">
      <c r="F1174" s="231"/>
    </row>
    <row r="1175" ht="12.75">
      <c r="F1175" s="229"/>
    </row>
    <row r="1176" ht="12.75">
      <c r="F1176" s="231"/>
    </row>
    <row r="1177" ht="12.75">
      <c r="F1177" s="229"/>
    </row>
    <row r="1178" ht="12.75">
      <c r="F1178" s="231"/>
    </row>
    <row r="1179" ht="12.75">
      <c r="F1179" s="229"/>
    </row>
    <row r="1180" ht="12.75">
      <c r="F1180" s="231"/>
    </row>
    <row r="1181" ht="12.75">
      <c r="F1181" s="229"/>
    </row>
    <row r="1182" ht="12.75">
      <c r="F1182" s="231"/>
    </row>
    <row r="1183" ht="12.75">
      <c r="F1183" s="229"/>
    </row>
    <row r="1184" ht="12.75">
      <c r="F1184" s="231"/>
    </row>
    <row r="1185" ht="12.75">
      <c r="F1185" s="229"/>
    </row>
    <row r="1186" ht="12.75">
      <c r="F1186" s="231"/>
    </row>
    <row r="1187" ht="12.75">
      <c r="F1187" s="229"/>
    </row>
    <row r="1188" ht="12.75">
      <c r="F1188" s="231"/>
    </row>
    <row r="1189" ht="12.75">
      <c r="F1189" s="229"/>
    </row>
    <row r="1190" ht="12.75">
      <c r="F1190" s="231"/>
    </row>
    <row r="1191" ht="12.75">
      <c r="F1191" s="229"/>
    </row>
    <row r="1192" ht="12.75">
      <c r="F1192" s="231"/>
    </row>
    <row r="1193" ht="12.75">
      <c r="F1193" s="229"/>
    </row>
    <row r="1194" ht="12.75">
      <c r="F1194" s="231"/>
    </row>
    <row r="1195" ht="12.75">
      <c r="F1195" s="229"/>
    </row>
    <row r="1196" ht="12.75">
      <c r="F1196" s="231"/>
    </row>
    <row r="1197" ht="12.75">
      <c r="F1197" s="229"/>
    </row>
    <row r="1198" ht="12.75">
      <c r="F1198" s="231"/>
    </row>
    <row r="1199" ht="12.75">
      <c r="F1199" s="229"/>
    </row>
    <row r="1200" ht="12.75">
      <c r="F1200" s="231"/>
    </row>
    <row r="1201" ht="12.75">
      <c r="F1201" s="229"/>
    </row>
    <row r="1202" ht="12.75">
      <c r="F1202" s="231"/>
    </row>
    <row r="1203" ht="12.75">
      <c r="F1203" s="229"/>
    </row>
    <row r="1204" ht="12.75">
      <c r="F1204" s="231"/>
    </row>
    <row r="1205" ht="12.75">
      <c r="F1205" s="229"/>
    </row>
    <row r="1206" ht="12.75">
      <c r="F1206" s="231"/>
    </row>
    <row r="1207" ht="12.75">
      <c r="F1207" s="229"/>
    </row>
    <row r="1208" ht="12.75">
      <c r="F1208" s="231"/>
    </row>
    <row r="1209" ht="12.75">
      <c r="F1209" s="229"/>
    </row>
    <row r="1210" ht="12.75">
      <c r="F1210" s="231"/>
    </row>
    <row r="1211" ht="12.75">
      <c r="F1211" s="229"/>
    </row>
    <row r="1212" ht="12.75">
      <c r="F1212" s="231"/>
    </row>
    <row r="1213" ht="12.75">
      <c r="F1213" s="229"/>
    </row>
    <row r="1214" ht="12.75">
      <c r="F1214" s="231"/>
    </row>
    <row r="1215" ht="12.75">
      <c r="F1215" s="229"/>
    </row>
    <row r="1216" ht="12.75">
      <c r="F1216" s="231"/>
    </row>
    <row r="1217" ht="12.75">
      <c r="F1217" s="229"/>
    </row>
    <row r="1218" ht="12.75">
      <c r="F1218" s="231"/>
    </row>
    <row r="1219" ht="12.75">
      <c r="F1219" s="229"/>
    </row>
    <row r="1220" ht="12.75">
      <c r="F1220" s="231"/>
    </row>
    <row r="1221" ht="12.75">
      <c r="F1221" s="229"/>
    </row>
    <row r="1222" ht="12.75">
      <c r="F1222" s="231"/>
    </row>
    <row r="1223" ht="12.75">
      <c r="F1223" s="229"/>
    </row>
    <row r="1224" ht="12.75">
      <c r="F1224" s="231"/>
    </row>
    <row r="1225" ht="12.75">
      <c r="F1225" s="229"/>
    </row>
    <row r="1226" ht="12.75">
      <c r="F1226" s="231"/>
    </row>
    <row r="1227" ht="12.75">
      <c r="F1227" s="229"/>
    </row>
    <row r="1228" ht="12.75">
      <c r="F1228" s="231"/>
    </row>
    <row r="1229" ht="12.75">
      <c r="F1229" s="229"/>
    </row>
    <row r="1230" ht="12.75">
      <c r="F1230" s="231"/>
    </row>
    <row r="1231" ht="12.75">
      <c r="F1231" s="229"/>
    </row>
    <row r="1232" ht="12.75">
      <c r="F1232" s="231"/>
    </row>
    <row r="1233" ht="12.75">
      <c r="F1233" s="229"/>
    </row>
    <row r="1234" ht="12.75">
      <c r="F1234" s="231"/>
    </row>
    <row r="1235" ht="12.75">
      <c r="F1235" s="229"/>
    </row>
    <row r="1236" ht="12.75">
      <c r="F1236" s="231"/>
    </row>
    <row r="1237" ht="12.75">
      <c r="F1237" s="229"/>
    </row>
    <row r="1238" ht="12.75">
      <c r="F1238" s="231"/>
    </row>
    <row r="1239" ht="12.75">
      <c r="F1239" s="229"/>
    </row>
    <row r="1240" ht="12.75">
      <c r="F1240" s="231"/>
    </row>
    <row r="1241" ht="12.75">
      <c r="F1241" s="229"/>
    </row>
    <row r="1242" ht="12.75">
      <c r="F1242" s="231"/>
    </row>
    <row r="1243" ht="12.75">
      <c r="F1243" s="229"/>
    </row>
    <row r="1244" ht="12.75">
      <c r="F1244" s="238"/>
    </row>
    <row r="1245" ht="12.75">
      <c r="F1245" s="238"/>
    </row>
    <row r="1246" ht="12.75">
      <c r="F1246" s="238"/>
    </row>
    <row r="1247" ht="12.75">
      <c r="F1247" s="238"/>
    </row>
    <row r="1248" ht="12.75">
      <c r="F1248" s="238"/>
    </row>
    <row r="1249" ht="12.75">
      <c r="F1249" s="238"/>
    </row>
    <row r="1250" ht="12.75">
      <c r="F1250" s="238"/>
    </row>
    <row r="1251" ht="12.75">
      <c r="F1251" s="238"/>
    </row>
    <row r="1252" ht="12.75">
      <c r="F1252" s="238"/>
    </row>
    <row r="1253" ht="12.75">
      <c r="F1253" s="238"/>
    </row>
    <row r="1254" ht="12.75">
      <c r="F1254" s="238"/>
    </row>
    <row r="1255" ht="12.75">
      <c r="F1255" s="238"/>
    </row>
    <row r="1256" ht="12.75">
      <c r="F1256" s="238"/>
    </row>
    <row r="1257" ht="12.75">
      <c r="F1257" s="238"/>
    </row>
    <row r="1258" ht="12.75">
      <c r="F1258" s="238"/>
    </row>
    <row r="1259" ht="12.75">
      <c r="F1259" s="238"/>
    </row>
    <row r="1260" ht="12.75">
      <c r="F1260" s="238"/>
    </row>
    <row r="1261" ht="12.75">
      <c r="F1261" s="238"/>
    </row>
    <row r="1262" ht="12.75">
      <c r="F1262" s="238"/>
    </row>
    <row r="1263" ht="12.75">
      <c r="F1263" s="238"/>
    </row>
    <row r="1264" ht="12.75">
      <c r="F1264" s="238"/>
    </row>
    <row r="1265" ht="12.75">
      <c r="F1265" s="238"/>
    </row>
    <row r="1266" ht="12.75">
      <c r="F1266" s="238"/>
    </row>
    <row r="1267" ht="12.75">
      <c r="F1267" s="238"/>
    </row>
    <row r="1268" ht="12.75">
      <c r="F1268" s="238"/>
    </row>
    <row r="1269" ht="12.75">
      <c r="F1269" s="238"/>
    </row>
    <row r="1270" ht="12.75">
      <c r="F1270" s="238"/>
    </row>
    <row r="1271" ht="12.75">
      <c r="F1271" s="238"/>
    </row>
    <row r="1272" ht="12.75">
      <c r="F1272" s="238"/>
    </row>
    <row r="1273" ht="12.75">
      <c r="F1273" s="238"/>
    </row>
    <row r="1274" ht="12.75">
      <c r="F1274" s="238"/>
    </row>
    <row r="1275" ht="12.75">
      <c r="F1275" s="238"/>
    </row>
    <row r="1276" ht="12.75">
      <c r="F1276" s="238"/>
    </row>
    <row r="1277" ht="12.75">
      <c r="F1277" s="238"/>
    </row>
    <row r="1278" ht="12.75">
      <c r="F1278" s="238"/>
    </row>
    <row r="1279" ht="12.75">
      <c r="F1279" s="238"/>
    </row>
    <row r="1280" ht="12.75">
      <c r="F1280" s="238"/>
    </row>
    <row r="1281" ht="12.75">
      <c r="F1281" s="238"/>
    </row>
    <row r="1282" ht="12.75">
      <c r="F1282" s="238"/>
    </row>
    <row r="1283" ht="12.75">
      <c r="F1283" s="238"/>
    </row>
    <row r="1284" ht="12.75">
      <c r="F1284" s="238"/>
    </row>
    <row r="1285" ht="12.75">
      <c r="F1285" s="238"/>
    </row>
    <row r="1286" ht="12.75">
      <c r="F1286" s="238"/>
    </row>
    <row r="1287" ht="12.75">
      <c r="F1287" s="238"/>
    </row>
    <row r="1288" ht="12.75">
      <c r="F1288" s="238"/>
    </row>
    <row r="1289" ht="12.75">
      <c r="F1289" s="238"/>
    </row>
    <row r="1290" ht="12.75">
      <c r="F1290" s="238"/>
    </row>
    <row r="1291" ht="12.75">
      <c r="F1291" s="238"/>
    </row>
    <row r="1292" ht="12.75">
      <c r="F1292" s="238"/>
    </row>
    <row r="1293" ht="12.75">
      <c r="F1293" s="238"/>
    </row>
    <row r="1294" ht="12.75">
      <c r="F1294" s="238"/>
    </row>
    <row r="1295" ht="12.75">
      <c r="F1295" s="238"/>
    </row>
    <row r="1296" ht="12.75">
      <c r="F1296" s="238"/>
    </row>
    <row r="1297" ht="12.75">
      <c r="F1297" s="238"/>
    </row>
    <row r="1298" ht="12.75">
      <c r="F1298" s="238"/>
    </row>
    <row r="1299" ht="12.75">
      <c r="F1299" s="238"/>
    </row>
    <row r="1300" ht="12.75">
      <c r="F1300" s="238"/>
    </row>
    <row r="1301" ht="12.75">
      <c r="F1301" s="238"/>
    </row>
    <row r="1302" ht="12.75">
      <c r="F1302" s="238"/>
    </row>
    <row r="1303" ht="12.75">
      <c r="F1303" s="238"/>
    </row>
    <row r="1304" ht="12.75">
      <c r="F1304" s="238"/>
    </row>
    <row r="1305" ht="12.75">
      <c r="F1305" s="238"/>
    </row>
    <row r="1306" ht="12.75">
      <c r="F1306" s="238"/>
    </row>
    <row r="1307" ht="12.75">
      <c r="F1307" s="238"/>
    </row>
    <row r="1308" ht="12.75">
      <c r="F1308" s="238"/>
    </row>
    <row r="1309" ht="12.75">
      <c r="F1309" s="238"/>
    </row>
    <row r="1310" ht="12.75">
      <c r="F1310" s="238"/>
    </row>
    <row r="1311" ht="12.75">
      <c r="F1311" s="238"/>
    </row>
    <row r="1312" ht="12.75">
      <c r="F1312" s="238"/>
    </row>
    <row r="1313" ht="12.75">
      <c r="F1313" s="238"/>
    </row>
    <row r="1314" ht="12.75">
      <c r="F1314" s="238"/>
    </row>
    <row r="1315" ht="12.75">
      <c r="F1315" s="238"/>
    </row>
    <row r="1316" ht="12.75">
      <c r="F1316" s="238"/>
    </row>
    <row r="1317" ht="12.75">
      <c r="F1317" s="238"/>
    </row>
    <row r="1318" ht="12.75">
      <c r="F1318" s="238"/>
    </row>
    <row r="1319" ht="12.75">
      <c r="F1319" s="238"/>
    </row>
    <row r="1320" ht="12.75">
      <c r="F1320" s="238"/>
    </row>
    <row r="1321" ht="12.75">
      <c r="F1321" s="238"/>
    </row>
    <row r="1322" ht="12.75">
      <c r="F1322" s="238"/>
    </row>
    <row r="1323" ht="12.75">
      <c r="F1323" s="238"/>
    </row>
    <row r="1324" ht="12.75">
      <c r="F1324" s="238"/>
    </row>
    <row r="1325" ht="12.75">
      <c r="F1325" s="238"/>
    </row>
    <row r="1326" ht="12.75">
      <c r="F1326" s="238"/>
    </row>
    <row r="1327" ht="12.75">
      <c r="F1327" s="238"/>
    </row>
    <row r="1328" ht="12.75">
      <c r="F1328" s="238"/>
    </row>
    <row r="1329" ht="12.75">
      <c r="F1329" s="238"/>
    </row>
    <row r="1330" ht="12.75">
      <c r="F1330" s="238"/>
    </row>
    <row r="1331" ht="12.75">
      <c r="F1331" s="238"/>
    </row>
    <row r="1332" ht="12.75">
      <c r="F1332" s="238"/>
    </row>
    <row r="1333" ht="12.75">
      <c r="F1333" s="238"/>
    </row>
    <row r="1334" ht="12.75">
      <c r="F1334" s="238"/>
    </row>
    <row r="1335" ht="12.75">
      <c r="F1335" s="238"/>
    </row>
    <row r="1336" ht="12.75">
      <c r="F1336" s="238"/>
    </row>
    <row r="1337" ht="12.75">
      <c r="F1337" s="238"/>
    </row>
    <row r="1338" ht="12.75">
      <c r="F1338" s="238"/>
    </row>
    <row r="1339" ht="12.75">
      <c r="F1339" s="238"/>
    </row>
    <row r="1340" ht="12.75">
      <c r="F1340" s="238"/>
    </row>
    <row r="1341" ht="12.75">
      <c r="F1341" s="238"/>
    </row>
    <row r="1342" ht="12.75">
      <c r="F1342" s="238"/>
    </row>
    <row r="1343" ht="12.75">
      <c r="F1343" s="238"/>
    </row>
    <row r="1344" ht="12.75">
      <c r="F1344" s="238"/>
    </row>
    <row r="1345" ht="12.75">
      <c r="F1345" s="238"/>
    </row>
    <row r="1346" ht="12.75">
      <c r="F1346" s="238"/>
    </row>
    <row r="1347" ht="12.75">
      <c r="F1347" s="238"/>
    </row>
    <row r="1348" ht="12.75">
      <c r="F1348" s="238"/>
    </row>
    <row r="1349" ht="12.75">
      <c r="F1349" s="238"/>
    </row>
    <row r="1350" ht="12.75">
      <c r="F1350" s="238"/>
    </row>
    <row r="1351" ht="12.75">
      <c r="F1351" s="238"/>
    </row>
    <row r="1352" ht="12.75">
      <c r="F1352" s="238"/>
    </row>
    <row r="1353" ht="12.75">
      <c r="F1353" s="238"/>
    </row>
    <row r="1354" ht="12.75">
      <c r="F1354" s="238"/>
    </row>
    <row r="1355" ht="12.75">
      <c r="F1355" s="238"/>
    </row>
    <row r="1356" ht="12.75">
      <c r="F1356" s="238"/>
    </row>
    <row r="1357" ht="12.75">
      <c r="F1357" s="238"/>
    </row>
    <row r="1358" ht="12.75">
      <c r="F1358" s="238"/>
    </row>
    <row r="1359" ht="12.75">
      <c r="F1359" s="238"/>
    </row>
    <row r="1360" ht="12.75">
      <c r="F1360" s="238"/>
    </row>
    <row r="1361" ht="12.75">
      <c r="F1361" s="238"/>
    </row>
    <row r="1362" ht="12.75">
      <c r="F1362" s="238"/>
    </row>
    <row r="1363" ht="12.75">
      <c r="F1363" s="238"/>
    </row>
    <row r="1364" ht="12.75">
      <c r="F1364" s="238"/>
    </row>
    <row r="1365" ht="12.75">
      <c r="F1365" s="238"/>
    </row>
    <row r="1366" ht="12.75">
      <c r="F1366" s="238"/>
    </row>
    <row r="1367" ht="12.75">
      <c r="F1367" s="238"/>
    </row>
    <row r="1368" ht="12.75">
      <c r="F1368" s="238"/>
    </row>
    <row r="1369" ht="12.75">
      <c r="F1369" s="238"/>
    </row>
    <row r="1370" ht="12.75">
      <c r="F1370" s="238"/>
    </row>
    <row r="1371" ht="12.75">
      <c r="F1371" s="238"/>
    </row>
    <row r="1372" ht="12.75">
      <c r="F1372" s="238"/>
    </row>
    <row r="1373" ht="12.75">
      <c r="F1373" s="238"/>
    </row>
    <row r="1374" ht="12.75">
      <c r="F1374" s="238"/>
    </row>
    <row r="1375" ht="12.75">
      <c r="F1375" s="238"/>
    </row>
    <row r="1376" ht="12.75">
      <c r="F1376" s="238"/>
    </row>
    <row r="1377" ht="12.75">
      <c r="F1377" s="238"/>
    </row>
    <row r="1378" ht="12.75">
      <c r="F1378" s="238"/>
    </row>
    <row r="1379" ht="12.75">
      <c r="F1379" s="238"/>
    </row>
    <row r="1380" ht="12.75">
      <c r="F1380" s="238"/>
    </row>
    <row r="1381" ht="12.75">
      <c r="F1381" s="238"/>
    </row>
    <row r="1382" ht="12.75">
      <c r="F1382" s="238"/>
    </row>
    <row r="1383" ht="12.75">
      <c r="F1383" s="238"/>
    </row>
    <row r="1384" ht="12.75">
      <c r="F1384" s="238"/>
    </row>
    <row r="1385" ht="12.75">
      <c r="F1385" s="238"/>
    </row>
    <row r="1386" ht="12.75">
      <c r="F1386" s="238"/>
    </row>
    <row r="1387" ht="12.75">
      <c r="F1387" s="238"/>
    </row>
    <row r="1388" ht="12.75">
      <c r="F1388" s="238"/>
    </row>
    <row r="1389" ht="12.75">
      <c r="F1389" s="238"/>
    </row>
    <row r="1390" ht="12.75">
      <c r="F1390" s="238"/>
    </row>
    <row r="1391" ht="12.75">
      <c r="F1391" s="238"/>
    </row>
    <row r="1392" ht="12.75">
      <c r="F1392" s="238"/>
    </row>
    <row r="1393" ht="12.75">
      <c r="F1393" s="238"/>
    </row>
    <row r="1394" ht="12.75">
      <c r="F1394" s="238"/>
    </row>
    <row r="1395" ht="12.75">
      <c r="F1395" s="238"/>
    </row>
    <row r="1396" ht="12.75">
      <c r="F1396" s="238"/>
    </row>
    <row r="1397" ht="12.75">
      <c r="F1397" s="238"/>
    </row>
    <row r="1398" ht="12.75">
      <c r="F1398" s="238"/>
    </row>
    <row r="1399" ht="12.75">
      <c r="F1399" s="238"/>
    </row>
    <row r="1400" ht="12.75">
      <c r="F1400" s="238"/>
    </row>
    <row r="1401" ht="12.75">
      <c r="F1401" s="238"/>
    </row>
    <row r="1402" ht="12.75">
      <c r="F1402" s="238"/>
    </row>
    <row r="1403" ht="12.75">
      <c r="F1403" s="238"/>
    </row>
    <row r="1404" ht="12.75">
      <c r="F1404" s="238"/>
    </row>
    <row r="1405" ht="12.75">
      <c r="F1405" s="238"/>
    </row>
    <row r="1406" ht="12.75">
      <c r="F1406" s="238"/>
    </row>
    <row r="1407" ht="12.75">
      <c r="F1407" s="238"/>
    </row>
    <row r="1408" ht="12.75">
      <c r="F1408" s="238"/>
    </row>
    <row r="1409" ht="12.75">
      <c r="F1409" s="238"/>
    </row>
    <row r="1410" ht="12.75">
      <c r="F1410" s="238"/>
    </row>
    <row r="1411" ht="12.75">
      <c r="F1411" s="238"/>
    </row>
    <row r="1412" ht="12.75">
      <c r="F1412" s="238"/>
    </row>
    <row r="1413" ht="12.75">
      <c r="F1413" s="238"/>
    </row>
    <row r="1414" ht="12.75">
      <c r="F1414" s="238"/>
    </row>
    <row r="1415" ht="12.75">
      <c r="F1415" s="238"/>
    </row>
    <row r="1416" ht="12.75">
      <c r="F1416" s="238"/>
    </row>
    <row r="1417" ht="12.75">
      <c r="F1417" s="238"/>
    </row>
    <row r="1418" ht="12.75">
      <c r="F1418" s="238"/>
    </row>
    <row r="1419" ht="12.75">
      <c r="F1419" s="238"/>
    </row>
    <row r="1420" ht="12.75">
      <c r="F1420" s="238"/>
    </row>
    <row r="1421" ht="12.75">
      <c r="F1421" s="238"/>
    </row>
    <row r="1422" ht="12.75">
      <c r="F1422" s="238"/>
    </row>
    <row r="1423" ht="12.75">
      <c r="F1423" s="238"/>
    </row>
    <row r="1424" ht="12.75">
      <c r="F1424" s="238"/>
    </row>
    <row r="1425" ht="12.75">
      <c r="F1425" s="238"/>
    </row>
    <row r="1426" ht="12.75">
      <c r="F1426" s="238"/>
    </row>
    <row r="1427" ht="12.75">
      <c r="F1427" s="238"/>
    </row>
    <row r="1428" ht="12.75">
      <c r="F1428" s="238"/>
    </row>
    <row r="1429" ht="12.75">
      <c r="F1429" s="238"/>
    </row>
    <row r="1430" ht="12.75">
      <c r="F1430" s="238"/>
    </row>
    <row r="1431" ht="12.75">
      <c r="F1431" s="238"/>
    </row>
    <row r="1432" ht="12.75">
      <c r="F1432" s="238"/>
    </row>
    <row r="1433" ht="12.75">
      <c r="F1433" s="238"/>
    </row>
    <row r="1434" ht="12.75">
      <c r="F1434" s="238"/>
    </row>
    <row r="1435" ht="12.75">
      <c r="F1435" s="238"/>
    </row>
    <row r="1436" ht="12.75">
      <c r="F1436" s="238"/>
    </row>
    <row r="1437" ht="12.75">
      <c r="F1437" s="238"/>
    </row>
    <row r="1438" ht="12.75">
      <c r="F1438" s="238"/>
    </row>
    <row r="1439" ht="12.75">
      <c r="F1439" s="238"/>
    </row>
    <row r="1440" ht="12.75">
      <c r="F1440" s="238"/>
    </row>
    <row r="1441" ht="12.75">
      <c r="F1441" s="238"/>
    </row>
    <row r="1442" ht="12.75">
      <c r="F1442" s="238"/>
    </row>
    <row r="1443" ht="12.75">
      <c r="F1443" s="238"/>
    </row>
    <row r="1444" ht="12.75">
      <c r="F1444" s="238"/>
    </row>
    <row r="1445" ht="12.75">
      <c r="F1445" s="238"/>
    </row>
    <row r="1446" ht="12.75">
      <c r="F1446" s="238"/>
    </row>
    <row r="1447" ht="12.75">
      <c r="F1447" s="238"/>
    </row>
    <row r="1448" ht="12.75">
      <c r="F1448" s="238"/>
    </row>
    <row r="1449" ht="12.75">
      <c r="F1449" s="238"/>
    </row>
    <row r="1450" ht="12.75">
      <c r="F1450" s="238"/>
    </row>
    <row r="1451" ht="12.75">
      <c r="F1451" s="238"/>
    </row>
    <row r="1452" ht="12.75">
      <c r="F1452" s="238"/>
    </row>
    <row r="1453" ht="12.75">
      <c r="F1453" s="238"/>
    </row>
    <row r="1454" ht="12.75">
      <c r="F1454" s="238"/>
    </row>
    <row r="1455" ht="12.75">
      <c r="F1455" s="238"/>
    </row>
    <row r="1456" ht="12.75">
      <c r="F1456" s="238"/>
    </row>
    <row r="1457" ht="12.75">
      <c r="F1457" s="238"/>
    </row>
    <row r="1458" ht="12.75">
      <c r="F1458" s="238"/>
    </row>
    <row r="1459" ht="12.75">
      <c r="F1459" s="238"/>
    </row>
    <row r="1460" ht="12.75">
      <c r="F1460" s="238"/>
    </row>
    <row r="1461" ht="12.75">
      <c r="F1461" s="238"/>
    </row>
    <row r="1462" ht="12.75">
      <c r="F1462" s="238"/>
    </row>
    <row r="1463" ht="12.75">
      <c r="F1463" s="238"/>
    </row>
    <row r="1464" ht="12.75">
      <c r="F1464" s="238"/>
    </row>
    <row r="1465" ht="12.75">
      <c r="F1465" s="238"/>
    </row>
    <row r="1466" ht="12.75">
      <c r="F1466" s="238"/>
    </row>
    <row r="1467" ht="12.75">
      <c r="F1467" s="238"/>
    </row>
    <row r="1468" ht="12.75">
      <c r="F1468" s="238"/>
    </row>
    <row r="1469" ht="12.75">
      <c r="F1469" s="238"/>
    </row>
    <row r="1470" ht="12.75">
      <c r="F1470" s="238"/>
    </row>
    <row r="1471" ht="12.75">
      <c r="F1471" s="238"/>
    </row>
    <row r="1472" ht="12.75">
      <c r="F1472" s="238"/>
    </row>
    <row r="1473" ht="12.75">
      <c r="F1473" s="238"/>
    </row>
    <row r="1474" ht="12.75">
      <c r="F1474" s="238"/>
    </row>
    <row r="1475" ht="12.75">
      <c r="F1475" s="238"/>
    </row>
    <row r="1476" ht="12.75">
      <c r="F1476" s="238"/>
    </row>
    <row r="1477" ht="12.75">
      <c r="F1477" s="238"/>
    </row>
    <row r="1478" ht="12.75">
      <c r="F1478" s="238"/>
    </row>
    <row r="1479" ht="12.75">
      <c r="F1479" s="238"/>
    </row>
    <row r="1480" ht="12.75">
      <c r="F1480" s="238"/>
    </row>
    <row r="1481" ht="12.75">
      <c r="F1481" s="238"/>
    </row>
    <row r="1482" ht="12.75">
      <c r="F1482" s="238"/>
    </row>
    <row r="1483" ht="12.75">
      <c r="F1483" s="238"/>
    </row>
    <row r="1484" ht="12.75">
      <c r="F1484" s="238"/>
    </row>
    <row r="1485" ht="12.75">
      <c r="F1485" s="238"/>
    </row>
    <row r="1486" ht="12.75">
      <c r="F1486" s="238"/>
    </row>
    <row r="1487" ht="12.75">
      <c r="F1487" s="238"/>
    </row>
    <row r="1488" ht="12.75">
      <c r="F1488" s="238"/>
    </row>
    <row r="1489" ht="12.75">
      <c r="F1489" s="238"/>
    </row>
    <row r="1490" ht="12.75">
      <c r="F1490" s="238"/>
    </row>
    <row r="1491" ht="12.75">
      <c r="F1491" s="238"/>
    </row>
    <row r="1492" ht="12.75">
      <c r="F1492" s="238"/>
    </row>
    <row r="1493" ht="12.75">
      <c r="F1493" s="238"/>
    </row>
    <row r="1494" ht="12.75">
      <c r="F1494" s="238"/>
    </row>
    <row r="1495" ht="12.75">
      <c r="F1495" s="238"/>
    </row>
    <row r="1496" ht="12.75">
      <c r="F1496" s="238"/>
    </row>
    <row r="1497" ht="12.75">
      <c r="F1497" s="238"/>
    </row>
    <row r="1498" ht="12.75">
      <c r="F1498" s="238"/>
    </row>
    <row r="1499" ht="12.75">
      <c r="F1499" s="238"/>
    </row>
    <row r="1500" ht="12.75">
      <c r="F1500" s="238"/>
    </row>
    <row r="1501" ht="12.75">
      <c r="F1501" s="238"/>
    </row>
    <row r="1502" ht="12.75">
      <c r="F1502" s="238"/>
    </row>
    <row r="1503" ht="12.75">
      <c r="F1503" s="238"/>
    </row>
    <row r="1504" ht="12.75">
      <c r="F1504" s="238"/>
    </row>
    <row r="1505" ht="12.75">
      <c r="F1505" s="238"/>
    </row>
    <row r="1506" ht="12.75">
      <c r="F1506" s="238"/>
    </row>
    <row r="1507" ht="12.75">
      <c r="F1507" s="238"/>
    </row>
    <row r="1508" ht="12.75">
      <c r="F1508" s="238"/>
    </row>
    <row r="1509" ht="12.75">
      <c r="F1509" s="238"/>
    </row>
    <row r="1510" ht="12.75">
      <c r="F1510" s="238"/>
    </row>
    <row r="1511" ht="12.75">
      <c r="F1511" s="238"/>
    </row>
    <row r="1512" ht="12.75">
      <c r="F1512" s="238"/>
    </row>
    <row r="1513" ht="12.75">
      <c r="F1513" s="238"/>
    </row>
    <row r="1514" ht="12.75">
      <c r="F1514" s="238"/>
    </row>
    <row r="1515" ht="12.75">
      <c r="F1515" s="238"/>
    </row>
    <row r="1516" ht="12.75">
      <c r="F1516" s="238"/>
    </row>
    <row r="1517" ht="12.75">
      <c r="F1517" s="238"/>
    </row>
    <row r="1518" ht="12.75">
      <c r="F1518" s="238"/>
    </row>
    <row r="1519" ht="12.75">
      <c r="F1519" s="238"/>
    </row>
    <row r="1520" ht="12.75">
      <c r="F1520" s="238"/>
    </row>
    <row r="1521" ht="12.75">
      <c r="F1521" s="238"/>
    </row>
    <row r="1522" ht="12.75">
      <c r="F1522" s="238"/>
    </row>
    <row r="1523" ht="12.75">
      <c r="F1523" s="238"/>
    </row>
    <row r="1524" ht="12.75">
      <c r="F1524" s="238"/>
    </row>
    <row r="1525" ht="12.75">
      <c r="F1525" s="238"/>
    </row>
    <row r="1526" ht="12.75">
      <c r="F1526" s="238"/>
    </row>
    <row r="1527" ht="12.75">
      <c r="F1527" s="238"/>
    </row>
    <row r="1528" ht="12.75">
      <c r="F1528" s="238"/>
    </row>
    <row r="1529" ht="12.75">
      <c r="F1529" s="238"/>
    </row>
    <row r="1530" ht="12.75">
      <c r="F1530" s="238"/>
    </row>
    <row r="1531" ht="12.75">
      <c r="F1531" s="238"/>
    </row>
    <row r="1532" ht="12.75">
      <c r="F1532" s="238"/>
    </row>
    <row r="1533" ht="12.75">
      <c r="F1533" s="238"/>
    </row>
    <row r="1534" ht="12.75">
      <c r="F1534" s="238"/>
    </row>
    <row r="1535" ht="12.75">
      <c r="F1535" s="238"/>
    </row>
    <row r="1536" ht="12.75">
      <c r="F1536" s="238"/>
    </row>
    <row r="1537" ht="12.75">
      <c r="F1537" s="238"/>
    </row>
    <row r="1538" ht="12.75">
      <c r="F1538" s="238"/>
    </row>
    <row r="1539" ht="12.75">
      <c r="F1539" s="238"/>
    </row>
    <row r="1540" ht="12.75">
      <c r="F1540" s="238"/>
    </row>
    <row r="1541" ht="12.75">
      <c r="F1541" s="238"/>
    </row>
    <row r="1542" ht="12.75">
      <c r="F1542" s="238"/>
    </row>
    <row r="1543" ht="12.75">
      <c r="F1543" s="238"/>
    </row>
    <row r="1544" ht="12.75">
      <c r="F1544" s="238"/>
    </row>
    <row r="1545" ht="12.75">
      <c r="F1545" s="238"/>
    </row>
    <row r="1546" ht="12.75">
      <c r="F1546" s="238"/>
    </row>
    <row r="1547" ht="12.75">
      <c r="F1547" s="238"/>
    </row>
    <row r="1548" ht="12.75">
      <c r="F1548" s="238"/>
    </row>
    <row r="1549" ht="12.75">
      <c r="F1549" s="238"/>
    </row>
    <row r="1550" ht="12.75">
      <c r="F1550" s="238"/>
    </row>
    <row r="1551" ht="12.75">
      <c r="F1551" s="238"/>
    </row>
    <row r="1552" ht="12.75">
      <c r="F1552" s="238"/>
    </row>
    <row r="1553" ht="12.75">
      <c r="F1553" s="238"/>
    </row>
    <row r="1554" ht="12.75">
      <c r="F1554" s="238"/>
    </row>
    <row r="1555" ht="12.75">
      <c r="F1555" s="238"/>
    </row>
    <row r="1556" ht="12.75">
      <c r="F1556" s="238"/>
    </row>
    <row r="1557" ht="12.75">
      <c r="F1557" s="238"/>
    </row>
    <row r="1558" ht="12.75">
      <c r="F1558" s="238"/>
    </row>
    <row r="1559" ht="12.75">
      <c r="F1559" s="238"/>
    </row>
    <row r="1560" ht="12.75">
      <c r="F1560" s="238"/>
    </row>
    <row r="1561" ht="12.75">
      <c r="F1561" s="238"/>
    </row>
    <row r="1562" ht="12.75">
      <c r="F1562" s="238"/>
    </row>
    <row r="1563" ht="12.75">
      <c r="F1563" s="238"/>
    </row>
    <row r="1564" ht="12.75">
      <c r="F1564" s="238"/>
    </row>
    <row r="1565" ht="12.75">
      <c r="F1565" s="238"/>
    </row>
    <row r="1566" ht="12.75">
      <c r="F1566" s="238"/>
    </row>
    <row r="1567" ht="12.75">
      <c r="F1567" s="238"/>
    </row>
    <row r="1568" ht="12.75">
      <c r="F1568" s="238"/>
    </row>
    <row r="1569" ht="12.75">
      <c r="F1569" s="238"/>
    </row>
    <row r="1570" ht="12.75">
      <c r="F1570" s="238"/>
    </row>
    <row r="1571" ht="12.75">
      <c r="F1571" s="238"/>
    </row>
    <row r="1572" ht="12.75">
      <c r="F1572" s="238"/>
    </row>
    <row r="1573" ht="12.75">
      <c r="F1573" s="238"/>
    </row>
    <row r="1574" ht="12.75">
      <c r="F1574" s="238"/>
    </row>
    <row r="1575" ht="12.75">
      <c r="F1575" s="238"/>
    </row>
    <row r="1576" ht="12.75">
      <c r="F1576" s="238"/>
    </row>
    <row r="1577" ht="12.75">
      <c r="F1577" s="238"/>
    </row>
    <row r="1578" ht="12.75">
      <c r="F1578" s="238"/>
    </row>
    <row r="1579" ht="12.75">
      <c r="F1579" s="238"/>
    </row>
    <row r="1580" ht="12.75">
      <c r="F1580" s="238"/>
    </row>
    <row r="1581" ht="12.75">
      <c r="F1581" s="238"/>
    </row>
    <row r="1582" ht="12.75">
      <c r="F1582" s="238"/>
    </row>
    <row r="1583" ht="12.75">
      <c r="F1583" s="238"/>
    </row>
    <row r="1584" ht="12.75">
      <c r="F1584" s="238"/>
    </row>
    <row r="1585" ht="12.75">
      <c r="F1585" s="238"/>
    </row>
    <row r="1586" ht="12.75">
      <c r="F1586" s="238"/>
    </row>
    <row r="1587" ht="12.75">
      <c r="F1587" s="238"/>
    </row>
    <row r="1588" ht="12.75">
      <c r="F1588" s="238"/>
    </row>
    <row r="1589" ht="12.75">
      <c r="F1589" s="238"/>
    </row>
    <row r="1590" ht="12.75">
      <c r="F1590" s="238"/>
    </row>
    <row r="1591" ht="12.75">
      <c r="F1591" s="238"/>
    </row>
    <row r="1592" ht="12.75">
      <c r="F1592" s="238"/>
    </row>
    <row r="1593" ht="12.75">
      <c r="F1593" s="238"/>
    </row>
    <row r="1594" ht="12.75">
      <c r="F1594" s="238"/>
    </row>
    <row r="1595" ht="12.75">
      <c r="F1595" s="238"/>
    </row>
    <row r="1596" ht="12.75">
      <c r="F1596" s="238"/>
    </row>
    <row r="1597" ht="12.75">
      <c r="F1597" s="238"/>
    </row>
    <row r="1598" ht="12.75">
      <c r="F1598" s="238"/>
    </row>
    <row r="1599" ht="12.75">
      <c r="F1599" s="238"/>
    </row>
    <row r="1600" ht="12.75">
      <c r="F1600" s="238"/>
    </row>
    <row r="1601" ht="12.75">
      <c r="F1601" s="238"/>
    </row>
    <row r="1602" ht="12.75">
      <c r="F1602" s="238"/>
    </row>
    <row r="1603" ht="12.75">
      <c r="F1603" s="238"/>
    </row>
    <row r="1604" ht="12.75">
      <c r="F1604" s="238"/>
    </row>
    <row r="1605" ht="12.75">
      <c r="F1605" s="238"/>
    </row>
    <row r="1606" ht="12.75">
      <c r="F1606" s="238"/>
    </row>
    <row r="1607" ht="12.75">
      <c r="F1607" s="238"/>
    </row>
    <row r="1608" ht="12.75">
      <c r="F1608" s="238"/>
    </row>
    <row r="1609" ht="12.75">
      <c r="F1609" s="238"/>
    </row>
    <row r="1610" ht="12.75">
      <c r="F1610" s="238"/>
    </row>
    <row r="1611" ht="12.75">
      <c r="F1611" s="238"/>
    </row>
    <row r="1612" ht="12.75">
      <c r="F1612" s="238"/>
    </row>
    <row r="1613" ht="12.75">
      <c r="F1613" s="238"/>
    </row>
    <row r="1614" ht="12.75">
      <c r="F1614" s="238"/>
    </row>
    <row r="1615" ht="12.75">
      <c r="F1615" s="238"/>
    </row>
    <row r="1616" ht="12.75">
      <c r="F1616" s="238"/>
    </row>
    <row r="1617" ht="12.75">
      <c r="F1617" s="238"/>
    </row>
    <row r="1618" ht="12.75">
      <c r="F1618" s="238"/>
    </row>
    <row r="1619" ht="12.75">
      <c r="F1619" s="238"/>
    </row>
    <row r="1620" ht="12.75">
      <c r="F1620" s="238"/>
    </row>
    <row r="1621" ht="12.75">
      <c r="F1621" s="238"/>
    </row>
    <row r="1622" ht="12.75">
      <c r="F1622" s="238"/>
    </row>
    <row r="1623" ht="12.75">
      <c r="F1623" s="238"/>
    </row>
    <row r="1624" ht="12.75">
      <c r="F1624" s="238"/>
    </row>
    <row r="1625" ht="12.75">
      <c r="F1625" s="238"/>
    </row>
    <row r="1626" ht="12.75">
      <c r="F1626" s="238"/>
    </row>
    <row r="1627" ht="12.75">
      <c r="F1627" s="238"/>
    </row>
    <row r="1628" ht="12.75">
      <c r="F1628" s="238"/>
    </row>
    <row r="1629" ht="12.75">
      <c r="F1629" s="238"/>
    </row>
    <row r="1630" ht="12.75">
      <c r="F1630" s="238"/>
    </row>
    <row r="1631" ht="12.75">
      <c r="F1631" s="238"/>
    </row>
    <row r="1632" ht="12.75">
      <c r="F1632" s="238"/>
    </row>
    <row r="1633" ht="12.75">
      <c r="F1633" s="238"/>
    </row>
    <row r="1634" ht="12.75">
      <c r="F1634" s="238"/>
    </row>
    <row r="1635" ht="12.75">
      <c r="F1635" s="238"/>
    </row>
    <row r="1636" ht="12.75">
      <c r="F1636" s="238"/>
    </row>
    <row r="1637" ht="12.75">
      <c r="F1637" s="238"/>
    </row>
    <row r="1638" ht="12.75">
      <c r="F1638" s="238"/>
    </row>
    <row r="1639" ht="12.75">
      <c r="F1639" s="238"/>
    </row>
    <row r="1640" ht="12.75">
      <c r="F1640" s="238"/>
    </row>
    <row r="1641" ht="12.75">
      <c r="F1641" s="238"/>
    </row>
    <row r="1642" ht="12.75">
      <c r="F1642" s="238"/>
    </row>
    <row r="1643" ht="12.75">
      <c r="F1643" s="238"/>
    </row>
    <row r="1644" ht="12.75">
      <c r="F1644" s="238"/>
    </row>
    <row r="1645" ht="12.75">
      <c r="F1645" s="238"/>
    </row>
    <row r="1646" ht="12.75">
      <c r="F1646" s="238"/>
    </row>
    <row r="1647" ht="12.75">
      <c r="F1647" s="238"/>
    </row>
    <row r="1648" ht="12.75">
      <c r="F1648" s="238"/>
    </row>
    <row r="1649" ht="12.75">
      <c r="F1649" s="238"/>
    </row>
    <row r="1650" ht="12.75">
      <c r="F1650" s="238"/>
    </row>
    <row r="1651" ht="12.75">
      <c r="F1651" s="238"/>
    </row>
    <row r="1652" ht="12.75">
      <c r="F1652" s="238"/>
    </row>
    <row r="1653" ht="12.75">
      <c r="F1653" s="238"/>
    </row>
    <row r="1654" ht="12.75">
      <c r="F1654" s="238"/>
    </row>
    <row r="1655" ht="12.75">
      <c r="F1655" s="238"/>
    </row>
    <row r="1656" ht="12.75">
      <c r="F1656" s="238"/>
    </row>
    <row r="1657" ht="12.75">
      <c r="F1657" s="238"/>
    </row>
    <row r="1658" ht="12.75">
      <c r="F1658" s="238"/>
    </row>
    <row r="1659" ht="12.75">
      <c r="F1659" s="238"/>
    </row>
    <row r="1660" ht="12.75">
      <c r="F1660" s="238"/>
    </row>
  </sheetData>
  <mergeCells count="1">
    <mergeCell ref="A2:P2"/>
  </mergeCells>
  <printOptions/>
  <pageMargins left="0.25" right="0.25" top="1" bottom="0.69" header="0.5" footer="0.26"/>
  <pageSetup fitToHeight="14" fitToWidth="1" horizontalDpi="600" verticalDpi="600" orientation="landscape" paperSize="9" scale="94" r:id="rId1"/>
  <rowBreaks count="3" manualBreakCount="3">
    <brk id="36" max="255" man="1"/>
    <brk id="394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2001-08-21T13:28:50Z</cp:lastPrinted>
  <dcterms:created xsi:type="dcterms:W3CDTF">2001-06-29T07:34:05Z</dcterms:created>
  <dcterms:modified xsi:type="dcterms:W3CDTF">2006-12-05T11:51:58Z</dcterms:modified>
  <cp:category/>
  <cp:version/>
  <cp:contentType/>
  <cp:contentStatus/>
</cp:coreProperties>
</file>