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480" windowHeight="10290" activeTab="0"/>
  </bookViews>
  <sheets>
    <sheet name="2010" sheetId="1" r:id="rId1"/>
    <sheet name="Finans" sheetId="2" r:id="rId2"/>
    <sheet name="tikai konsolidacija" sheetId="3" r:id="rId3"/>
  </sheets>
  <definedNames>
    <definedName name="_xlnm.Print_Area" localSheetId="0">'2010'!$A$1:$Q$283</definedName>
    <definedName name="_xlnm.Print_Area" localSheetId="2">'tikai konsolidacija'!$A$1:$Q$280</definedName>
    <definedName name="_xlnm.Print_Titles" localSheetId="0">'2010'!$A:$B,'2010'!$9:$11</definedName>
    <definedName name="_xlnm.Print_Titles" localSheetId="2">'tikai konsolidacija'!$A:$B,'tikai konsolidacija'!$9:$11</definedName>
  </definedNames>
  <calcPr fullCalcOnLoad="1"/>
</workbook>
</file>

<file path=xl/comments1.xml><?xml version="1.0" encoding="utf-8"?>
<comments xmlns="http://schemas.openxmlformats.org/spreadsheetml/2006/main">
  <authors>
    <author>SilvijaL</author>
    <author>Silvija Lansmane</author>
  </authors>
  <commentList>
    <comment ref="J47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IZM+SAT %</t>
        </r>
      </text>
    </comment>
    <comment ref="J49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Labklājības min %</t>
        </r>
      </text>
    </comment>
    <comment ref="J106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13, 15, 19, 36, 58 min iestāžu % ieņēmumi</t>
        </r>
      </text>
    </comment>
    <comment ref="B147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kodi 7120+7470
</t>
        </r>
      </text>
    </comment>
    <comment ref="J156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plus koda 7490 summa 32711
</t>
        </r>
      </text>
    </comment>
    <comment ref="Q231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vai tikai šie nav tie paši Labkl min lieki samaksātie</t>
        </r>
      </text>
    </comment>
    <comment ref="J271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summa bez VSAA, atvasinātajām</t>
        </r>
      </text>
    </comment>
    <comment ref="P271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konsolidē VSAA, studentus pēc IZM datiem bez dzēstajiem un Sporta ped akad</t>
        </r>
      </text>
    </comment>
    <comment ref="J273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daiga izkonsolidē dzēstos</t>
        </r>
      </text>
    </comment>
    <comment ref="P272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konsolidē VSAA,  Sporta ped akad  unAPP</t>
        </r>
      </text>
    </comment>
    <comment ref="J267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koriģē dzēstos -259763 un koda labojums 33206</t>
        </r>
      </text>
    </comment>
  </commentList>
</comments>
</file>

<file path=xl/comments2.xml><?xml version="1.0" encoding="utf-8"?>
<comments xmlns="http://schemas.openxmlformats.org/spreadsheetml/2006/main">
  <authors>
    <author>SilvijaL</author>
  </authors>
  <commentList>
    <comment ref="C3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Datu noliktavas atskaite_Vertspapīru dati- nomināls,</t>
        </r>
      </text>
    </comment>
  </commentList>
</comments>
</file>

<file path=xl/comments3.xml><?xml version="1.0" encoding="utf-8"?>
<comments xmlns="http://schemas.openxmlformats.org/spreadsheetml/2006/main">
  <authors>
    <author>SilvijaL</author>
    <author>Silvija Lansmane</author>
  </authors>
  <commentList>
    <comment ref="J47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IZM+SAT %</t>
        </r>
      </text>
    </comment>
    <comment ref="J49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Labklājības min %</t>
        </r>
      </text>
    </comment>
    <comment ref="J106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13, 15, 19, 36, 58 min iestāžu % ieņēmumi</t>
        </r>
      </text>
    </comment>
    <comment ref="B147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kodi 7120+7470
</t>
        </r>
      </text>
    </comment>
    <comment ref="J156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plus koda 7490 summa 32711
</t>
        </r>
      </text>
    </comment>
    <comment ref="Q231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vai tikai šie nav tie paši Labkl min lieki samaksātie</t>
        </r>
      </text>
    </comment>
    <comment ref="J271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summa bez VSAA, atvasinātajām</t>
        </r>
      </text>
    </comment>
    <comment ref="P271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konsolidē VSAA, studentus pēc IZM datiem bez dzēstajiem un Sporta ped akad</t>
        </r>
      </text>
    </comment>
    <comment ref="J272" authorId="1">
      <text>
        <r>
          <rPr>
            <b/>
            <sz val="8"/>
            <rFont val="Tahoma"/>
            <family val="2"/>
          </rPr>
          <t>Silvija Lansmane:</t>
        </r>
        <r>
          <rPr>
            <sz val="8"/>
            <rFont val="Tahoma"/>
            <family val="2"/>
          </rPr>
          <t xml:space="preserve">
daiga izkonsolidē dzēstos</t>
        </r>
      </text>
    </comment>
  </commentList>
</comments>
</file>

<file path=xl/sharedStrings.xml><?xml version="1.0" encoding="utf-8"?>
<sst xmlns="http://schemas.openxmlformats.org/spreadsheetml/2006/main" count="969" uniqueCount="384">
  <si>
    <t>(latos)</t>
  </si>
  <si>
    <t>Rādītāji</t>
  </si>
  <si>
    <t>Pamatbudžets</t>
  </si>
  <si>
    <t>Speciālais</t>
  </si>
  <si>
    <t>Ziedojumi</t>
  </si>
  <si>
    <t>Kopā 
Bruto</t>
  </si>
  <si>
    <t>Konsolidācija</t>
  </si>
  <si>
    <t>KOPĀ
Neto</t>
  </si>
  <si>
    <t>I. Kopbudžeta ieņēmumi - kopā</t>
  </si>
  <si>
    <t>Nodokļu ieņēmumi</t>
  </si>
  <si>
    <t>Iedzīvotāju ienākuma nodoklis</t>
  </si>
  <si>
    <t>Sociālās apdrošināšanas iemaksas</t>
  </si>
  <si>
    <t>4.1.0.0.</t>
  </si>
  <si>
    <t>Nekustamā īpašuma nodoklis</t>
  </si>
  <si>
    <t>4.2.0.0.</t>
  </si>
  <si>
    <t>4.3.0.0.</t>
  </si>
  <si>
    <t>Pievienotās vērtības nodoklis</t>
  </si>
  <si>
    <t>x</t>
  </si>
  <si>
    <t>Akcīzes nodoklis</t>
  </si>
  <si>
    <t>Nodokļi atsevišķām precēm un  pakalpojumu veidiem</t>
  </si>
  <si>
    <t>Muitas nodoklis</t>
  </si>
  <si>
    <t>Nenodokļu ieņēmumi</t>
  </si>
  <si>
    <t>8.0.0.0.</t>
  </si>
  <si>
    <t>Ieņēmumi no uzņēmējdarbības un īpašuma</t>
  </si>
  <si>
    <t>9.0.0.0.</t>
  </si>
  <si>
    <t>9.5.0.0.</t>
  </si>
  <si>
    <t>10.0.0.0.</t>
  </si>
  <si>
    <t>13.0.0.0.</t>
  </si>
  <si>
    <t>18.0.0.0.</t>
  </si>
  <si>
    <t>Saņemtie ziedojumi un dāvinājumi</t>
  </si>
  <si>
    <t>Vispārējie valdības dienesti</t>
  </si>
  <si>
    <t>Aizsardzība</t>
  </si>
  <si>
    <t>Izglītība</t>
  </si>
  <si>
    <t>Uzturēšanas izdevumi</t>
  </si>
  <si>
    <t>Kārtējie izdevumi</t>
  </si>
  <si>
    <t xml:space="preserve">Subsīdijas un dotācijas </t>
  </si>
  <si>
    <t xml:space="preserve">Kapitālie izdevumi </t>
  </si>
  <si>
    <t>Operatīvais gada pārskats</t>
  </si>
  <si>
    <t>Rīgā</t>
  </si>
  <si>
    <t>Pārvaldnieks</t>
  </si>
  <si>
    <t>K.Āboliņš</t>
  </si>
  <si>
    <t>1.0.0.0.</t>
  </si>
  <si>
    <t>Ienākuma nodokļi</t>
  </si>
  <si>
    <t>Īpašuma nodokļi</t>
  </si>
  <si>
    <t>12.0.0.0.</t>
  </si>
  <si>
    <t>Valsts budžeta transferti</t>
  </si>
  <si>
    <t>19.0.0.0.</t>
  </si>
  <si>
    <t>Pašvaldību budžetu transferti</t>
  </si>
  <si>
    <t>23.0.0.0.</t>
  </si>
  <si>
    <t>Preces un pakalpojumi</t>
  </si>
  <si>
    <t>Procentu izdevumi</t>
  </si>
  <si>
    <t>Sociālie pabalsti</t>
  </si>
  <si>
    <t>Uzturēšanās izdevumu transferti</t>
  </si>
  <si>
    <t>Valsts budžeta uzturēšanās izdevumu transferti</t>
  </si>
  <si>
    <t>Pašvaldību budžetu uzturēšanās izdevumu transferti</t>
  </si>
  <si>
    <t>Starptautiskā sadarbība</t>
  </si>
  <si>
    <t>Pamatkapitāla veidošana</t>
  </si>
  <si>
    <t>Kapitālo izdevumu transferti, mērkdotācijas</t>
  </si>
  <si>
    <t>Valsts budžeta kapitālo izdevumu transferti</t>
  </si>
  <si>
    <t>Pašvaldību budžetu transferti kapitālajiem izdevumiem no pamatbudžeta uz pamatbudžetu</t>
  </si>
  <si>
    <t>Pašvaldību budžetu transferti kapitālajiem izdevumiem no speciālā budžeta uz speciālo budžetu</t>
  </si>
  <si>
    <t>Finansiālā bilance</t>
  </si>
  <si>
    <t>Iegādātie parāda vērtspapīri, izņemot atvasinātos finanšu instrumentus</t>
  </si>
  <si>
    <t>Emitētie parāda vērtspapīri</t>
  </si>
  <si>
    <t>Aizņēmumi</t>
  </si>
  <si>
    <t>Aizdevumi</t>
  </si>
  <si>
    <t>Kopieguldījumu fondu akcijas</t>
  </si>
  <si>
    <t>2.1.0.0.</t>
  </si>
  <si>
    <t>2.2.0.0.</t>
  </si>
  <si>
    <t>2.3.0.0.</t>
  </si>
  <si>
    <t>2.4.0.0.</t>
  </si>
  <si>
    <t>Brīvprātīgās sociālās apdrošināšanas iemaksas</t>
  </si>
  <si>
    <t>Valsts sociālās apdrošināšanas obligātās iemaksas</t>
  </si>
  <si>
    <t>Sociālā nodokļa parādi</t>
  </si>
  <si>
    <t>Īpašuma nodokļa parādi</t>
  </si>
  <si>
    <t>Zemes nodokļa parādi</t>
  </si>
  <si>
    <t>5.2.0.0.</t>
  </si>
  <si>
    <t>5.3.0.0.</t>
  </si>
  <si>
    <t>Nodokļi un maksājumi par tiesībām lietot atsevišķas preces</t>
  </si>
  <si>
    <t>5.6.0.0.</t>
  </si>
  <si>
    <t>Ievedmuitas nodoklis un citi līdzvērtīgi maksājumi</t>
  </si>
  <si>
    <t>6.1.0.0.</t>
  </si>
  <si>
    <t>Izvedmuitas nodoklis un citi līdzvērtīgi maksājumi</t>
  </si>
  <si>
    <t>6.2.0.0.</t>
  </si>
  <si>
    <t>Ieņēmumi no finanšu ieguldījumiem</t>
  </si>
  <si>
    <t>8.1.0.0.</t>
  </si>
  <si>
    <t>Ieņēmumi no Latvijas Bankas maksājuma</t>
  </si>
  <si>
    <t>8.2.0.0.</t>
  </si>
  <si>
    <t>8.3.0.0.</t>
  </si>
  <si>
    <t>8.4.0.0.</t>
  </si>
  <si>
    <t>Ieņēmumi no dividendēm (ieņēmumi no valsts (pašvaldību) kapitāla izmantošanas)</t>
  </si>
  <si>
    <t>Procentu ieņēmumi par aizdevumiem nacionālajā valūtā</t>
  </si>
  <si>
    <t>Procentu ieņēmumi par aizdevumiem ārvalstu valūtā</t>
  </si>
  <si>
    <t>8.5.0.0.</t>
  </si>
  <si>
    <t>8.6.0.0.</t>
  </si>
  <si>
    <t>Procentu ieņēmumi par depozītiem, kontu atlikumiem un valsts parāda vērtspapīriem</t>
  </si>
  <si>
    <t>Ieņēmumi un ieņēmumu zaudējumi no atvasināto finanšu instrumentu rezultāta</t>
  </si>
  <si>
    <t>8.7.0.0.</t>
  </si>
  <si>
    <t>8.9.0.0.</t>
  </si>
  <si>
    <t>Pārējie finanšu ieņēmumi</t>
  </si>
  <si>
    <t>Valsts (pašvaldību) nodevas un kancelejas nodevas</t>
  </si>
  <si>
    <t>9.1.0.0.</t>
  </si>
  <si>
    <t>9.2.0.0.</t>
  </si>
  <si>
    <t>9.3.0.0.</t>
  </si>
  <si>
    <t>9.4.0.0.</t>
  </si>
  <si>
    <t>9.9.0.0.</t>
  </si>
  <si>
    <t>Valsts nodevas par valsts sniegto nodrošinājumu un juridiskajiem un citiem pakalpojumiem</t>
  </si>
  <si>
    <t xml:space="preserve">Valsts nodevas par speciālu atļauju (licenču) izsniegšanu un profesionālās kvalifikācijas atbilstības dokumentu reģistrāciju </t>
  </si>
  <si>
    <t>Speciāliem mērķiem paredzētās valsts nodevas</t>
  </si>
  <si>
    <t>Valsts nodevas, kuras ieskaita pašvaldību budžetā</t>
  </si>
  <si>
    <t>Pašvaldību nodevas</t>
  </si>
  <si>
    <t>Pārējās nodevas</t>
  </si>
  <si>
    <t>Naudas sodi</t>
  </si>
  <si>
    <t>10.1.0.0.</t>
  </si>
  <si>
    <t>10.2.0.0.</t>
  </si>
  <si>
    <t>10.3.0.0.</t>
  </si>
  <si>
    <t>10.5.0.0.</t>
  </si>
  <si>
    <t>10.6.0.0.</t>
  </si>
  <si>
    <t>12.1.0.0.</t>
  </si>
  <si>
    <t>12.2.0.0.</t>
  </si>
  <si>
    <t>12.3.0.0.</t>
  </si>
  <si>
    <t xml:space="preserve">Ieņēmumi no valstij piekritīgās mantas realizācijas </t>
  </si>
  <si>
    <t>Dažādi nenodokļu ieņēmumi</t>
  </si>
  <si>
    <t>Ieņēmumi no ēku un būvju īpašuma pārdošanas</t>
  </si>
  <si>
    <t>13.1.0.0.</t>
  </si>
  <si>
    <t>13.2.0.0.</t>
  </si>
  <si>
    <t>13.3.0.0.</t>
  </si>
  <si>
    <t>13.4.0.0.</t>
  </si>
  <si>
    <t>13.5.0.0.</t>
  </si>
  <si>
    <t>Ieņēmumi no zemes, meža īpašuma pārdošanas</t>
  </si>
  <si>
    <t xml:space="preserve">Ieņēmumi no nodokļu pamatparāda kapitalizācijas </t>
  </si>
  <si>
    <t>Ieņēmumi no valsts un pašvaldību īpašuma iznomāšanas</t>
  </si>
  <si>
    <t>Ieņēmumi no valsts (pašvaldības) īpašuma pārdošanas un no nodokļu pamatparāda kapitalizācijas</t>
  </si>
  <si>
    <t>18.1.0.0.</t>
  </si>
  <si>
    <t>18.2.0.0.</t>
  </si>
  <si>
    <t>18.3.0.0.</t>
  </si>
  <si>
    <t>18.4.0.0.</t>
  </si>
  <si>
    <t>18.5.0.0.</t>
  </si>
  <si>
    <t>18.6.0.0.</t>
  </si>
  <si>
    <t>18.7.0.0.</t>
  </si>
  <si>
    <t>18.8.0.0.</t>
  </si>
  <si>
    <t>18.9.0.0.</t>
  </si>
  <si>
    <t>Valsts pamatbudžeta savstarpējie transferti</t>
  </si>
  <si>
    <t>Valsts speciālā budžeta savstarpējie transferti</t>
  </si>
  <si>
    <t>19.1.0.0.</t>
  </si>
  <si>
    <t>19.2.0.0.</t>
  </si>
  <si>
    <t>19.3.0.0.</t>
  </si>
  <si>
    <t>19.4.0.0.</t>
  </si>
  <si>
    <t>19.5.0.0.</t>
  </si>
  <si>
    <t>19.6.0.0.</t>
  </si>
  <si>
    <t xml:space="preserve"> Ieņēmumi no vienas pašvaldības cita budžeta veida</t>
  </si>
  <si>
    <t>Ieņēmumi pašvaldību budžetā no citām pašvaldībām</t>
  </si>
  <si>
    <t>Ieņēmumi no rajona padomēm</t>
  </si>
  <si>
    <t xml:space="preserve">Pašvaldību savstarpējie kapitālo izdevumu transferti </t>
  </si>
  <si>
    <t>Ieņēmumi valsts pamatbudžetā no pašvaldību budžeta</t>
  </si>
  <si>
    <t>Ieņēmumi valsts speciālajā budžetā no pašvaldību budžeta</t>
  </si>
  <si>
    <t>20.1.0.0.</t>
  </si>
  <si>
    <t>20.2.0.0.</t>
  </si>
  <si>
    <t>20.3.0.0.</t>
  </si>
  <si>
    <t>20.4.0.0.</t>
  </si>
  <si>
    <t>20.5.0.0.</t>
  </si>
  <si>
    <t>20.6.0.0.</t>
  </si>
  <si>
    <t>20.7.0.0.</t>
  </si>
  <si>
    <t>20.8.0.0.</t>
  </si>
  <si>
    <t xml:space="preserve"> Iemaksas valsts budžetā no Eiropas Savienības pirms pievienošanās finanšu palīdzības </t>
  </si>
  <si>
    <t xml:space="preserve"> Iemaksas valsts budžetā no Eiropas Savienības pārejas perioda finanšu palīdzības</t>
  </si>
  <si>
    <t xml:space="preserve">Ieņēmumi no struktūrfondiem </t>
  </si>
  <si>
    <t xml:space="preserve">Ieņēmumi no Kohēzijas fonda </t>
  </si>
  <si>
    <t xml:space="preserve">Ieņēmumi no Eiropas Savienības Kopējās lauksaimniecības un zivsaimniecības politikas īstenošanas instrumentiem </t>
  </si>
  <si>
    <t>Pārējie ieņēmumi no Eiropas Savienības</t>
  </si>
  <si>
    <t xml:space="preserve"> Atmaksa valsts budžetā par nepamatoti vai nepareizi veiktajiem izdevumiem par Eiropas Savienības politiku instrumentu finansēto projektu īstenošanu</t>
  </si>
  <si>
    <t xml:space="preserve">Ieņēmumi no parējām valstīm un institūcijām, kuras nav Eiropas Savienības dalībvalstis un Eiropas Savienības institūcijas  </t>
  </si>
  <si>
    <t xml:space="preserve">Budžeta iestādes ieņēmumi no ārvalstu finanšu palīdzības </t>
  </si>
  <si>
    <t>Ārvalstu finanšu palīdzības atmaksa valsts pamatbudžetā</t>
  </si>
  <si>
    <t xml:space="preserve"> Ieņēmumi no budžeta iestāžu sniegtajiem maksas pakalpojumiem un citi pašu ieņēmumi </t>
  </si>
  <si>
    <t xml:space="preserve"> Pārējie 21.3.0.0.grupā neklasificētie budžeta iestāžu ieņēmumi par budžeta iestāžu sniegtajiem maksas pakalpojumiem un citi pašu ieņēmumi</t>
  </si>
  <si>
    <t>Valsts sociālās apdrošināšanas speciālā budžeta ieņēmumi no valūtas kursa svārstībām</t>
  </si>
  <si>
    <t>Valsts sociālās apdrošināšanas speciālā budžeta ieņēmumi no (uz) depozīta(-u)</t>
  </si>
  <si>
    <t>Procentu ieņēmumi par valsts sociālās apdrošināšanas speciālā budžeta līdzekļiem depozītā vai kontu atlikumiem</t>
  </si>
  <si>
    <t>Citi valsts sociālās apdrošināšanas speciālā budžeta ieņēmumi saskaņā ar normatīvajiem aktiem</t>
  </si>
  <si>
    <t>Pārējās sociālās apdrošināšanas iemaksas</t>
  </si>
  <si>
    <t>Pārējie valsts sociālās apdrošināšanas speciālā budžeta ieņēmumi</t>
  </si>
  <si>
    <t>23.1.0.0.</t>
  </si>
  <si>
    <t>23.2.0.0.</t>
  </si>
  <si>
    <t>23.3.0.0.</t>
  </si>
  <si>
    <t>23.4.0.0.</t>
  </si>
  <si>
    <t>23.5.0.0.</t>
  </si>
  <si>
    <t>23.6.0.0.</t>
  </si>
  <si>
    <t xml:space="preserve"> Ziedojumu un dāvinājumu ieņēmumi no valūtas kursa svārstībām</t>
  </si>
  <si>
    <t xml:space="preserve">Ziedojumu un dāvinājumu ieņēmumi no (uz) depozīta(-u) </t>
  </si>
  <si>
    <t>Procentu ieņēmumi par ziedojumu un dāvinājumu budžeta līdzekļu  depozītā vai kontu atlikumiem</t>
  </si>
  <si>
    <t>Ziedojumi un dāvinājumi, kas saņemti no juridiskajām personām</t>
  </si>
  <si>
    <t xml:space="preserve"> Ziedojumi un dāvinājumi, kas saņemti no fiziskajām personām</t>
  </si>
  <si>
    <t xml:space="preserve"> Naturālā veidā saņemtie ziedojumi un dāvinājumi</t>
  </si>
  <si>
    <t>Naudas sodi un sankcijas</t>
  </si>
  <si>
    <t>Pārējie nenodokļu ieņēmumi</t>
  </si>
  <si>
    <t>1.0.</t>
  </si>
  <si>
    <t>1.1./1.1.0.0.</t>
  </si>
  <si>
    <t>1.2./1.2.0.0.</t>
  </si>
  <si>
    <t>1.3./2.0.0.0.</t>
  </si>
  <si>
    <t>1.4./4.0.0.0.</t>
  </si>
  <si>
    <t>1.6.</t>
  </si>
  <si>
    <t>1.7./6.0.0.0.</t>
  </si>
  <si>
    <t>1.8./5.4.0.0.</t>
  </si>
  <si>
    <t>1.9./5.5.0.0.</t>
  </si>
  <si>
    <t>2.0.</t>
  </si>
  <si>
    <t>4.0.</t>
  </si>
  <si>
    <t>Ārvalstu finanšu palīdzība</t>
  </si>
  <si>
    <t>3.0.</t>
  </si>
  <si>
    <t>Maksas pakalpojumi un citi pašu ieņēmumi</t>
  </si>
  <si>
    <t>5.0.</t>
  </si>
  <si>
    <t>Transferti</t>
  </si>
  <si>
    <t>3.0./21.3.0.0.</t>
  </si>
  <si>
    <t>3.0./21.4.0.0.</t>
  </si>
  <si>
    <t>3.0./22.1.0.0.</t>
  </si>
  <si>
    <t>3.0./22.2.0.0.</t>
  </si>
  <si>
    <t>3.0./22.3.0.0.</t>
  </si>
  <si>
    <t>1.3./22.5.0.0.</t>
  </si>
  <si>
    <t>1.1.</t>
  </si>
  <si>
    <t>1.2./4000</t>
  </si>
  <si>
    <t>1.3./3000</t>
  </si>
  <si>
    <t>1.3./6000</t>
  </si>
  <si>
    <t>1.4./7600</t>
  </si>
  <si>
    <t>1.4./7700</t>
  </si>
  <si>
    <t>1.5./7000</t>
  </si>
  <si>
    <t>2.1./5000</t>
  </si>
  <si>
    <t>2.2./9000</t>
  </si>
  <si>
    <t>1.3.</t>
  </si>
  <si>
    <t>Subsīdijas un dotācijas un sociālie pabalsti</t>
  </si>
  <si>
    <t>Komandējumi un dienesta braucieni</t>
  </si>
  <si>
    <t>Pakalpojumi</t>
  </si>
  <si>
    <t>Krājumi, materiāli, energoresursi, preces, biroja preces un inventārs, ko neuzskaita kodā 5000</t>
  </si>
  <si>
    <t>Budžeta iestāžu nodokļu maksājumi</t>
  </si>
  <si>
    <t>Pakalpojumi, kurus budžeta iestādes apmaksā noteikto funkciju ietvaros, kas nav iestādes administratīvie izdevumi</t>
  </si>
  <si>
    <t>Subsīdijas lauksaimniecības ražošanai</t>
  </si>
  <si>
    <t>Subsīdijas komersantiem sabiedriskā transporta pakalpojumu nodrošināšanai (par pasažieru regulārajiem pārvadājumiem)</t>
  </si>
  <si>
    <t>Procentu maksājumi ārvalstu un starptautiskajām finanšu institūcijām</t>
  </si>
  <si>
    <t>Procentu maksājumi iekšzemes kredītiestādēm</t>
  </si>
  <si>
    <t>Pārējie procentu maksājumi</t>
  </si>
  <si>
    <t>Nemateriālie ieguldījumi</t>
  </si>
  <si>
    <t>Pamatlīdzekļi</t>
  </si>
  <si>
    <t>Pensijas un sociālie pabalsti naudā</t>
  </si>
  <si>
    <t>Sociālie pabalsti natūrā</t>
  </si>
  <si>
    <t>1.4.</t>
  </si>
  <si>
    <t>Akcijas un cita līdzdalība komersantu pašu kapitālā, neskaitot kopieguldījuma fondu akcijas</t>
  </si>
  <si>
    <t>22.4.0.0.</t>
  </si>
  <si>
    <t>22.6.0.0.</t>
  </si>
  <si>
    <t>6.0.</t>
  </si>
  <si>
    <t>Ziedojumi un dāvinājumi</t>
  </si>
  <si>
    <t>21.1.0.0.</t>
  </si>
  <si>
    <t>21.2.0.0.</t>
  </si>
  <si>
    <t>4.2.</t>
  </si>
  <si>
    <t>Ārvalstu finanšu palīdzība iestādes ieņēmumos</t>
  </si>
  <si>
    <t>1.5./5.1.0.0.</t>
  </si>
  <si>
    <t xml:space="preserve">Ieņēmumi no juridisko personu ienākuma nodokļa </t>
  </si>
  <si>
    <t>III. Kopbudžeta izdevumi atbilstoši ekonomiskajām kategorijām</t>
  </si>
  <si>
    <t>II. Kopbudžeta izdevumi atbilstoši funkcionālajām kategorijām</t>
  </si>
  <si>
    <t>01.000</t>
  </si>
  <si>
    <t>02.000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</si>
  <si>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</si>
  <si>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</si>
  <si>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</si>
  <si>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</si>
  <si>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</si>
  <si>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</si>
  <si>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</si>
  <si>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</si>
  <si>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</si>
  <si>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</si>
  <si>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</si>
  <si>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</si>
  <si>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</si>
  <si>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10.000</t>
  </si>
  <si>
    <t>Sociālā aizsardzība</t>
  </si>
  <si>
    <t>Finansiālā bilance atbilstoši funkcionālajām kategorijām</t>
  </si>
  <si>
    <t>IV.Finansēšana</t>
  </si>
  <si>
    <t>F20010000</t>
  </si>
  <si>
    <t>F40010000</t>
  </si>
  <si>
    <t>F40020000</t>
  </si>
  <si>
    <t>F30010000</t>
  </si>
  <si>
    <t>F30020000</t>
  </si>
  <si>
    <t>F50010000</t>
  </si>
  <si>
    <t>F56010000</t>
  </si>
  <si>
    <t>Uzturēšanās izdevumu atmaksa valsts budžetam</t>
  </si>
  <si>
    <t>Atlīdzība</t>
  </si>
  <si>
    <t>korekcija par savstarpējiem maksājumiem</t>
  </si>
  <si>
    <t>Pārējie un citi VSAA speciālā budžeta ieņēmumi</t>
  </si>
  <si>
    <t>22.4.0.0.+
22.6.0.0.</t>
  </si>
  <si>
    <t>Iekasētais akcīzes nodoklis, ievedot preces izlaišanai brīvam apgrozījumam (importējot)</t>
  </si>
  <si>
    <t>Saimnieciskā gada konsolidētais plāns</t>
  </si>
  <si>
    <t>Nr. 1.8-17.12.1/2</t>
  </si>
  <si>
    <t>8.8.0.0.</t>
  </si>
  <si>
    <t>Ieņēmumi no valstij piederošo siltumnīcefekta gāzu emisijas vienību tirdzniecības</t>
  </si>
  <si>
    <t>14.0.0.0.</t>
  </si>
  <si>
    <t>Ieņēmumi no valsts rezervju pārdošanas</t>
  </si>
  <si>
    <t>4.1./ 20.0.0.0.</t>
  </si>
  <si>
    <t>Ārvalstu finanšu palīdzība budžetam - Ieņēmumi no Eiropas Savienības dalībvalstīm un Eiropas Savienības institūcijām un pārējām valstīm un institūcijām, kuras nav Eiropas Savienības dalībvalstis un Eiropas Savienības institūcijas</t>
  </si>
  <si>
    <t>Darba devēja valsts sociālās apdrošināšanas obligātās iemaksas, sociāla rakstura pabalsti un kompensācijas</t>
  </si>
  <si>
    <t>Valsts budžeta izpilde saimnieciskajā gadā</t>
  </si>
  <si>
    <t>Klasifikācijas kods</t>
  </si>
  <si>
    <t>Smilšu ielā 1, Rīgā, LV-1919, tālrunis (+371) 67094222, fakss (+371) 67094220, e-pasts: kase@kase.gov.lv, www.kase.gov.lv</t>
  </si>
  <si>
    <t>PĀRSKATS</t>
  </si>
  <si>
    <t>Iekšzemē iekasētais akcīzes nodoklis un nodokļa
 atmaksas</t>
  </si>
  <si>
    <t>Iekšzemē iekasētais akcīzes nodoklis naftas
 produktiem</t>
  </si>
  <si>
    <t>Kārtējie maksājumi Eiropas Kopienas budžetā un starptautiskā sadarbība</t>
  </si>
  <si>
    <t>Kārtējie maksājumi Eiropas Kopienas budžetā</t>
  </si>
  <si>
    <t>Valsts budžeta mērķdotācijas uzturēšanās izdevumiem pašvaldībām</t>
  </si>
  <si>
    <t>Valsts budžeta dotācijas un citi transferti pašvaldībām un no valsts budžeta daļēji finansētajām atvasinātajām publiskajām personām (izņemot pašvaldības)</t>
  </si>
  <si>
    <t>Pašvaldības budžeta transferti kapitālajiem izdevumiem starp dažādiem budžeta veidiem</t>
  </si>
  <si>
    <t>Valsts budžeta mērķdotācija kapitālajiem izdevumiem pašvaldībām</t>
  </si>
  <si>
    <t>Atalgojums</t>
  </si>
  <si>
    <t>Izdevumi periodikas iegādei</t>
  </si>
  <si>
    <t>Subsīdijas un dotācijas komersantiem, biedrībām un nodibinājumiem, izņemot lauksaimniecības ražošanu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</si>
  <si>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</si>
  <si>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Īpašajās programmās plānotās un ar Ministru kabineta rīkojumu sadalāmās apropriācijas</t>
  </si>
  <si>
    <t>Izdevumi par kapitāla daļu pārdošanu un pārvērtēšanu, vērtspapīru tirdzniecību un pārvērtēšanu un kapitāla daļu iegādi</t>
  </si>
  <si>
    <t>Pārējie klasifikācijā neminētie maksājumi iedzīvotājiem natūrā un kompensācijas</t>
  </si>
  <si>
    <t>Kompensācijas, kuras Latvijas valsts izmaksā personām, pamatojoties uz Eiropas Kopienu Tiesas lēmumu</t>
  </si>
  <si>
    <t>Lansmane, 67094239</t>
  </si>
  <si>
    <t>Dažādi izdevumi, kas veidojas pēc uzkrāšanas principa un nav klasificēti iepriekš</t>
  </si>
  <si>
    <t>Ieņēmumi valsts speciālajā budžetā no valsts sociālās apdrošināšanas obligāto iemaksu sadales</t>
  </si>
  <si>
    <t>Iemaksas no pārbaudēs atklātām slēpto un samazināto
 ienākumu summām</t>
  </si>
  <si>
    <t>Soda sankcijas par vispārējiem nodokļu maksāšanas
 pārkāpumiem</t>
  </si>
  <si>
    <t>Naudas sodi par valsts budžeta līdzfinansējuma neattaisnotajiem izdevumiem</t>
  </si>
  <si>
    <t>Naudas sodi par Eiropas Savienības līdzfinansējuma neattaisnotajiem izdevumiem</t>
  </si>
  <si>
    <t>Nenodokļu ieņēmumi un ieņēmumi no zaudējumu atlīdzībām un kompensācijām</t>
  </si>
  <si>
    <t>Ieņēmumi no pašvaldību kustamā īpašuma un mantas
 realizācijas</t>
  </si>
  <si>
    <t xml:space="preserve">Uzturēšanas izdevumu transferti valsts speciālajā budžetā no valsts pamatbudžeta </t>
  </si>
  <si>
    <t>Valsts speciālajā budžetā saņemtie valsts pamatbudžeta kapitālo izdevumu transferti</t>
  </si>
  <si>
    <t>Transferta ieņēmumi valsts pamatbudžetā no valsts
 speciālā budžeta</t>
  </si>
  <si>
    <t>Pašvaldību budžetā saņemtie uzturēšanas izdevumu transferti no valsts budžeta</t>
  </si>
  <si>
    <t>Pašvaldību budžetā saņemtie kapitālo izdevumu transferti un mērķdotācijas no valsts budžeta</t>
  </si>
  <si>
    <t>Pašvaldību budžetā saņemtie valsts budžeta transferti Eiropas Savienības struktūrfondu finansēto projektu īstenošanai</t>
  </si>
  <si>
    <t>Pašvaldību speciālajā budžetā saņemtie valsts budžeta
 transferti un mērķdotācijas</t>
  </si>
  <si>
    <t>korekcija par savstarpējiem maksājumiem (% ieņēmumiem)</t>
  </si>
  <si>
    <t>korekcija par savstarpējiem maksājumiem (%)</t>
  </si>
  <si>
    <t>korekcija par privatizācijas izdevumiem</t>
  </si>
  <si>
    <t>8100</t>
  </si>
  <si>
    <t>Zaudējumi no valūtas kursa svārstībām attiecībā uz ārvalstu finanšu palīdzības līdzekļiem</t>
  </si>
  <si>
    <t>8200</t>
  </si>
  <si>
    <t>Zaudējumi no valūtas kursa svārstībām attiecībā uz budžeta iestāžu sniegtajiem maksas pakalpojumiem un citiem pašu ieņēmumu līdzekļiem</t>
  </si>
  <si>
    <t>8300</t>
  </si>
  <si>
    <t>Zaudējumi no valūtas kursa svārstībām attiecībā uz speciālā budžeta ieņēmumiem</t>
  </si>
  <si>
    <t>8400</t>
  </si>
  <si>
    <t>Zaudējumi no valūtas kursa svārstībām attiecībā uz ziedojumu un dāvinājumu līdzekļiem</t>
  </si>
  <si>
    <t>8500</t>
  </si>
  <si>
    <t>Zaudējumi no valūtas kursa svārstībām attiecībā uz kodos 8100 un 8200 neuzskaitītajiem pamatbudžeta līdzekļiem</t>
  </si>
  <si>
    <t>8600</t>
  </si>
  <si>
    <t>Izdevumi no šaubīgo debitoru parādu norakstīšanas</t>
  </si>
  <si>
    <t>8900</t>
  </si>
  <si>
    <t>Pārējie iepriekš neuzskaitītie izdevumi, kas veidojas pēc uzkrāšanas principa un nav uzskaitīti kodos 8100, 8200, 8300, 8400, 8500 un 8600</t>
  </si>
  <si>
    <t xml:space="preserve">Daļēji no valsts budžeta finansētas atvasinātas publiskas personas </t>
  </si>
  <si>
    <t>*ailē "Valsts budžeta izpilde saimnieciskajā gadā/ Pamatbudžets" uzrādīti kopējie budžeta finansēšanas līdzekļi</t>
  </si>
  <si>
    <t>Naudas līdzekļi un noguldījumi *</t>
  </si>
  <si>
    <t>Pārējie izdevumi, kas veidojas pēc uzkrāšanas principa un nav klasificēti iepriekš</t>
  </si>
  <si>
    <r>
      <t xml:space="preserve">Valsts budžeta </t>
    </r>
    <r>
      <rPr>
        <sz val="10"/>
        <color indexed="10"/>
        <rFont val="Times New Roman"/>
        <family val="1"/>
      </rPr>
      <t>plāna</t>
    </r>
    <r>
      <rPr>
        <sz val="10"/>
        <rFont val="Times New Roman"/>
        <family val="1"/>
      </rPr>
      <t xml:space="preserve"> konsolidācija 2010.gadā</t>
    </r>
  </si>
  <si>
    <t>Valsts konsolidētā budžeta izpilde 2010. gadā (ieskaitot ziedojumus un dāvinājumus)</t>
  </si>
  <si>
    <t>30.06.2011.</t>
  </si>
  <si>
    <t>Korekcija</t>
  </si>
  <si>
    <t>7.0.0.0.</t>
  </si>
  <si>
    <t>Nodokļu ieņēmumi, kas kompleksi apvieno dažādu 
nodokļu ieņēmumu grupas</t>
  </si>
  <si>
    <t>VK aizņēmumi_ārējais parāds</t>
  </si>
  <si>
    <t>VK aizņēmumi_iekšējais parāds</t>
  </si>
  <si>
    <t>Finansēšanas kategorija</t>
  </si>
  <si>
    <t xml:space="preserve">Pārskats vai </t>
  </si>
  <si>
    <t>Darījums</t>
  </si>
  <si>
    <t>Atskaite no DN- 
Vērtspapīru dati - nomināls, emisijas vērt. - ZACF_Z_CF_VERTSP_EM_DZES</t>
  </si>
  <si>
    <t>2.sējums_13.pielikums</t>
  </si>
  <si>
    <t>korekcija par studiju kredīta atmaksas pamatsummu</t>
  </si>
  <si>
    <t>2.sējums_19.1.pielikums</t>
  </si>
  <si>
    <t>2.sējums_19.2.pielikums</t>
  </si>
  <si>
    <t xml:space="preserve">korekcija par ieņēmumiem LHZB kontā no akciju pārdošanas </t>
  </si>
  <si>
    <t>korekcija par likvidētās budžeta iestādes atlikumu</t>
  </si>
  <si>
    <t>korekcija par pamatbudžetā neuzrādītajiem 
ieņēmumiem no atmaksām no DNAF</t>
  </si>
  <si>
    <t>korekcija par EKK koda labojumu</t>
  </si>
  <si>
    <t>korekcija par naudas līdzekļiem</t>
  </si>
  <si>
    <t>ministriju aizņēmumi (bez VSAA un atvasin publ person)</t>
  </si>
  <si>
    <t xml:space="preserve">Finansēšana pamatbudžetam </t>
  </si>
  <si>
    <t>Nodokļu ieņēmumi, kas kompleksi
 apvieno dažādu  nodokļu ieņēmumu grupas</t>
  </si>
  <si>
    <t>korekcija par aizņēmumiem no valsts budžeta</t>
  </si>
  <si>
    <t>korekcija par aizdevumiem no valsts budžeta</t>
  </si>
  <si>
    <t>Pārvaldnieka vietā-
pārvaldnieka vietniece</t>
  </si>
  <si>
    <t>G.Medne</t>
  </si>
  <si>
    <t>Nr. 1.8-17.12.1/VBI2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</si>
</sst>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00&quot;.&quot;000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i/>
      <sz val="10"/>
      <color indexed="48"/>
      <name val="Times New Roman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10"/>
      <color indexed="30"/>
      <name val="Times New Roman"/>
      <family val="1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5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52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6" borderId="0" applyNumberFormat="0" applyBorder="0" applyAlignment="0" applyProtection="0"/>
    <xf numFmtId="0" fontId="20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8" borderId="1" applyNumberFormat="0" applyAlignment="0" applyProtection="0"/>
    <xf numFmtId="0" fontId="55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0" borderId="6" applyNumberFormat="0" applyFill="0" applyAlignment="0" applyProtection="0"/>
    <xf numFmtId="0" fontId="6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6" borderId="7" applyNumberFormat="0" applyFont="0" applyAlignment="0" applyProtection="0"/>
    <xf numFmtId="0" fontId="64" fillId="38" borderId="8" applyNumberFormat="0" applyAlignment="0" applyProtection="0"/>
    <xf numFmtId="9" fontId="0" fillId="0" borderId="0" applyFont="0" applyFill="0" applyBorder="0" applyAlignment="0" applyProtection="0"/>
    <xf numFmtId="4" fontId="22" fillId="47" borderId="9" applyNumberFormat="0" applyProtection="0">
      <alignment vertical="center"/>
    </xf>
    <xf numFmtId="4" fontId="23" fillId="47" borderId="9" applyNumberFormat="0" applyProtection="0">
      <alignment vertical="center"/>
    </xf>
    <xf numFmtId="4" fontId="22" fillId="47" borderId="9" applyNumberFormat="0" applyProtection="0">
      <alignment horizontal="left" vertical="center" indent="1"/>
    </xf>
    <xf numFmtId="0" fontId="22" fillId="47" borderId="9" applyNumberFormat="0" applyProtection="0">
      <alignment horizontal="left" vertical="top" indent="1"/>
    </xf>
    <xf numFmtId="4" fontId="22" fillId="48" borderId="0" applyNumberFormat="0" applyProtection="0">
      <alignment horizontal="left" vertical="center" indent="1"/>
    </xf>
    <xf numFmtId="4" fontId="24" fillId="49" borderId="9" applyNumberFormat="0" applyProtection="0">
      <alignment horizontal="right" vertical="center"/>
    </xf>
    <xf numFmtId="4" fontId="24" fillId="50" borderId="9" applyNumberFormat="0" applyProtection="0">
      <alignment horizontal="right" vertical="center"/>
    </xf>
    <xf numFmtId="4" fontId="24" fillId="51" borderId="9" applyNumberFormat="0" applyProtection="0">
      <alignment horizontal="right" vertical="center"/>
    </xf>
    <xf numFmtId="4" fontId="24" fillId="52" borderId="9" applyNumberFormat="0" applyProtection="0">
      <alignment horizontal="right" vertical="center"/>
    </xf>
    <xf numFmtId="4" fontId="24" fillId="53" borderId="9" applyNumberFormat="0" applyProtection="0">
      <alignment horizontal="right" vertical="center"/>
    </xf>
    <xf numFmtId="4" fontId="24" fillId="54" borderId="9" applyNumberFormat="0" applyProtection="0">
      <alignment horizontal="right" vertical="center"/>
    </xf>
    <xf numFmtId="4" fontId="24" fillId="55" borderId="9" applyNumberFormat="0" applyProtection="0">
      <alignment horizontal="right" vertical="center"/>
    </xf>
    <xf numFmtId="4" fontId="24" fillId="56" borderId="9" applyNumberFormat="0" applyProtection="0">
      <alignment horizontal="right" vertical="center"/>
    </xf>
    <xf numFmtId="4" fontId="24" fillId="57" borderId="9" applyNumberFormat="0" applyProtection="0">
      <alignment horizontal="right" vertical="center"/>
    </xf>
    <xf numFmtId="4" fontId="22" fillId="58" borderId="10" applyNumberFormat="0" applyProtection="0">
      <alignment horizontal="left" vertical="center" indent="1"/>
    </xf>
    <xf numFmtId="4" fontId="24" fillId="59" borderId="0" applyNumberFormat="0" applyProtection="0">
      <alignment horizontal="left" vertical="center" indent="1"/>
    </xf>
    <xf numFmtId="4" fontId="25" fillId="60" borderId="0" applyNumberFormat="0" applyProtection="0">
      <alignment horizontal="left" vertical="center" indent="1"/>
    </xf>
    <xf numFmtId="4" fontId="24" fillId="48" borderId="9" applyNumberFormat="0" applyProtection="0">
      <alignment horizontal="right" vertical="center"/>
    </xf>
    <xf numFmtId="4" fontId="24" fillId="59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24" fillId="63" borderId="9" applyNumberFormat="0" applyProtection="0">
      <alignment vertical="center"/>
    </xf>
    <xf numFmtId="4" fontId="26" fillId="63" borderId="9" applyNumberFormat="0" applyProtection="0">
      <alignment vertical="center"/>
    </xf>
    <xf numFmtId="4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4" fontId="24" fillId="59" borderId="9" applyNumberFormat="0" applyProtection="0">
      <alignment horizontal="right" vertical="center"/>
    </xf>
    <xf numFmtId="4" fontId="26" fillId="59" borderId="9" applyNumberFormat="0" applyProtection="0">
      <alignment horizontal="right" vertical="center"/>
    </xf>
    <xf numFmtId="4" fontId="24" fillId="48" borderId="9" applyNumberFormat="0" applyProtection="0">
      <alignment horizontal="left" vertical="center" indent="1"/>
    </xf>
    <xf numFmtId="0" fontId="24" fillId="48" borderId="9" applyNumberFormat="0" applyProtection="0">
      <alignment horizontal="left" vertical="top" indent="1"/>
    </xf>
    <xf numFmtId="4" fontId="27" fillId="64" borderId="0" applyNumberFormat="0" applyProtection="0">
      <alignment horizontal="left" vertical="center" indent="1"/>
    </xf>
    <xf numFmtId="4" fontId="28" fillId="59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78" applyFont="1" applyFill="1">
      <alignment/>
      <protection/>
    </xf>
    <xf numFmtId="0" fontId="1" fillId="0" borderId="0" xfId="78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78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2" fillId="65" borderId="14" xfId="0" applyFont="1" applyFill="1" applyBorder="1" applyAlignment="1">
      <alignment horizontal="center" wrapText="1"/>
    </xf>
    <xf numFmtId="3" fontId="2" fillId="65" borderId="14" xfId="0" applyNumberFormat="1" applyFont="1" applyFill="1" applyBorder="1" applyAlignment="1">
      <alignment/>
    </xf>
    <xf numFmtId="172" fontId="2" fillId="65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2" fillId="65" borderId="14" xfId="0" applyNumberFormat="1" applyFont="1" applyFill="1" applyBorder="1" applyAlignment="1">
      <alignment horizontal="right"/>
    </xf>
    <xf numFmtId="0" fontId="2" fillId="65" borderId="14" xfId="0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77" applyFont="1">
      <alignment/>
      <protection/>
    </xf>
    <xf numFmtId="0" fontId="13" fillId="0" borderId="0" xfId="77" applyFont="1" applyAlignment="1">
      <alignment vertical="top" wrapText="1"/>
      <protection/>
    </xf>
    <xf numFmtId="175" fontId="1" fillId="0" borderId="0" xfId="77" applyNumberFormat="1" applyFont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5" xfId="78" applyFont="1" applyFill="1" applyBorder="1" applyAlignment="1">
      <alignment horizontal="center"/>
      <protection/>
    </xf>
    <xf numFmtId="3" fontId="1" fillId="0" borderId="15" xfId="78" applyNumberFormat="1" applyFont="1" applyFill="1" applyBorder="1" applyAlignment="1">
      <alignment horizontal="center"/>
      <protection/>
    </xf>
    <xf numFmtId="0" fontId="1" fillId="0" borderId="15" xfId="78" applyFont="1" applyFill="1" applyBorder="1">
      <alignment/>
      <protection/>
    </xf>
    <xf numFmtId="0" fontId="16" fillId="0" borderId="14" xfId="0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0" xfId="77" applyFont="1" applyFill="1">
      <alignment/>
      <protection/>
    </xf>
    <xf numFmtId="0" fontId="8" fillId="0" borderId="1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65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3" fontId="16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2" fillId="0" borderId="14" xfId="0" applyNumberFormat="1" applyFont="1" applyFill="1" applyBorder="1" applyAlignment="1">
      <alignment horizontal="center"/>
    </xf>
    <xf numFmtId="173" fontId="17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2" fillId="0" borderId="0" xfId="76" applyNumberFormat="1" applyFont="1" applyFill="1" applyBorder="1" applyAlignment="1">
      <alignment horizontal="left" wrapText="1"/>
      <protection/>
    </xf>
    <xf numFmtId="3" fontId="1" fillId="62" borderId="14" xfId="0" applyNumberFormat="1" applyFont="1" applyFill="1" applyBorder="1" applyAlignment="1">
      <alignment/>
    </xf>
    <xf numFmtId="0" fontId="9" fillId="56" borderId="14" xfId="0" applyFont="1" applyFill="1" applyBorder="1" applyAlignment="1">
      <alignment horizontal="center"/>
    </xf>
    <xf numFmtId="0" fontId="9" fillId="56" borderId="14" xfId="0" applyFont="1" applyFill="1" applyBorder="1" applyAlignment="1">
      <alignment wrapText="1"/>
    </xf>
    <xf numFmtId="3" fontId="9" fillId="56" borderId="14" xfId="0" applyNumberFormat="1" applyFont="1" applyFill="1" applyBorder="1" applyAlignment="1">
      <alignment/>
    </xf>
    <xf numFmtId="3" fontId="9" fillId="56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/>
    </xf>
    <xf numFmtId="173" fontId="31" fillId="0" borderId="14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top"/>
    </xf>
    <xf numFmtId="3" fontId="32" fillId="0" borderId="14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/>
    </xf>
    <xf numFmtId="3" fontId="12" fillId="62" borderId="14" xfId="0" applyNumberFormat="1" applyFont="1" applyFill="1" applyBorder="1" applyAlignment="1">
      <alignment/>
    </xf>
    <xf numFmtId="3" fontId="17" fillId="62" borderId="14" xfId="0" applyNumberFormat="1" applyFont="1" applyFill="1" applyBorder="1" applyAlignment="1">
      <alignment/>
    </xf>
    <xf numFmtId="3" fontId="17" fillId="62" borderId="14" xfId="0" applyNumberFormat="1" applyFont="1" applyFill="1" applyBorder="1" applyAlignment="1">
      <alignment horizontal="right"/>
    </xf>
    <xf numFmtId="3" fontId="1" fillId="62" borderId="14" xfId="0" applyNumberFormat="1" applyFont="1" applyFill="1" applyBorder="1" applyAlignment="1">
      <alignment horizontal="right"/>
    </xf>
    <xf numFmtId="3" fontId="12" fillId="62" borderId="14" xfId="0" applyNumberFormat="1" applyFont="1" applyFill="1" applyBorder="1" applyAlignment="1">
      <alignment horizontal="right"/>
    </xf>
    <xf numFmtId="3" fontId="16" fillId="62" borderId="14" xfId="0" applyNumberFormat="1" applyFont="1" applyFill="1" applyBorder="1" applyAlignment="1">
      <alignment/>
    </xf>
    <xf numFmtId="3" fontId="16" fillId="62" borderId="14" xfId="0" applyNumberFormat="1" applyFont="1" applyFill="1" applyBorder="1" applyAlignment="1">
      <alignment horizontal="right"/>
    </xf>
    <xf numFmtId="3" fontId="9" fillId="62" borderId="14" xfId="0" applyNumberFormat="1" applyFont="1" applyFill="1" applyBorder="1" applyAlignment="1">
      <alignment horizontal="right"/>
    </xf>
    <xf numFmtId="3" fontId="32" fillId="62" borderId="14" xfId="0" applyNumberFormat="1" applyFont="1" applyFill="1" applyBorder="1" applyAlignment="1">
      <alignment/>
    </xf>
    <xf numFmtId="3" fontId="32" fillId="62" borderId="14" xfId="0" applyNumberFormat="1" applyFont="1" applyFill="1" applyBorder="1" applyAlignment="1">
      <alignment horizontal="right"/>
    </xf>
    <xf numFmtId="3" fontId="2" fillId="62" borderId="14" xfId="0" applyNumberFormat="1" applyFont="1" applyFill="1" applyBorder="1" applyAlignment="1">
      <alignment horizontal="right"/>
    </xf>
    <xf numFmtId="3" fontId="2" fillId="62" borderId="14" xfId="0" applyNumberFormat="1" applyFont="1" applyFill="1" applyBorder="1" applyAlignment="1">
      <alignment/>
    </xf>
    <xf numFmtId="3" fontId="1" fillId="56" borderId="14" xfId="0" applyNumberFormat="1" applyFont="1" applyFill="1" applyBorder="1" applyAlignment="1">
      <alignment horizontal="right"/>
    </xf>
    <xf numFmtId="3" fontId="10" fillId="62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 wrapText="1"/>
    </xf>
    <xf numFmtId="0" fontId="6" fillId="0" borderId="0" xfId="0" applyFont="1" applyAlignment="1">
      <alignment/>
    </xf>
    <xf numFmtId="3" fontId="12" fillId="66" borderId="14" xfId="0" applyNumberFormat="1" applyFont="1" applyFill="1" applyBorder="1" applyAlignment="1">
      <alignment/>
    </xf>
    <xf numFmtId="0" fontId="33" fillId="0" borderId="14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wrapText="1"/>
    </xf>
    <xf numFmtId="3" fontId="33" fillId="0" borderId="14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3" fontId="1" fillId="62" borderId="0" xfId="0" applyNumberFormat="1" applyFont="1" applyFill="1" applyAlignment="1">
      <alignment/>
    </xf>
    <xf numFmtId="0" fontId="1" fillId="62" borderId="0" xfId="0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1" fillId="62" borderId="14" xfId="0" applyFont="1" applyFill="1" applyBorder="1" applyAlignment="1">
      <alignment horizontal="center"/>
    </xf>
    <xf numFmtId="0" fontId="2" fillId="62" borderId="14" xfId="0" applyFont="1" applyFill="1" applyBorder="1" applyAlignment="1">
      <alignment horizontal="left"/>
    </xf>
    <xf numFmtId="3" fontId="2" fillId="62" borderId="14" xfId="0" applyNumberFormat="1" applyFont="1" applyFill="1" applyBorder="1" applyAlignment="1">
      <alignment/>
    </xf>
    <xf numFmtId="3" fontId="1" fillId="62" borderId="0" xfId="0" applyNumberFormat="1" applyFont="1" applyFill="1" applyAlignment="1">
      <alignment/>
    </xf>
    <xf numFmtId="0" fontId="1" fillId="62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6" fillId="0" borderId="0" xfId="77" applyNumberFormat="1" applyFont="1" applyBorder="1" applyAlignment="1">
      <alignment horizontal="center" vertical="center" wrapText="1"/>
      <protection/>
    </xf>
    <xf numFmtId="0" fontId="1" fillId="0" borderId="0" xfId="77" applyFont="1" applyAlignment="1">
      <alignment horizontal="center"/>
      <protection/>
    </xf>
    <xf numFmtId="0" fontId="13" fillId="0" borderId="0" xfId="77" applyFont="1" applyAlignment="1">
      <alignment vertical="top" wrapText="1"/>
      <protection/>
    </xf>
    <xf numFmtId="0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4 2" xfId="76"/>
    <cellStyle name="Normal_2.17_Valsts_budzeta_izpilde" xfId="77"/>
    <cellStyle name="Normal_Soc-m" xfId="78"/>
    <cellStyle name="Note" xfId="79"/>
    <cellStyle name="Output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itle" xfId="122"/>
    <cellStyle name="Total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1028700</xdr:colOff>
      <xdr:row>0</xdr:row>
      <xdr:rowOff>142875</xdr:rowOff>
    </xdr:from>
    <xdr:to>
      <xdr:col>11</xdr:col>
      <xdr:colOff>57150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76950" y="142875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1028700</xdr:colOff>
      <xdr:row>0</xdr:row>
      <xdr:rowOff>142875</xdr:rowOff>
    </xdr:from>
    <xdr:to>
      <xdr:col>11</xdr:col>
      <xdr:colOff>57150</xdr:colOff>
      <xdr:row>0</xdr:row>
      <xdr:rowOff>809625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14900" y="14287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9"/>
  <sheetViews>
    <sheetView tabSelected="1" zoomScale="84" zoomScaleNormal="84" zoomScaleSheetLayoutView="75" zoomScalePageLayoutView="0" workbookViewId="0" topLeftCell="A97">
      <selection activeCell="B8" sqref="B8"/>
    </sheetView>
  </sheetViews>
  <sheetFormatPr defaultColWidth="9.140625" defaultRowHeight="12.75"/>
  <cols>
    <col min="1" max="1" width="11.421875" style="8" customWidth="1"/>
    <col min="2" max="2" width="48.421875" style="6" customWidth="1"/>
    <col min="3" max="3" width="15.28125" style="7" hidden="1" customWidth="1"/>
    <col min="4" max="4" width="15.421875" style="7" hidden="1" customWidth="1"/>
    <col min="5" max="5" width="12.7109375" style="7" hidden="1" customWidth="1"/>
    <col min="6" max="6" width="13.8515625" style="7" hidden="1" customWidth="1"/>
    <col min="7" max="7" width="14.00390625" style="7" hidden="1" customWidth="1"/>
    <col min="8" max="8" width="15.28125" style="7" hidden="1" customWidth="1"/>
    <col min="9" max="9" width="15.8515625" style="7" customWidth="1"/>
    <col min="10" max="11" width="15.7109375" style="7" customWidth="1"/>
    <col min="12" max="12" width="13.28125" style="7" customWidth="1"/>
    <col min="13" max="13" width="14.28125" style="7" customWidth="1"/>
    <col min="14" max="14" width="15.7109375" style="7" customWidth="1"/>
    <col min="15" max="15" width="12.57421875" style="7" customWidth="1"/>
    <col min="16" max="16" width="14.421875" style="6" customWidth="1"/>
    <col min="17" max="17" width="14.140625" style="6" customWidth="1"/>
    <col min="18" max="18" width="14.00390625" style="6" customWidth="1"/>
    <col min="19" max="19" width="14.7109375" style="6" customWidth="1"/>
    <col min="20" max="20" width="9.140625" style="6" customWidth="1"/>
    <col min="21" max="21" width="14.7109375" style="6" customWidth="1"/>
    <col min="22" max="16384" width="9.140625" style="6" customWidth="1"/>
  </cols>
  <sheetData>
    <row r="1" spans="2:17" s="10" customFormat="1" ht="80.25" customHeight="1">
      <c r="B1" s="11"/>
      <c r="C1" s="11"/>
      <c r="D1" s="11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1"/>
      <c r="Q1" s="71"/>
    </row>
    <row r="2" spans="1:17" s="55" customFormat="1" ht="18" customHeight="1">
      <c r="A2" s="165" t="s">
        <v>300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56" customFormat="1" ht="28.5" customHeight="1">
      <c r="A3" s="166" t="s">
        <v>301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56" customFormat="1" ht="12.75" customHeight="1">
      <c r="A4" s="167" t="s">
        <v>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s="56" customFormat="1" ht="12.75" customHeight="1">
      <c r="A5" s="168" t="s">
        <v>357</v>
      </c>
      <c r="B5" s="168"/>
      <c r="C5" s="57"/>
      <c r="D5" s="57"/>
      <c r="F5" s="58"/>
      <c r="G5" s="58"/>
      <c r="H5" s="58"/>
      <c r="I5" s="83"/>
      <c r="Q5" s="13" t="s">
        <v>383</v>
      </c>
    </row>
    <row r="6" spans="1:17" s="59" customFormat="1" ht="17.25" customHeight="1">
      <c r="A6" s="169" t="s">
        <v>37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pans="1:26" s="61" customFormat="1" ht="15.75">
      <c r="A7" s="170" t="s">
        <v>356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60"/>
      <c r="S7" s="60"/>
      <c r="T7" s="60"/>
      <c r="U7" s="60"/>
      <c r="V7" s="60"/>
      <c r="W7" s="60"/>
      <c r="X7" s="60"/>
      <c r="Y7" s="60"/>
      <c r="Z7" s="60"/>
    </row>
    <row r="8" spans="1:17" s="64" customFormat="1" ht="17.25" customHeight="1">
      <c r="A8" s="62"/>
      <c r="B8" s="63"/>
      <c r="C8" s="63"/>
      <c r="D8" s="63"/>
      <c r="E8" s="63"/>
      <c r="F8" s="63"/>
      <c r="G8" s="63"/>
      <c r="H8" s="63"/>
      <c r="I8" s="84"/>
      <c r="Q8" s="68" t="s">
        <v>0</v>
      </c>
    </row>
    <row r="9" spans="1:17" s="3" customFormat="1" ht="12.75" customHeight="1">
      <c r="A9" s="171" t="s">
        <v>299</v>
      </c>
      <c r="B9" s="171" t="s">
        <v>1</v>
      </c>
      <c r="C9" s="157" t="s">
        <v>355</v>
      </c>
      <c r="D9" s="158"/>
      <c r="E9" s="158"/>
      <c r="F9" s="158"/>
      <c r="G9" s="158"/>
      <c r="H9" s="159"/>
      <c r="I9" s="160" t="s">
        <v>289</v>
      </c>
      <c r="J9" s="162" t="s">
        <v>298</v>
      </c>
      <c r="K9" s="163"/>
      <c r="L9" s="163"/>
      <c r="M9" s="163"/>
      <c r="N9" s="163"/>
      <c r="O9" s="163"/>
      <c r="P9" s="163"/>
      <c r="Q9" s="164"/>
    </row>
    <row r="10" spans="1:17" s="3" customFormat="1" ht="123" customHeight="1">
      <c r="A10" s="172"/>
      <c r="B10" s="173"/>
      <c r="C10" s="65" t="s">
        <v>2</v>
      </c>
      <c r="D10" s="65" t="s">
        <v>3</v>
      </c>
      <c r="E10" s="65" t="s">
        <v>4</v>
      </c>
      <c r="F10" s="66" t="s">
        <v>351</v>
      </c>
      <c r="G10" s="66" t="s">
        <v>5</v>
      </c>
      <c r="H10" s="67" t="s">
        <v>6</v>
      </c>
      <c r="I10" s="161"/>
      <c r="J10" s="15" t="s">
        <v>2</v>
      </c>
      <c r="K10" s="15" t="s">
        <v>3</v>
      </c>
      <c r="L10" s="15" t="s">
        <v>4</v>
      </c>
      <c r="M10" s="66" t="s">
        <v>351</v>
      </c>
      <c r="N10" s="14" t="s">
        <v>5</v>
      </c>
      <c r="O10" s="16" t="s">
        <v>358</v>
      </c>
      <c r="P10" s="16" t="s">
        <v>6</v>
      </c>
      <c r="Q10" s="14" t="s">
        <v>7</v>
      </c>
    </row>
    <row r="11" spans="1:17" s="3" customFormat="1" ht="12.75">
      <c r="A11" s="17">
        <v>1</v>
      </c>
      <c r="B11" s="18">
        <v>2</v>
      </c>
      <c r="C11" s="19">
        <v>4</v>
      </c>
      <c r="D11" s="19">
        <v>5</v>
      </c>
      <c r="E11" s="19">
        <v>6</v>
      </c>
      <c r="F11" s="19">
        <v>7</v>
      </c>
      <c r="G11" s="19">
        <v>8</v>
      </c>
      <c r="H11" s="20">
        <v>9</v>
      </c>
      <c r="I11" s="19">
        <v>3</v>
      </c>
      <c r="J11" s="19">
        <v>4</v>
      </c>
      <c r="K11" s="19">
        <v>5</v>
      </c>
      <c r="L11" s="19">
        <v>6</v>
      </c>
      <c r="M11" s="19">
        <v>7</v>
      </c>
      <c r="N11" s="19">
        <v>8</v>
      </c>
      <c r="O11" s="19">
        <v>9</v>
      </c>
      <c r="P11" s="20">
        <v>10</v>
      </c>
      <c r="Q11" s="19">
        <v>11</v>
      </c>
    </row>
    <row r="12" spans="1:17" s="3" customFormat="1" ht="12.75">
      <c r="A12" s="85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22" s="156" customFormat="1" ht="12.75">
      <c r="A13" s="152"/>
      <c r="B13" s="153" t="s">
        <v>8</v>
      </c>
      <c r="C13" s="154">
        <f aca="true" t="shared" si="0" ref="C13:H13">C14+C40+C84+C94+C110+C137</f>
        <v>2709445939</v>
      </c>
      <c r="D13" s="154">
        <f t="shared" si="0"/>
        <v>1188633939</v>
      </c>
      <c r="E13" s="154">
        <f t="shared" si="0"/>
        <v>0</v>
      </c>
      <c r="F13" s="154">
        <f t="shared" si="0"/>
        <v>213807615</v>
      </c>
      <c r="G13" s="154">
        <f t="shared" si="0"/>
        <v>4111887493</v>
      </c>
      <c r="H13" s="154">
        <f t="shared" si="0"/>
        <v>-235614402</v>
      </c>
      <c r="I13" s="154">
        <f>I14+I40+I84+I94+I110</f>
        <v>3876273091</v>
      </c>
      <c r="J13" s="154">
        <f>J14+J40+J84+J94+J110+J137</f>
        <v>2622746526</v>
      </c>
      <c r="K13" s="154">
        <f>K14+K40+K84+K94+K110+K137</f>
        <v>1178107533</v>
      </c>
      <c r="L13" s="154">
        <f>L14+L40+L84+L94+L110+L137</f>
        <v>3672618</v>
      </c>
      <c r="M13" s="154">
        <f>M14+M40+M84+M94+M110+M137</f>
        <v>227485748</v>
      </c>
      <c r="N13" s="154">
        <f>N14+N40+N84+N94+N110+N137</f>
        <v>4032012425</v>
      </c>
      <c r="O13" s="154">
        <f>O40+O110+O94</f>
        <v>-247505</v>
      </c>
      <c r="P13" s="154">
        <f>P14+P40+P84+P94+P110+P137</f>
        <v>-243742555</v>
      </c>
      <c r="Q13" s="154">
        <f>Q14+Q40+Q84+Q94+Q110+Q137</f>
        <v>3788022365</v>
      </c>
      <c r="R13" s="155">
        <f>J13+K13+L13+M13+O13+P13</f>
        <v>3788022365</v>
      </c>
      <c r="S13" s="155">
        <f>Q13-R13</f>
        <v>0</v>
      </c>
      <c r="U13" s="155">
        <f>C13+D13+E13+F13+H13-I13</f>
        <v>0</v>
      </c>
      <c r="V13" s="155"/>
    </row>
    <row r="14" spans="1:22" s="1" customFormat="1" ht="12.75">
      <c r="A14" s="87" t="s">
        <v>196</v>
      </c>
      <c r="B14" s="24" t="s">
        <v>9</v>
      </c>
      <c r="C14" s="25">
        <f>C15+C19+C25+C29+C30+C34+C38+C39</f>
        <v>1449346199</v>
      </c>
      <c r="D14" s="25">
        <f>D16+D18+D19+D25+D29+D30+D34+D38+D39</f>
        <v>1103467751</v>
      </c>
      <c r="E14" s="25">
        <f>E16+E18+E19+E25+E29+E30+E34+E38+E39</f>
        <v>0</v>
      </c>
      <c r="F14" s="25">
        <f>F16+F18+F19+F25+F29+F30+F34+F38+F39</f>
        <v>0</v>
      </c>
      <c r="G14" s="25">
        <f>G16+G18+G19+G25+G29+G30+G34+G38+G39</f>
        <v>2552813950</v>
      </c>
      <c r="H14" s="25">
        <f>H16+H18+H19+H25+H29+H30+H34+H38+H39</f>
        <v>0</v>
      </c>
      <c r="I14" s="25">
        <f>I16+I18+I19+I29+I30+I34+I38+I39</f>
        <v>2552813950</v>
      </c>
      <c r="J14" s="25">
        <f>J15+J19+J25+J29+J30+J34+J38+J39+J37</f>
        <v>1589616964</v>
      </c>
      <c r="K14" s="25">
        <f>K15+K19+K25+K29+K30+K34+K38+K39+K37</f>
        <v>1093222101</v>
      </c>
      <c r="L14" s="25">
        <f>L15+L19+L25+L29+L30+L34+L38+L39+L37</f>
        <v>0</v>
      </c>
      <c r="M14" s="25">
        <f>M15+M19+M25+M29+M30+M34+M38+M39+M37</f>
        <v>0</v>
      </c>
      <c r="N14" s="25">
        <f>N15+N19+N25+N29+N30+N34+N38+N39+N37</f>
        <v>2682839065</v>
      </c>
      <c r="O14" s="25">
        <v>0</v>
      </c>
      <c r="P14" s="25">
        <f>P16+P18+P19+P25+P29+P30+P34+P38+P39</f>
        <v>0</v>
      </c>
      <c r="Q14" s="25">
        <f>Q16+Q18+Q19+Q25+Q29+Q30+Q34+Q37+Q38+Q39</f>
        <v>2682839065</v>
      </c>
      <c r="R14" s="5">
        <f aca="true" t="shared" si="1" ref="R14:R77">J14+K14+L14+M14+O14+P14</f>
        <v>2682839065</v>
      </c>
      <c r="S14" s="5">
        <f>Q14-R14</f>
        <v>0</v>
      </c>
      <c r="U14" s="5">
        <f aca="true" t="shared" si="2" ref="U14:U77">C14+D14+E14+F14+H14-I14</f>
        <v>0</v>
      </c>
      <c r="V14" s="5"/>
    </row>
    <row r="15" spans="1:22" s="1" customFormat="1" ht="13.5">
      <c r="A15" s="88" t="s">
        <v>41</v>
      </c>
      <c r="B15" s="26" t="s">
        <v>42</v>
      </c>
      <c r="C15" s="27">
        <f>C16+C18</f>
        <v>241407628</v>
      </c>
      <c r="D15" s="27"/>
      <c r="E15" s="27"/>
      <c r="F15" s="27"/>
      <c r="G15" s="27">
        <f>C15+D15+E15+F15</f>
        <v>241407628</v>
      </c>
      <c r="H15" s="27"/>
      <c r="I15" s="27">
        <f>G15+H15</f>
        <v>241407628</v>
      </c>
      <c r="J15" s="27">
        <f>J16+J18</f>
        <v>267744571</v>
      </c>
      <c r="K15" s="27">
        <f>K16+K18</f>
        <v>0</v>
      </c>
      <c r="L15" s="27">
        <f>L16+L18</f>
        <v>0</v>
      </c>
      <c r="M15" s="27">
        <f>M16+M18</f>
        <v>0</v>
      </c>
      <c r="N15" s="27">
        <f>J15+K15+L15+M15</f>
        <v>267744571</v>
      </c>
      <c r="O15" s="27">
        <v>0</v>
      </c>
      <c r="P15" s="27">
        <v>0</v>
      </c>
      <c r="Q15" s="27">
        <f>N15+O15+P15</f>
        <v>267744571</v>
      </c>
      <c r="R15" s="5">
        <f t="shared" si="1"/>
        <v>267744571</v>
      </c>
      <c r="S15" s="5">
        <f aca="true" t="shared" si="3" ref="S15:S77">Q15-R15</f>
        <v>0</v>
      </c>
      <c r="U15" s="5">
        <f t="shared" si="2"/>
        <v>0</v>
      </c>
      <c r="V15" s="5"/>
    </row>
    <row r="16" spans="1:22" s="1" customFormat="1" ht="12.75">
      <c r="A16" s="89" t="s">
        <v>197</v>
      </c>
      <c r="B16" s="28" t="s">
        <v>10</v>
      </c>
      <c r="C16" s="29">
        <v>164407628</v>
      </c>
      <c r="D16" s="29"/>
      <c r="E16" s="29"/>
      <c r="F16" s="29"/>
      <c r="G16" s="29">
        <f aca="true" t="shared" si="4" ref="G16:G24">C16+D16+E16+F16</f>
        <v>164407628</v>
      </c>
      <c r="H16" s="29"/>
      <c r="I16" s="29">
        <f>G16+H16</f>
        <v>164407628</v>
      </c>
      <c r="J16" s="29">
        <v>155567682</v>
      </c>
      <c r="K16" s="29">
        <v>0</v>
      </c>
      <c r="L16" s="29">
        <v>0</v>
      </c>
      <c r="M16" s="29">
        <v>0</v>
      </c>
      <c r="N16" s="29">
        <f aca="true" t="shared" si="5" ref="N16:N82">J16+K16+L16+M16</f>
        <v>155567682</v>
      </c>
      <c r="O16" s="29">
        <v>0</v>
      </c>
      <c r="P16" s="29">
        <v>0</v>
      </c>
      <c r="Q16" s="29">
        <f aca="true" t="shared" si="6" ref="Q16:Q39">N16+O16+P16</f>
        <v>155567682</v>
      </c>
      <c r="R16" s="5">
        <f t="shared" si="1"/>
        <v>155567682</v>
      </c>
      <c r="S16" s="5">
        <f t="shared" si="3"/>
        <v>0</v>
      </c>
      <c r="U16" s="5">
        <f t="shared" si="2"/>
        <v>0</v>
      </c>
      <c r="V16" s="5"/>
    </row>
    <row r="17" spans="1:22" s="1" customFormat="1" ht="12.75" hidden="1">
      <c r="A17" s="89"/>
      <c r="B17" s="28"/>
      <c r="C17" s="29"/>
      <c r="D17" s="29"/>
      <c r="E17" s="29"/>
      <c r="F17" s="29"/>
      <c r="G17" s="29">
        <f t="shared" si="4"/>
        <v>0</v>
      </c>
      <c r="H17" s="29"/>
      <c r="I17" s="29"/>
      <c r="J17" s="29"/>
      <c r="K17" s="29"/>
      <c r="L17" s="29"/>
      <c r="M17" s="29"/>
      <c r="N17" s="29">
        <f t="shared" si="5"/>
        <v>0</v>
      </c>
      <c r="O17" s="29"/>
      <c r="P17" s="29"/>
      <c r="Q17" s="29">
        <f t="shared" si="6"/>
        <v>0</v>
      </c>
      <c r="R17" s="5">
        <f t="shared" si="1"/>
        <v>0</v>
      </c>
      <c r="S17" s="5">
        <f t="shared" si="3"/>
        <v>0</v>
      </c>
      <c r="U17" s="5">
        <f t="shared" si="2"/>
        <v>0</v>
      </c>
      <c r="V17" s="5"/>
    </row>
    <row r="18" spans="1:22" s="1" customFormat="1" ht="12.75">
      <c r="A18" s="89" t="s">
        <v>198</v>
      </c>
      <c r="B18" s="28" t="s">
        <v>254</v>
      </c>
      <c r="C18" s="29">
        <v>77000000</v>
      </c>
      <c r="D18" s="29"/>
      <c r="E18" s="29"/>
      <c r="F18" s="29"/>
      <c r="G18" s="29">
        <f t="shared" si="4"/>
        <v>77000000</v>
      </c>
      <c r="H18" s="29"/>
      <c r="I18" s="29">
        <f>G18+H18</f>
        <v>77000000</v>
      </c>
      <c r="J18" s="29">
        <v>112176889</v>
      </c>
      <c r="K18" s="29">
        <v>0</v>
      </c>
      <c r="L18" s="29">
        <v>0</v>
      </c>
      <c r="M18" s="29">
        <v>0</v>
      </c>
      <c r="N18" s="29">
        <f t="shared" si="5"/>
        <v>112176889</v>
      </c>
      <c r="O18" s="29">
        <v>0</v>
      </c>
      <c r="P18" s="29">
        <v>0</v>
      </c>
      <c r="Q18" s="29">
        <f t="shared" si="6"/>
        <v>112176889</v>
      </c>
      <c r="R18" s="5">
        <f t="shared" si="1"/>
        <v>112176889</v>
      </c>
      <c r="S18" s="5">
        <f t="shared" si="3"/>
        <v>0</v>
      </c>
      <c r="U18" s="5">
        <f t="shared" si="2"/>
        <v>0</v>
      </c>
      <c r="V18" s="5"/>
    </row>
    <row r="19" spans="1:22" s="3" customFormat="1" ht="13.5">
      <c r="A19" s="90" t="s">
        <v>199</v>
      </c>
      <c r="B19" s="30" t="s">
        <v>11</v>
      </c>
      <c r="C19" s="31"/>
      <c r="D19" s="31">
        <v>1103467751</v>
      </c>
      <c r="E19" s="31"/>
      <c r="F19" s="31"/>
      <c r="G19" s="31">
        <f t="shared" si="4"/>
        <v>1103467751</v>
      </c>
      <c r="H19" s="31"/>
      <c r="I19" s="27">
        <f>G19+H19</f>
        <v>1103467751</v>
      </c>
      <c r="J19" s="31">
        <v>0</v>
      </c>
      <c r="K19" s="31">
        <f>K20+K21+K22+K23+K24</f>
        <v>1093222101</v>
      </c>
      <c r="L19" s="31">
        <v>0</v>
      </c>
      <c r="M19" s="31">
        <v>0</v>
      </c>
      <c r="N19" s="31">
        <f t="shared" si="5"/>
        <v>1093222101</v>
      </c>
      <c r="O19" s="31">
        <v>0</v>
      </c>
      <c r="P19" s="31">
        <v>0</v>
      </c>
      <c r="Q19" s="31">
        <f t="shared" si="6"/>
        <v>1093222101</v>
      </c>
      <c r="R19" s="5">
        <f t="shared" si="1"/>
        <v>1093222101</v>
      </c>
      <c r="S19" s="5">
        <f t="shared" si="3"/>
        <v>0</v>
      </c>
      <c r="U19" s="5">
        <f t="shared" si="2"/>
        <v>0</v>
      </c>
      <c r="V19" s="5"/>
    </row>
    <row r="20" spans="1:22" s="3" customFormat="1" ht="13.5">
      <c r="A20" s="91" t="s">
        <v>67</v>
      </c>
      <c r="B20" s="32" t="s">
        <v>71</v>
      </c>
      <c r="C20" s="33"/>
      <c r="D20" s="103">
        <v>30000</v>
      </c>
      <c r="E20" s="33"/>
      <c r="F20" s="33"/>
      <c r="G20" s="33">
        <f t="shared" si="4"/>
        <v>30000</v>
      </c>
      <c r="H20" s="33"/>
      <c r="I20" s="29">
        <f>G20+H20</f>
        <v>30000</v>
      </c>
      <c r="J20" s="33">
        <v>0</v>
      </c>
      <c r="K20" s="33">
        <v>45993</v>
      </c>
      <c r="L20" s="33">
        <v>0</v>
      </c>
      <c r="M20" s="33">
        <v>0</v>
      </c>
      <c r="N20" s="33">
        <f t="shared" si="5"/>
        <v>45993</v>
      </c>
      <c r="O20" s="33">
        <v>0</v>
      </c>
      <c r="P20" s="31">
        <v>0</v>
      </c>
      <c r="Q20" s="33">
        <f t="shared" si="6"/>
        <v>45993</v>
      </c>
      <c r="R20" s="5">
        <f t="shared" si="1"/>
        <v>45993</v>
      </c>
      <c r="S20" s="5">
        <f t="shared" si="3"/>
        <v>0</v>
      </c>
      <c r="U20" s="5">
        <f t="shared" si="2"/>
        <v>0</v>
      </c>
      <c r="V20" s="5"/>
    </row>
    <row r="21" spans="1:22" s="3" customFormat="1" ht="13.5" hidden="1">
      <c r="A21" s="91" t="s">
        <v>68</v>
      </c>
      <c r="B21" s="32" t="s">
        <v>72</v>
      </c>
      <c r="C21" s="33"/>
      <c r="D21" s="33"/>
      <c r="E21" s="33"/>
      <c r="F21" s="33"/>
      <c r="G21" s="33">
        <f t="shared" si="4"/>
        <v>0</v>
      </c>
      <c r="H21" s="33"/>
      <c r="I21" s="29" t="s">
        <v>17</v>
      </c>
      <c r="J21" s="33">
        <v>0</v>
      </c>
      <c r="K21" s="33">
        <v>0</v>
      </c>
      <c r="L21" s="33">
        <v>0</v>
      </c>
      <c r="M21" s="33">
        <v>0</v>
      </c>
      <c r="N21" s="33">
        <f t="shared" si="5"/>
        <v>0</v>
      </c>
      <c r="O21" s="33"/>
      <c r="P21" s="31">
        <v>0</v>
      </c>
      <c r="Q21" s="33">
        <f t="shared" si="6"/>
        <v>0</v>
      </c>
      <c r="R21" s="5">
        <f t="shared" si="1"/>
        <v>0</v>
      </c>
      <c r="S21" s="5">
        <f t="shared" si="3"/>
        <v>0</v>
      </c>
      <c r="U21" s="5" t="e">
        <f t="shared" si="2"/>
        <v>#VALUE!</v>
      </c>
      <c r="V21" s="5"/>
    </row>
    <row r="22" spans="1:22" s="3" customFormat="1" ht="13.5" hidden="1">
      <c r="A22" s="91" t="s">
        <v>69</v>
      </c>
      <c r="B22" s="32" t="s">
        <v>73</v>
      </c>
      <c r="C22" s="33"/>
      <c r="D22" s="33"/>
      <c r="E22" s="33"/>
      <c r="F22" s="33"/>
      <c r="G22" s="33">
        <f t="shared" si="4"/>
        <v>0</v>
      </c>
      <c r="H22" s="33"/>
      <c r="I22" s="29" t="s">
        <v>17</v>
      </c>
      <c r="J22" s="33">
        <v>0</v>
      </c>
      <c r="K22" s="33">
        <v>0</v>
      </c>
      <c r="L22" s="33">
        <v>0</v>
      </c>
      <c r="M22" s="33">
        <v>0</v>
      </c>
      <c r="N22" s="33">
        <f t="shared" si="5"/>
        <v>0</v>
      </c>
      <c r="O22" s="33"/>
      <c r="P22" s="31">
        <v>0</v>
      </c>
      <c r="Q22" s="33">
        <f t="shared" si="6"/>
        <v>0</v>
      </c>
      <c r="R22" s="5">
        <f t="shared" si="1"/>
        <v>0</v>
      </c>
      <c r="S22" s="5">
        <f t="shared" si="3"/>
        <v>0</v>
      </c>
      <c r="U22" s="5" t="e">
        <f t="shared" si="2"/>
        <v>#VALUE!</v>
      </c>
      <c r="V22" s="5"/>
    </row>
    <row r="23" spans="1:22" s="3" customFormat="1" ht="26.25" customHeight="1">
      <c r="A23" s="91" t="s">
        <v>70</v>
      </c>
      <c r="B23" s="34" t="s">
        <v>320</v>
      </c>
      <c r="C23" s="33"/>
      <c r="D23" s="103">
        <v>1103437751</v>
      </c>
      <c r="E23" s="33"/>
      <c r="F23" s="33"/>
      <c r="G23" s="33">
        <f>C23+D23+E23+F23</f>
        <v>1103437751</v>
      </c>
      <c r="H23" s="33"/>
      <c r="I23" s="29">
        <f>G23+H23</f>
        <v>1103437751</v>
      </c>
      <c r="J23" s="29">
        <v>0</v>
      </c>
      <c r="K23" s="29">
        <v>1157491833</v>
      </c>
      <c r="L23" s="29">
        <v>0</v>
      </c>
      <c r="M23" s="29">
        <v>0</v>
      </c>
      <c r="N23" s="29">
        <f t="shared" si="5"/>
        <v>1157491833</v>
      </c>
      <c r="O23" s="29">
        <v>0</v>
      </c>
      <c r="P23" s="31">
        <v>0</v>
      </c>
      <c r="Q23" s="29">
        <f t="shared" si="6"/>
        <v>1157491833</v>
      </c>
      <c r="R23" s="5">
        <f t="shared" si="1"/>
        <v>1157491833</v>
      </c>
      <c r="S23" s="5">
        <f t="shared" si="3"/>
        <v>0</v>
      </c>
      <c r="U23" s="5">
        <f t="shared" si="2"/>
        <v>0</v>
      </c>
      <c r="V23" s="5"/>
    </row>
    <row r="24" spans="1:22" s="3" customFormat="1" ht="13.5">
      <c r="A24" s="89" t="s">
        <v>217</v>
      </c>
      <c r="B24" s="35" t="s">
        <v>180</v>
      </c>
      <c r="C24" s="23"/>
      <c r="D24" s="23"/>
      <c r="E24" s="23"/>
      <c r="F24" s="23"/>
      <c r="G24" s="27">
        <f t="shared" si="4"/>
        <v>0</v>
      </c>
      <c r="H24" s="23"/>
      <c r="I24" s="29" t="s">
        <v>17</v>
      </c>
      <c r="J24" s="25">
        <v>0</v>
      </c>
      <c r="K24" s="29">
        <v>-64315725</v>
      </c>
      <c r="L24" s="25">
        <v>0</v>
      </c>
      <c r="M24" s="25">
        <v>0</v>
      </c>
      <c r="N24" s="25">
        <f t="shared" si="5"/>
        <v>-64315725</v>
      </c>
      <c r="O24" s="25">
        <v>0</v>
      </c>
      <c r="P24" s="31">
        <v>0</v>
      </c>
      <c r="Q24" s="25">
        <f t="shared" si="6"/>
        <v>-64315725</v>
      </c>
      <c r="R24" s="5">
        <f t="shared" si="1"/>
        <v>-64315725</v>
      </c>
      <c r="S24" s="5">
        <f t="shared" si="3"/>
        <v>0</v>
      </c>
      <c r="U24" s="5" t="e">
        <f t="shared" si="2"/>
        <v>#VALUE!</v>
      </c>
      <c r="V24" s="5"/>
    </row>
    <row r="25" spans="1:22" s="3" customFormat="1" ht="13.5">
      <c r="A25" s="90" t="s">
        <v>200</v>
      </c>
      <c r="B25" s="30" t="s">
        <v>43</v>
      </c>
      <c r="C25" s="31"/>
      <c r="D25" s="31"/>
      <c r="E25" s="31"/>
      <c r="F25" s="31"/>
      <c r="G25" s="31">
        <f>C25+D25+E25</f>
        <v>0</v>
      </c>
      <c r="H25" s="31"/>
      <c r="I25" s="27" t="s">
        <v>17</v>
      </c>
      <c r="J25" s="27">
        <f>J26+J27+J28</f>
        <v>22036</v>
      </c>
      <c r="K25" s="27">
        <f>K26+K27+K28</f>
        <v>0</v>
      </c>
      <c r="L25" s="27">
        <f>L26+L27+L28</f>
        <v>0</v>
      </c>
      <c r="M25" s="27">
        <v>0</v>
      </c>
      <c r="N25" s="27">
        <f t="shared" si="5"/>
        <v>22036</v>
      </c>
      <c r="O25" s="27">
        <v>0</v>
      </c>
      <c r="P25" s="31">
        <v>0</v>
      </c>
      <c r="Q25" s="27">
        <f t="shared" si="6"/>
        <v>22036</v>
      </c>
      <c r="R25" s="5">
        <f t="shared" si="1"/>
        <v>22036</v>
      </c>
      <c r="S25" s="5">
        <f t="shared" si="3"/>
        <v>0</v>
      </c>
      <c r="U25" s="5" t="e">
        <f t="shared" si="2"/>
        <v>#VALUE!</v>
      </c>
      <c r="V25" s="5"/>
    </row>
    <row r="26" spans="1:22" s="3" customFormat="1" ht="13.5" hidden="1">
      <c r="A26" s="91" t="s">
        <v>12</v>
      </c>
      <c r="B26" s="32" t="s">
        <v>13</v>
      </c>
      <c r="C26" s="33"/>
      <c r="D26" s="33"/>
      <c r="E26" s="33"/>
      <c r="F26" s="33"/>
      <c r="G26" s="33">
        <f>C26+D26+E26</f>
        <v>0</v>
      </c>
      <c r="H26" s="33"/>
      <c r="I26" s="29" t="s">
        <v>17</v>
      </c>
      <c r="J26" s="29">
        <v>0</v>
      </c>
      <c r="K26" s="29"/>
      <c r="L26" s="29"/>
      <c r="M26" s="29"/>
      <c r="N26" s="29">
        <f t="shared" si="5"/>
        <v>0</v>
      </c>
      <c r="O26" s="29"/>
      <c r="P26" s="31">
        <v>0</v>
      </c>
      <c r="Q26" s="29">
        <f t="shared" si="6"/>
        <v>0</v>
      </c>
      <c r="R26" s="5">
        <f t="shared" si="1"/>
        <v>0</v>
      </c>
      <c r="S26" s="5">
        <f t="shared" si="3"/>
        <v>0</v>
      </c>
      <c r="U26" s="5" t="e">
        <f t="shared" si="2"/>
        <v>#VALUE!</v>
      </c>
      <c r="V26" s="5"/>
    </row>
    <row r="27" spans="1:22" s="3" customFormat="1" ht="13.5">
      <c r="A27" s="91" t="s">
        <v>14</v>
      </c>
      <c r="B27" s="32" t="s">
        <v>74</v>
      </c>
      <c r="C27" s="33"/>
      <c r="D27" s="33"/>
      <c r="E27" s="33"/>
      <c r="F27" s="33"/>
      <c r="G27" s="33">
        <f>C27+D27+E27</f>
        <v>0</v>
      </c>
      <c r="H27" s="33"/>
      <c r="I27" s="29" t="s">
        <v>17</v>
      </c>
      <c r="J27" s="29">
        <v>22036</v>
      </c>
      <c r="K27" s="29">
        <v>0</v>
      </c>
      <c r="L27" s="29">
        <v>0</v>
      </c>
      <c r="M27" s="29">
        <v>0</v>
      </c>
      <c r="N27" s="29">
        <f t="shared" si="5"/>
        <v>22036</v>
      </c>
      <c r="O27" s="29">
        <v>0</v>
      </c>
      <c r="P27" s="31">
        <v>0</v>
      </c>
      <c r="Q27" s="29">
        <f t="shared" si="6"/>
        <v>22036</v>
      </c>
      <c r="R27" s="5">
        <f t="shared" si="1"/>
        <v>22036</v>
      </c>
      <c r="S27" s="5">
        <f t="shared" si="3"/>
        <v>0</v>
      </c>
      <c r="U27" s="5" t="e">
        <f t="shared" si="2"/>
        <v>#VALUE!</v>
      </c>
      <c r="V27" s="5"/>
    </row>
    <row r="28" spans="1:22" s="3" customFormat="1" ht="13.5" hidden="1">
      <c r="A28" s="91" t="s">
        <v>15</v>
      </c>
      <c r="B28" s="32" t="s">
        <v>75</v>
      </c>
      <c r="C28" s="33"/>
      <c r="D28" s="33"/>
      <c r="E28" s="33"/>
      <c r="F28" s="33"/>
      <c r="G28" s="33">
        <f>C28+D28+E28</f>
        <v>0</v>
      </c>
      <c r="H28" s="33"/>
      <c r="I28" s="29" t="s">
        <v>17</v>
      </c>
      <c r="J28" s="29"/>
      <c r="K28" s="29"/>
      <c r="L28" s="29"/>
      <c r="M28" s="29"/>
      <c r="N28" s="29">
        <f t="shared" si="5"/>
        <v>0</v>
      </c>
      <c r="O28" s="29"/>
      <c r="P28" s="31">
        <v>0</v>
      </c>
      <c r="Q28" s="29">
        <f t="shared" si="6"/>
        <v>0</v>
      </c>
      <c r="R28" s="5">
        <f t="shared" si="1"/>
        <v>0</v>
      </c>
      <c r="S28" s="5">
        <f t="shared" si="3"/>
        <v>0</v>
      </c>
      <c r="U28" s="5" t="e">
        <f t="shared" si="2"/>
        <v>#VALUE!</v>
      </c>
      <c r="V28" s="5"/>
    </row>
    <row r="29" spans="1:22" s="3" customFormat="1" ht="13.5">
      <c r="A29" s="90" t="s">
        <v>253</v>
      </c>
      <c r="B29" s="30" t="s">
        <v>16</v>
      </c>
      <c r="C29" s="31">
        <v>690500000</v>
      </c>
      <c r="D29" s="31"/>
      <c r="E29" s="31"/>
      <c r="F29" s="31"/>
      <c r="G29" s="31">
        <f>C29+D29+E29+F29</f>
        <v>690500000</v>
      </c>
      <c r="H29" s="31"/>
      <c r="I29" s="27">
        <f>G29+H29</f>
        <v>690500000</v>
      </c>
      <c r="J29" s="27">
        <v>825247242</v>
      </c>
      <c r="K29" s="27">
        <v>0</v>
      </c>
      <c r="L29" s="27">
        <v>0</v>
      </c>
      <c r="M29" s="27">
        <v>0</v>
      </c>
      <c r="N29" s="27">
        <f t="shared" si="5"/>
        <v>825247242</v>
      </c>
      <c r="O29" s="27">
        <v>0</v>
      </c>
      <c r="P29" s="31">
        <v>0</v>
      </c>
      <c r="Q29" s="27">
        <f t="shared" si="6"/>
        <v>825247242</v>
      </c>
      <c r="R29" s="5">
        <f t="shared" si="1"/>
        <v>825247242</v>
      </c>
      <c r="S29" s="5">
        <f t="shared" si="3"/>
        <v>0</v>
      </c>
      <c r="U29" s="5">
        <f t="shared" si="2"/>
        <v>0</v>
      </c>
      <c r="V29" s="5"/>
    </row>
    <row r="30" spans="1:22" s="3" customFormat="1" ht="13.5">
      <c r="A30" s="90" t="s">
        <v>201</v>
      </c>
      <c r="B30" s="30" t="s">
        <v>18</v>
      </c>
      <c r="C30" s="31">
        <v>482055271</v>
      </c>
      <c r="D30" s="31"/>
      <c r="E30" s="31"/>
      <c r="F30" s="31"/>
      <c r="G30" s="31">
        <f>C30+D30+E30+F30</f>
        <v>482055271</v>
      </c>
      <c r="H30" s="31"/>
      <c r="I30" s="27">
        <f>G30+H30</f>
        <v>482055271</v>
      </c>
      <c r="J30" s="27">
        <f>J31+J32+J33</f>
        <v>458058209</v>
      </c>
      <c r="K30" s="27">
        <f>K31+K32+K33</f>
        <v>0</v>
      </c>
      <c r="L30" s="27">
        <f>L31+L32+L33</f>
        <v>0</v>
      </c>
      <c r="M30" s="27">
        <v>0</v>
      </c>
      <c r="N30" s="27">
        <f t="shared" si="5"/>
        <v>458058209</v>
      </c>
      <c r="O30" s="27">
        <v>0</v>
      </c>
      <c r="P30" s="31">
        <v>0</v>
      </c>
      <c r="Q30" s="27">
        <f t="shared" si="6"/>
        <v>458058209</v>
      </c>
      <c r="R30" s="5">
        <f t="shared" si="1"/>
        <v>458058209</v>
      </c>
      <c r="S30" s="5">
        <f t="shared" si="3"/>
        <v>0</v>
      </c>
      <c r="U30" s="5">
        <f t="shared" si="2"/>
        <v>0</v>
      </c>
      <c r="V30" s="5"/>
    </row>
    <row r="31" spans="1:22" s="3" customFormat="1" ht="25.5">
      <c r="A31" s="91" t="s">
        <v>76</v>
      </c>
      <c r="B31" s="34" t="s">
        <v>302</v>
      </c>
      <c r="C31" s="33"/>
      <c r="D31" s="33"/>
      <c r="E31" s="33"/>
      <c r="F31" s="33"/>
      <c r="G31" s="33">
        <f>C31+D31+E31</f>
        <v>0</v>
      </c>
      <c r="H31" s="33"/>
      <c r="I31" s="29" t="s">
        <v>17</v>
      </c>
      <c r="J31" s="29">
        <v>195171132</v>
      </c>
      <c r="K31" s="29">
        <v>0</v>
      </c>
      <c r="L31" s="29">
        <v>0</v>
      </c>
      <c r="M31" s="29">
        <v>0</v>
      </c>
      <c r="N31" s="29">
        <f t="shared" si="5"/>
        <v>195171132</v>
      </c>
      <c r="O31" s="29">
        <v>0</v>
      </c>
      <c r="P31" s="31">
        <v>0</v>
      </c>
      <c r="Q31" s="29">
        <f t="shared" si="6"/>
        <v>195171132</v>
      </c>
      <c r="R31" s="5">
        <f t="shared" si="1"/>
        <v>195171132</v>
      </c>
      <c r="S31" s="5">
        <f t="shared" si="3"/>
        <v>0</v>
      </c>
      <c r="U31" s="5" t="e">
        <f t="shared" si="2"/>
        <v>#VALUE!</v>
      </c>
      <c r="V31" s="5"/>
    </row>
    <row r="32" spans="1:22" s="3" customFormat="1" ht="25.5">
      <c r="A32" s="91" t="s">
        <v>77</v>
      </c>
      <c r="B32" s="34" t="s">
        <v>288</v>
      </c>
      <c r="C32" s="33"/>
      <c r="D32" s="33"/>
      <c r="E32" s="33"/>
      <c r="F32" s="33"/>
      <c r="G32" s="33">
        <f>C32+D32+E32</f>
        <v>0</v>
      </c>
      <c r="H32" s="33"/>
      <c r="I32" s="29" t="s">
        <v>17</v>
      </c>
      <c r="J32" s="29">
        <v>10428457</v>
      </c>
      <c r="K32" s="29">
        <v>0</v>
      </c>
      <c r="L32" s="29">
        <v>0</v>
      </c>
      <c r="M32" s="29">
        <v>0</v>
      </c>
      <c r="N32" s="29">
        <f t="shared" si="5"/>
        <v>10428457</v>
      </c>
      <c r="O32" s="29">
        <v>0</v>
      </c>
      <c r="P32" s="31">
        <v>0</v>
      </c>
      <c r="Q32" s="29">
        <f t="shared" si="6"/>
        <v>10428457</v>
      </c>
      <c r="R32" s="5">
        <f t="shared" si="1"/>
        <v>10428457</v>
      </c>
      <c r="S32" s="5">
        <f t="shared" si="3"/>
        <v>0</v>
      </c>
      <c r="U32" s="5" t="e">
        <f t="shared" si="2"/>
        <v>#VALUE!</v>
      </c>
      <c r="V32" s="5"/>
    </row>
    <row r="33" spans="1:22" s="3" customFormat="1" ht="25.5">
      <c r="A33" s="91" t="s">
        <v>79</v>
      </c>
      <c r="B33" s="34" t="s">
        <v>303</v>
      </c>
      <c r="C33" s="33"/>
      <c r="D33" s="33"/>
      <c r="E33" s="33"/>
      <c r="F33" s="33"/>
      <c r="G33" s="33">
        <f>C33+D33+E33</f>
        <v>0</v>
      </c>
      <c r="H33" s="33"/>
      <c r="I33" s="29" t="s">
        <v>17</v>
      </c>
      <c r="J33" s="29">
        <v>252458620</v>
      </c>
      <c r="K33" s="29">
        <v>0</v>
      </c>
      <c r="L33" s="29">
        <v>0</v>
      </c>
      <c r="M33" s="29">
        <v>0</v>
      </c>
      <c r="N33" s="29">
        <f t="shared" si="5"/>
        <v>252458620</v>
      </c>
      <c r="O33" s="29">
        <v>0</v>
      </c>
      <c r="P33" s="31">
        <v>0</v>
      </c>
      <c r="Q33" s="29">
        <f t="shared" si="6"/>
        <v>252458620</v>
      </c>
      <c r="R33" s="5">
        <f t="shared" si="1"/>
        <v>252458620</v>
      </c>
      <c r="S33" s="5">
        <f t="shared" si="3"/>
        <v>0</v>
      </c>
      <c r="U33" s="5" t="e">
        <f t="shared" si="2"/>
        <v>#VALUE!</v>
      </c>
      <c r="V33" s="5"/>
    </row>
    <row r="34" spans="1:22" s="3" customFormat="1" ht="13.5">
      <c r="A34" s="90" t="s">
        <v>202</v>
      </c>
      <c r="B34" s="30" t="s">
        <v>20</v>
      </c>
      <c r="C34" s="31">
        <v>14250000</v>
      </c>
      <c r="D34" s="31"/>
      <c r="E34" s="31"/>
      <c r="F34" s="31"/>
      <c r="G34" s="31">
        <f>C34+D34+E34+F34</f>
        <v>14250000</v>
      </c>
      <c r="H34" s="31"/>
      <c r="I34" s="27">
        <f>G34+H34</f>
        <v>14250000</v>
      </c>
      <c r="J34" s="27">
        <f>J35+J36</f>
        <v>17267765</v>
      </c>
      <c r="K34" s="27">
        <f>K35+K36</f>
        <v>0</v>
      </c>
      <c r="L34" s="27">
        <f>L35+L36</f>
        <v>0</v>
      </c>
      <c r="M34" s="27">
        <v>0</v>
      </c>
      <c r="N34" s="27">
        <f t="shared" si="5"/>
        <v>17267765</v>
      </c>
      <c r="O34" s="27">
        <v>0</v>
      </c>
      <c r="P34" s="31">
        <v>0</v>
      </c>
      <c r="Q34" s="27">
        <f t="shared" si="6"/>
        <v>17267765</v>
      </c>
      <c r="R34" s="5">
        <f t="shared" si="1"/>
        <v>17267765</v>
      </c>
      <c r="S34" s="5">
        <f t="shared" si="3"/>
        <v>0</v>
      </c>
      <c r="U34" s="5">
        <f t="shared" si="2"/>
        <v>0</v>
      </c>
      <c r="V34" s="5"/>
    </row>
    <row r="35" spans="1:22" s="3" customFormat="1" ht="13.5">
      <c r="A35" s="91" t="s">
        <v>81</v>
      </c>
      <c r="B35" s="32" t="s">
        <v>80</v>
      </c>
      <c r="C35" s="33"/>
      <c r="D35" s="33"/>
      <c r="E35" s="33"/>
      <c r="F35" s="33"/>
      <c r="G35" s="33">
        <f>C35+D35+E35</f>
        <v>0</v>
      </c>
      <c r="H35" s="33"/>
      <c r="I35" s="29" t="s">
        <v>17</v>
      </c>
      <c r="J35" s="29">
        <v>17267432</v>
      </c>
      <c r="K35" s="29">
        <v>0</v>
      </c>
      <c r="L35" s="29">
        <v>0</v>
      </c>
      <c r="M35" s="29">
        <v>0</v>
      </c>
      <c r="N35" s="29">
        <f t="shared" si="5"/>
        <v>17267432</v>
      </c>
      <c r="O35" s="29">
        <v>0</v>
      </c>
      <c r="P35" s="31">
        <v>0</v>
      </c>
      <c r="Q35" s="29">
        <f t="shared" si="6"/>
        <v>17267432</v>
      </c>
      <c r="R35" s="5">
        <f t="shared" si="1"/>
        <v>17267432</v>
      </c>
      <c r="S35" s="5">
        <f t="shared" si="3"/>
        <v>0</v>
      </c>
      <c r="U35" s="5" t="e">
        <f t="shared" si="2"/>
        <v>#VALUE!</v>
      </c>
      <c r="V35" s="5"/>
    </row>
    <row r="36" spans="1:22" s="3" customFormat="1" ht="13.5">
      <c r="A36" s="91" t="s">
        <v>83</v>
      </c>
      <c r="B36" s="32" t="s">
        <v>82</v>
      </c>
      <c r="C36" s="33"/>
      <c r="D36" s="33"/>
      <c r="E36" s="33"/>
      <c r="F36" s="33"/>
      <c r="G36" s="33">
        <f>C36+D36+E36</f>
        <v>0</v>
      </c>
      <c r="H36" s="33"/>
      <c r="I36" s="29" t="s">
        <v>17</v>
      </c>
      <c r="J36" s="29">
        <v>333</v>
      </c>
      <c r="K36" s="29">
        <v>0</v>
      </c>
      <c r="L36" s="29">
        <v>0</v>
      </c>
      <c r="M36" s="29">
        <v>0</v>
      </c>
      <c r="N36" s="29">
        <f t="shared" si="5"/>
        <v>333</v>
      </c>
      <c r="O36" s="29">
        <v>0</v>
      </c>
      <c r="P36" s="31">
        <v>0</v>
      </c>
      <c r="Q36" s="29">
        <f t="shared" si="6"/>
        <v>333</v>
      </c>
      <c r="R36" s="5">
        <f t="shared" si="1"/>
        <v>333</v>
      </c>
      <c r="S36" s="5">
        <f t="shared" si="3"/>
        <v>0</v>
      </c>
      <c r="U36" s="5" t="e">
        <f t="shared" si="2"/>
        <v>#VALUE!</v>
      </c>
      <c r="V36" s="5"/>
    </row>
    <row r="37" spans="1:22" s="3" customFormat="1" ht="26.25" customHeight="1">
      <c r="A37" s="90" t="s">
        <v>359</v>
      </c>
      <c r="B37" s="36" t="s">
        <v>378</v>
      </c>
      <c r="C37" s="31"/>
      <c r="D37" s="31"/>
      <c r="E37" s="31"/>
      <c r="F37" s="31"/>
      <c r="G37" s="31"/>
      <c r="H37" s="31"/>
      <c r="I37" s="27">
        <v>0</v>
      </c>
      <c r="J37" s="27">
        <v>64995</v>
      </c>
      <c r="K37" s="27">
        <v>0</v>
      </c>
      <c r="L37" s="27">
        <v>0</v>
      </c>
      <c r="M37" s="27">
        <v>0</v>
      </c>
      <c r="N37" s="27">
        <f t="shared" si="5"/>
        <v>64995</v>
      </c>
      <c r="O37" s="27">
        <v>0</v>
      </c>
      <c r="P37" s="31">
        <v>0</v>
      </c>
      <c r="Q37" s="27">
        <f t="shared" si="6"/>
        <v>64995</v>
      </c>
      <c r="R37" s="5">
        <f t="shared" si="1"/>
        <v>64995</v>
      </c>
      <c r="S37" s="5">
        <f t="shared" si="3"/>
        <v>0</v>
      </c>
      <c r="U37" s="5">
        <f t="shared" si="2"/>
        <v>0</v>
      </c>
      <c r="V37" s="5"/>
    </row>
    <row r="38" spans="1:22" s="3" customFormat="1" ht="13.5">
      <c r="A38" s="90" t="s">
        <v>203</v>
      </c>
      <c r="B38" s="30" t="s">
        <v>19</v>
      </c>
      <c r="C38" s="31">
        <v>16243300</v>
      </c>
      <c r="D38" s="31"/>
      <c r="E38" s="31"/>
      <c r="F38" s="31"/>
      <c r="G38" s="31">
        <f>C38+D38+E38+F38</f>
        <v>16243300</v>
      </c>
      <c r="H38" s="31"/>
      <c r="I38" s="27">
        <f>G38+H38</f>
        <v>16243300</v>
      </c>
      <c r="J38" s="27">
        <v>15840824</v>
      </c>
      <c r="K38" s="27">
        <v>0</v>
      </c>
      <c r="L38" s="27">
        <v>0</v>
      </c>
      <c r="M38" s="27">
        <v>0</v>
      </c>
      <c r="N38" s="27">
        <f t="shared" si="5"/>
        <v>15840824</v>
      </c>
      <c r="O38" s="27">
        <v>0</v>
      </c>
      <c r="P38" s="31">
        <v>0</v>
      </c>
      <c r="Q38" s="27">
        <f t="shared" si="6"/>
        <v>15840824</v>
      </c>
      <c r="R38" s="5">
        <f t="shared" si="1"/>
        <v>15840824</v>
      </c>
      <c r="S38" s="5">
        <f t="shared" si="3"/>
        <v>0</v>
      </c>
      <c r="U38" s="5">
        <f t="shared" si="2"/>
        <v>0</v>
      </c>
      <c r="V38" s="5"/>
    </row>
    <row r="39" spans="1:22" s="3" customFormat="1" ht="12.75" customHeight="1">
      <c r="A39" s="90" t="s">
        <v>204</v>
      </c>
      <c r="B39" s="30" t="s">
        <v>78</v>
      </c>
      <c r="C39" s="31">
        <v>4890000</v>
      </c>
      <c r="D39" s="31"/>
      <c r="E39" s="31"/>
      <c r="F39" s="31"/>
      <c r="G39" s="31">
        <f>C39+D39+E39+F39</f>
        <v>4890000</v>
      </c>
      <c r="H39" s="31"/>
      <c r="I39" s="27">
        <f>G39+H39</f>
        <v>4890000</v>
      </c>
      <c r="J39" s="27">
        <v>5371322</v>
      </c>
      <c r="K39" s="27">
        <v>0</v>
      </c>
      <c r="L39" s="27">
        <v>0</v>
      </c>
      <c r="M39" s="27">
        <v>0</v>
      </c>
      <c r="N39" s="27">
        <f t="shared" si="5"/>
        <v>5371322</v>
      </c>
      <c r="O39" s="27">
        <v>0</v>
      </c>
      <c r="P39" s="31">
        <v>0</v>
      </c>
      <c r="Q39" s="27">
        <f t="shared" si="6"/>
        <v>5371322</v>
      </c>
      <c r="R39" s="5">
        <f t="shared" si="1"/>
        <v>5371322</v>
      </c>
      <c r="S39" s="5">
        <f t="shared" si="3"/>
        <v>0</v>
      </c>
      <c r="U39" s="5">
        <f t="shared" si="2"/>
        <v>0</v>
      </c>
      <c r="V39" s="5"/>
    </row>
    <row r="40" spans="1:22" s="1" customFormat="1" ht="12.75">
      <c r="A40" s="87" t="s">
        <v>205</v>
      </c>
      <c r="B40" s="24" t="s">
        <v>21</v>
      </c>
      <c r="C40" s="25">
        <f>C41+C54+C61+C67+C72</f>
        <v>344877835</v>
      </c>
      <c r="D40" s="25">
        <v>67617973</v>
      </c>
      <c r="E40" s="25">
        <f>E41+E54+E61+E67+E72+E80+E82</f>
        <v>0</v>
      </c>
      <c r="F40" s="25">
        <v>0</v>
      </c>
      <c r="G40" s="25">
        <f>C40+D40+E40+F40</f>
        <v>412495808</v>
      </c>
      <c r="H40" s="25">
        <f>H41+H54+H61+H67+H72+H78+H79</f>
        <v>-67169872</v>
      </c>
      <c r="I40" s="25">
        <f>G40+H40</f>
        <v>345325936</v>
      </c>
      <c r="J40" s="25">
        <f aca="true" t="shared" si="7" ref="J40:Q40">J41+J54+J61+J67+J72+J78+J79</f>
        <v>371901802</v>
      </c>
      <c r="K40" s="25">
        <f t="shared" si="7"/>
        <v>68457883</v>
      </c>
      <c r="L40" s="25">
        <f t="shared" si="7"/>
        <v>40</v>
      </c>
      <c r="M40" s="25">
        <f t="shared" si="7"/>
        <v>0</v>
      </c>
      <c r="N40" s="25">
        <f t="shared" si="7"/>
        <v>440359725</v>
      </c>
      <c r="O40" s="25">
        <f>O41+O79</f>
        <v>-256129</v>
      </c>
      <c r="P40" s="25">
        <f t="shared" si="7"/>
        <v>-66967262</v>
      </c>
      <c r="Q40" s="25">
        <f t="shared" si="7"/>
        <v>373136334</v>
      </c>
      <c r="R40" s="5">
        <f t="shared" si="1"/>
        <v>373136334</v>
      </c>
      <c r="S40" s="5">
        <f t="shared" si="3"/>
        <v>0</v>
      </c>
      <c r="U40" s="5">
        <f t="shared" si="2"/>
        <v>0</v>
      </c>
      <c r="V40" s="5"/>
    </row>
    <row r="41" spans="1:22" s="3" customFormat="1" ht="13.5">
      <c r="A41" s="88" t="s">
        <v>22</v>
      </c>
      <c r="B41" s="36" t="s">
        <v>23</v>
      </c>
      <c r="C41" s="31">
        <v>239554523</v>
      </c>
      <c r="D41" s="31"/>
      <c r="E41" s="31">
        <f>E53</f>
        <v>0</v>
      </c>
      <c r="F41" s="31"/>
      <c r="G41" s="31">
        <f>C41+D41+E41+F41</f>
        <v>239554523</v>
      </c>
      <c r="H41" s="31">
        <f>H48+H45</f>
        <v>-560702</v>
      </c>
      <c r="I41" s="31">
        <f>G41+H41</f>
        <v>238993821</v>
      </c>
      <c r="J41" s="27">
        <f>J42+J43+J44+J45+J48+J50+J51+J52+J53</f>
        <v>251230649</v>
      </c>
      <c r="K41" s="27">
        <f aca="true" t="shared" si="8" ref="K41:Q41">K42+K43+K44+K45+K48+K50+K51+K52+K53</f>
        <v>0</v>
      </c>
      <c r="L41" s="27">
        <f t="shared" si="8"/>
        <v>40</v>
      </c>
      <c r="M41" s="27">
        <f t="shared" si="8"/>
        <v>0</v>
      </c>
      <c r="N41" s="27">
        <f t="shared" si="8"/>
        <v>251230689</v>
      </c>
      <c r="O41" s="27">
        <f>O45</f>
        <v>-259763</v>
      </c>
      <c r="P41" s="27">
        <f t="shared" si="8"/>
        <v>-336672</v>
      </c>
      <c r="Q41" s="27">
        <f t="shared" si="8"/>
        <v>250634254</v>
      </c>
      <c r="R41" s="5">
        <f t="shared" si="1"/>
        <v>250634254</v>
      </c>
      <c r="S41" s="5">
        <f t="shared" si="3"/>
        <v>0</v>
      </c>
      <c r="U41" s="5">
        <f t="shared" si="2"/>
        <v>0</v>
      </c>
      <c r="V41" s="5"/>
    </row>
    <row r="42" spans="1:22" s="3" customFormat="1" ht="12.75" hidden="1">
      <c r="A42" s="89" t="s">
        <v>85</v>
      </c>
      <c r="B42" s="34" t="s">
        <v>84</v>
      </c>
      <c r="C42" s="33"/>
      <c r="D42" s="33"/>
      <c r="E42" s="33"/>
      <c r="F42" s="33"/>
      <c r="G42" s="33">
        <f>C42+D42+E42+F42</f>
        <v>0</v>
      </c>
      <c r="H42" s="33"/>
      <c r="I42" s="29" t="s">
        <v>17</v>
      </c>
      <c r="J42" s="29">
        <v>0</v>
      </c>
      <c r="K42" s="29">
        <v>0</v>
      </c>
      <c r="L42" s="29">
        <v>0</v>
      </c>
      <c r="M42" s="29"/>
      <c r="N42" s="29">
        <f t="shared" si="5"/>
        <v>0</v>
      </c>
      <c r="O42" s="29"/>
      <c r="P42" s="29">
        <v>0</v>
      </c>
      <c r="Q42" s="29">
        <f>N42+P42</f>
        <v>0</v>
      </c>
      <c r="R42" s="5">
        <f t="shared" si="1"/>
        <v>0</v>
      </c>
      <c r="S42" s="5">
        <f t="shared" si="3"/>
        <v>0</v>
      </c>
      <c r="U42" s="5" t="e">
        <f t="shared" si="2"/>
        <v>#VALUE!</v>
      </c>
      <c r="V42" s="5"/>
    </row>
    <row r="43" spans="1:22" s="3" customFormat="1" ht="12.75">
      <c r="A43" s="89" t="s">
        <v>87</v>
      </c>
      <c r="B43" s="34" t="s">
        <v>86</v>
      </c>
      <c r="C43" s="33">
        <v>17000000</v>
      </c>
      <c r="D43" s="33"/>
      <c r="E43" s="33"/>
      <c r="F43" s="33"/>
      <c r="G43" s="33">
        <f aca="true" t="shared" si="9" ref="G43:G77">C43+D43+E43+F43</f>
        <v>17000000</v>
      </c>
      <c r="H43" s="33"/>
      <c r="I43" s="33">
        <f>G43+H43</f>
        <v>17000000</v>
      </c>
      <c r="J43" s="29">
        <v>11158957</v>
      </c>
      <c r="K43" s="29">
        <v>0</v>
      </c>
      <c r="L43" s="29">
        <v>0</v>
      </c>
      <c r="M43" s="29">
        <v>0</v>
      </c>
      <c r="N43" s="29">
        <f t="shared" si="5"/>
        <v>11158957</v>
      </c>
      <c r="O43" s="29">
        <v>0</v>
      </c>
      <c r="P43" s="29">
        <v>0</v>
      </c>
      <c r="Q43" s="29">
        <f>N43+P43</f>
        <v>11158957</v>
      </c>
      <c r="R43" s="5">
        <f t="shared" si="1"/>
        <v>11158957</v>
      </c>
      <c r="S43" s="5">
        <f t="shared" si="3"/>
        <v>0</v>
      </c>
      <c r="U43" s="5">
        <f t="shared" si="2"/>
        <v>0</v>
      </c>
      <c r="V43" s="5"/>
    </row>
    <row r="44" spans="1:22" s="3" customFormat="1" ht="25.5">
      <c r="A44" s="89" t="s">
        <v>88</v>
      </c>
      <c r="B44" s="34" t="s">
        <v>90</v>
      </c>
      <c r="C44" s="33">
        <v>79946625</v>
      </c>
      <c r="D44" s="33"/>
      <c r="E44" s="33"/>
      <c r="F44" s="33"/>
      <c r="G44" s="33">
        <f t="shared" si="9"/>
        <v>79946625</v>
      </c>
      <c r="H44" s="33"/>
      <c r="I44" s="33">
        <f>G44+H44</f>
        <v>79946625</v>
      </c>
      <c r="J44" s="29">
        <v>108118047</v>
      </c>
      <c r="K44" s="29">
        <v>0</v>
      </c>
      <c r="L44" s="29">
        <v>0</v>
      </c>
      <c r="M44" s="29">
        <v>0</v>
      </c>
      <c r="N44" s="29">
        <f t="shared" si="5"/>
        <v>108118047</v>
      </c>
      <c r="O44" s="29">
        <v>0</v>
      </c>
      <c r="P44" s="29">
        <v>0</v>
      </c>
      <c r="Q44" s="29">
        <f>N44+P44</f>
        <v>108118047</v>
      </c>
      <c r="R44" s="5">
        <f t="shared" si="1"/>
        <v>108118047</v>
      </c>
      <c r="S44" s="5">
        <f t="shared" si="3"/>
        <v>0</v>
      </c>
      <c r="U44" s="5">
        <f t="shared" si="2"/>
        <v>0</v>
      </c>
      <c r="V44" s="5"/>
    </row>
    <row r="45" spans="1:22" s="3" customFormat="1" ht="25.5">
      <c r="A45" s="89" t="s">
        <v>89</v>
      </c>
      <c r="B45" s="34" t="s">
        <v>91</v>
      </c>
      <c r="C45" s="33">
        <v>17370586</v>
      </c>
      <c r="D45" s="33"/>
      <c r="E45" s="33"/>
      <c r="F45" s="33"/>
      <c r="G45" s="33">
        <f t="shared" si="9"/>
        <v>17370586</v>
      </c>
      <c r="H45" s="33">
        <f>H47</f>
        <v>-378370</v>
      </c>
      <c r="I45" s="33">
        <f>G45+H45</f>
        <v>16992216</v>
      </c>
      <c r="J45" s="29">
        <v>16071051</v>
      </c>
      <c r="K45" s="29">
        <v>0</v>
      </c>
      <c r="L45" s="29">
        <v>0</v>
      </c>
      <c r="M45" s="29">
        <v>0</v>
      </c>
      <c r="N45" s="29">
        <f>J45+K45+L45+M45</f>
        <v>16071051</v>
      </c>
      <c r="O45" s="29">
        <f>O46</f>
        <v>-259763</v>
      </c>
      <c r="P45" s="29">
        <f>P47</f>
        <v>-154217</v>
      </c>
      <c r="Q45" s="29">
        <f>N45+O45+P45</f>
        <v>15657071</v>
      </c>
      <c r="R45" s="5">
        <f>J45+K45+L45+M45+O45+P45</f>
        <v>15657071</v>
      </c>
      <c r="S45" s="5">
        <f t="shared" si="3"/>
        <v>0</v>
      </c>
      <c r="U45" s="5">
        <f t="shared" si="2"/>
        <v>0</v>
      </c>
      <c r="V45" s="5"/>
    </row>
    <row r="46" spans="1:22" s="121" customFormat="1" ht="12.75">
      <c r="A46" s="122"/>
      <c r="B46" s="117" t="s">
        <v>368</v>
      </c>
      <c r="C46" s="119">
        <v>0</v>
      </c>
      <c r="D46" s="119"/>
      <c r="E46" s="119"/>
      <c r="F46" s="119"/>
      <c r="G46" s="119">
        <f t="shared" si="9"/>
        <v>0</v>
      </c>
      <c r="H46" s="119"/>
      <c r="I46" s="119"/>
      <c r="J46" s="123">
        <v>259763</v>
      </c>
      <c r="K46" s="123"/>
      <c r="L46" s="123"/>
      <c r="M46" s="123"/>
      <c r="N46" s="123">
        <f>J46</f>
        <v>259763</v>
      </c>
      <c r="O46" s="123">
        <f>-N46</f>
        <v>-259763</v>
      </c>
      <c r="P46" s="123">
        <v>0</v>
      </c>
      <c r="Q46" s="123">
        <f>N46+O46</f>
        <v>0</v>
      </c>
      <c r="R46" s="5">
        <f t="shared" si="1"/>
        <v>0</v>
      </c>
      <c r="S46" s="5">
        <f t="shared" si="3"/>
        <v>0</v>
      </c>
      <c r="U46" s="5">
        <f t="shared" si="2"/>
        <v>0</v>
      </c>
      <c r="V46" s="5"/>
    </row>
    <row r="47" spans="1:22" s="3" customFormat="1" ht="12.75">
      <c r="A47" s="92"/>
      <c r="B47" s="72" t="s">
        <v>334</v>
      </c>
      <c r="C47" s="73">
        <f>378370</f>
        <v>378370</v>
      </c>
      <c r="D47" s="73"/>
      <c r="E47" s="73"/>
      <c r="F47" s="73"/>
      <c r="G47" s="74">
        <f t="shared" si="9"/>
        <v>378370</v>
      </c>
      <c r="H47" s="73">
        <f>-G47</f>
        <v>-378370</v>
      </c>
      <c r="I47" s="75">
        <v>0</v>
      </c>
      <c r="J47" s="75">
        <f>154217</f>
        <v>154217</v>
      </c>
      <c r="K47" s="75">
        <v>0</v>
      </c>
      <c r="L47" s="75">
        <v>0</v>
      </c>
      <c r="M47" s="75">
        <v>0</v>
      </c>
      <c r="N47" s="75">
        <f t="shared" si="5"/>
        <v>154217</v>
      </c>
      <c r="O47" s="75">
        <v>0</v>
      </c>
      <c r="P47" s="75">
        <f>-N47</f>
        <v>-154217</v>
      </c>
      <c r="Q47" s="75">
        <v>0</v>
      </c>
      <c r="R47" s="5">
        <f t="shared" si="1"/>
        <v>0</v>
      </c>
      <c r="S47" s="5">
        <f t="shared" si="3"/>
        <v>0</v>
      </c>
      <c r="U47" s="5">
        <f t="shared" si="2"/>
        <v>0</v>
      </c>
      <c r="V47" s="5"/>
    </row>
    <row r="48" spans="1:22" s="3" customFormat="1" ht="25.5">
      <c r="A48" s="89" t="s">
        <v>93</v>
      </c>
      <c r="B48" s="34" t="s">
        <v>92</v>
      </c>
      <c r="C48" s="33">
        <v>7927312</v>
      </c>
      <c r="D48" s="33"/>
      <c r="E48" s="33"/>
      <c r="F48" s="33"/>
      <c r="G48" s="33">
        <f t="shared" si="9"/>
        <v>7927312</v>
      </c>
      <c r="H48" s="33">
        <f>H49</f>
        <v>-182332</v>
      </c>
      <c r="I48" s="33">
        <f>G48+H48</f>
        <v>7744980</v>
      </c>
      <c r="J48" s="29">
        <v>13796438</v>
      </c>
      <c r="K48" s="29">
        <v>0</v>
      </c>
      <c r="L48" s="29">
        <v>0</v>
      </c>
      <c r="M48" s="29">
        <v>0</v>
      </c>
      <c r="N48" s="29">
        <f t="shared" si="5"/>
        <v>13796438</v>
      </c>
      <c r="O48" s="29">
        <v>0</v>
      </c>
      <c r="P48" s="29">
        <f>P49</f>
        <v>-182455</v>
      </c>
      <c r="Q48" s="29">
        <f>N48+P48</f>
        <v>13613983</v>
      </c>
      <c r="R48" s="5">
        <f t="shared" si="1"/>
        <v>13613983</v>
      </c>
      <c r="S48" s="5">
        <f t="shared" si="3"/>
        <v>0</v>
      </c>
      <c r="U48" s="5">
        <f t="shared" si="2"/>
        <v>0</v>
      </c>
      <c r="V48" s="5"/>
    </row>
    <row r="49" spans="1:22" s="3" customFormat="1" ht="12.75">
      <c r="A49" s="92"/>
      <c r="B49" s="72" t="s">
        <v>334</v>
      </c>
      <c r="C49" s="73">
        <f>174567+669+7096</f>
        <v>182332</v>
      </c>
      <c r="D49" s="73"/>
      <c r="E49" s="73"/>
      <c r="F49" s="73"/>
      <c r="G49" s="74">
        <f t="shared" si="9"/>
        <v>182332</v>
      </c>
      <c r="H49" s="73">
        <f>-G49</f>
        <v>-182332</v>
      </c>
      <c r="I49" s="75">
        <f>G49+H49</f>
        <v>0</v>
      </c>
      <c r="J49" s="75">
        <f>174566+669+125+7095</f>
        <v>182455</v>
      </c>
      <c r="K49" s="75">
        <v>0</v>
      </c>
      <c r="L49" s="75">
        <v>0</v>
      </c>
      <c r="M49" s="75">
        <v>0</v>
      </c>
      <c r="N49" s="75">
        <f t="shared" si="5"/>
        <v>182455</v>
      </c>
      <c r="O49" s="75">
        <v>0</v>
      </c>
      <c r="P49" s="75">
        <f>-N49</f>
        <v>-182455</v>
      </c>
      <c r="Q49" s="75">
        <v>0</v>
      </c>
      <c r="R49" s="5">
        <f t="shared" si="1"/>
        <v>0</v>
      </c>
      <c r="S49" s="5">
        <f t="shared" si="3"/>
        <v>0</v>
      </c>
      <c r="U49" s="5">
        <f t="shared" si="2"/>
        <v>0</v>
      </c>
      <c r="V49" s="5"/>
    </row>
    <row r="50" spans="1:22" s="3" customFormat="1" ht="25.5">
      <c r="A50" s="89" t="s">
        <v>94</v>
      </c>
      <c r="B50" s="34" t="s">
        <v>95</v>
      </c>
      <c r="C50" s="33">
        <v>27900000</v>
      </c>
      <c r="D50" s="33"/>
      <c r="E50" s="33"/>
      <c r="F50" s="33">
        <v>0</v>
      </c>
      <c r="G50" s="33">
        <f t="shared" si="9"/>
        <v>27900000</v>
      </c>
      <c r="H50" s="33"/>
      <c r="I50" s="33">
        <f>G50+H50</f>
        <v>27900000</v>
      </c>
      <c r="J50" s="29">
        <v>40662736</v>
      </c>
      <c r="K50" s="29">
        <v>0</v>
      </c>
      <c r="L50" s="29">
        <v>0</v>
      </c>
      <c r="M50" s="29">
        <v>0</v>
      </c>
      <c r="N50" s="29">
        <f t="shared" si="5"/>
        <v>40662736</v>
      </c>
      <c r="O50" s="29">
        <v>0</v>
      </c>
      <c r="P50" s="29">
        <v>0</v>
      </c>
      <c r="Q50" s="29">
        <f aca="true" t="shared" si="10" ref="Q50:Q70">N50+P50</f>
        <v>40662736</v>
      </c>
      <c r="R50" s="5">
        <f t="shared" si="1"/>
        <v>40662736</v>
      </c>
      <c r="S50" s="5">
        <f t="shared" si="3"/>
        <v>0</v>
      </c>
      <c r="U50" s="5">
        <f t="shared" si="2"/>
        <v>0</v>
      </c>
      <c r="V50" s="5"/>
    </row>
    <row r="51" spans="1:22" s="3" customFormat="1" ht="25.5">
      <c r="A51" s="89" t="s">
        <v>97</v>
      </c>
      <c r="B51" s="34" t="s">
        <v>96</v>
      </c>
      <c r="C51" s="33">
        <v>12100000</v>
      </c>
      <c r="D51" s="33"/>
      <c r="E51" s="33"/>
      <c r="F51" s="33"/>
      <c r="G51" s="33">
        <f t="shared" si="9"/>
        <v>12100000</v>
      </c>
      <c r="H51" s="33"/>
      <c r="I51" s="33">
        <f>G51+H51</f>
        <v>12100000</v>
      </c>
      <c r="J51" s="29">
        <v>24438359</v>
      </c>
      <c r="K51" s="29">
        <v>0</v>
      </c>
      <c r="L51" s="29">
        <v>0</v>
      </c>
      <c r="M51" s="29">
        <v>0</v>
      </c>
      <c r="N51" s="29">
        <f t="shared" si="5"/>
        <v>24438359</v>
      </c>
      <c r="O51" s="29">
        <v>0</v>
      </c>
      <c r="P51" s="29">
        <v>0</v>
      </c>
      <c r="Q51" s="29">
        <f t="shared" si="10"/>
        <v>24438359</v>
      </c>
      <c r="R51" s="5">
        <f t="shared" si="1"/>
        <v>24438359</v>
      </c>
      <c r="S51" s="5">
        <f t="shared" si="3"/>
        <v>0</v>
      </c>
      <c r="U51" s="5">
        <f t="shared" si="2"/>
        <v>0</v>
      </c>
      <c r="V51" s="5"/>
    </row>
    <row r="52" spans="1:22" s="3" customFormat="1" ht="25.5">
      <c r="A52" s="89" t="s">
        <v>291</v>
      </c>
      <c r="B52" s="34" t="s">
        <v>292</v>
      </c>
      <c r="C52" s="33">
        <v>77310000</v>
      </c>
      <c r="D52" s="33"/>
      <c r="E52" s="33"/>
      <c r="F52" s="33"/>
      <c r="G52" s="33">
        <f t="shared" si="9"/>
        <v>77310000</v>
      </c>
      <c r="H52" s="33"/>
      <c r="I52" s="33">
        <f>G52+H52</f>
        <v>77310000</v>
      </c>
      <c r="J52" s="29">
        <v>36985061</v>
      </c>
      <c r="K52" s="29">
        <v>0</v>
      </c>
      <c r="L52" s="29">
        <v>0</v>
      </c>
      <c r="M52" s="29">
        <v>0</v>
      </c>
      <c r="N52" s="29">
        <f t="shared" si="5"/>
        <v>36985061</v>
      </c>
      <c r="O52" s="29">
        <v>0</v>
      </c>
      <c r="P52" s="29">
        <v>0</v>
      </c>
      <c r="Q52" s="29">
        <f t="shared" si="10"/>
        <v>36985061</v>
      </c>
      <c r="R52" s="5">
        <f t="shared" si="1"/>
        <v>36985061</v>
      </c>
      <c r="S52" s="5">
        <f t="shared" si="3"/>
        <v>0</v>
      </c>
      <c r="U52" s="5">
        <f t="shared" si="2"/>
        <v>0</v>
      </c>
      <c r="V52" s="5"/>
    </row>
    <row r="53" spans="1:22" s="3" customFormat="1" ht="12.75">
      <c r="A53" s="89" t="s">
        <v>98</v>
      </c>
      <c r="B53" s="34" t="s">
        <v>99</v>
      </c>
      <c r="C53" s="33"/>
      <c r="D53" s="33"/>
      <c r="E53" s="33"/>
      <c r="F53" s="33"/>
      <c r="G53" s="33">
        <f t="shared" si="9"/>
        <v>0</v>
      </c>
      <c r="H53" s="33"/>
      <c r="I53" s="29" t="s">
        <v>17</v>
      </c>
      <c r="J53" s="29">
        <v>0</v>
      </c>
      <c r="K53" s="29">
        <v>0</v>
      </c>
      <c r="L53" s="29">
        <v>40</v>
      </c>
      <c r="M53" s="29"/>
      <c r="N53" s="29">
        <f t="shared" si="5"/>
        <v>40</v>
      </c>
      <c r="O53" s="29">
        <v>0</v>
      </c>
      <c r="P53" s="29">
        <v>0</v>
      </c>
      <c r="Q53" s="29">
        <f t="shared" si="10"/>
        <v>40</v>
      </c>
      <c r="R53" s="5">
        <f t="shared" si="1"/>
        <v>40</v>
      </c>
      <c r="S53" s="5">
        <f t="shared" si="3"/>
        <v>0</v>
      </c>
      <c r="U53" s="5" t="e">
        <f t="shared" si="2"/>
        <v>#VALUE!</v>
      </c>
      <c r="V53" s="5"/>
    </row>
    <row r="54" spans="1:22" s="3" customFormat="1" ht="27">
      <c r="A54" s="88" t="s">
        <v>24</v>
      </c>
      <c r="B54" s="36" t="s">
        <v>100</v>
      </c>
      <c r="C54" s="31">
        <f>C55+C56+C57+C60</f>
        <v>79992728</v>
      </c>
      <c r="D54" s="31"/>
      <c r="E54" s="31"/>
      <c r="F54" s="31"/>
      <c r="G54" s="31">
        <f t="shared" si="9"/>
        <v>79992728</v>
      </c>
      <c r="H54" s="31"/>
      <c r="I54" s="31">
        <f>G54+H54</f>
        <v>79992728</v>
      </c>
      <c r="J54" s="27">
        <f>J55+J56+J57+J58+J59+J60</f>
        <v>86482379</v>
      </c>
      <c r="K54" s="27">
        <f>K55+K56+K57+K58+K59+K60</f>
        <v>0</v>
      </c>
      <c r="L54" s="27">
        <f>L55+L56+L57+L58+L59+L60</f>
        <v>0</v>
      </c>
      <c r="M54" s="27">
        <f>M55+M56+M57+M58+M59+M60</f>
        <v>0</v>
      </c>
      <c r="N54" s="27">
        <f>N55+N56+N57+N58+N59+N60</f>
        <v>86482379</v>
      </c>
      <c r="O54" s="27">
        <v>0</v>
      </c>
      <c r="P54" s="27">
        <v>0</v>
      </c>
      <c r="Q54" s="27">
        <f t="shared" si="10"/>
        <v>86482379</v>
      </c>
      <c r="R54" s="5">
        <f t="shared" si="1"/>
        <v>86482379</v>
      </c>
      <c r="S54" s="5">
        <f t="shared" si="3"/>
        <v>0</v>
      </c>
      <c r="U54" s="5">
        <f t="shared" si="2"/>
        <v>0</v>
      </c>
      <c r="V54" s="5"/>
    </row>
    <row r="55" spans="1:22" s="3" customFormat="1" ht="25.5">
      <c r="A55" s="89" t="s">
        <v>101</v>
      </c>
      <c r="B55" s="34" t="s">
        <v>106</v>
      </c>
      <c r="C55" s="33">
        <v>35351912</v>
      </c>
      <c r="D55" s="33"/>
      <c r="E55" s="33"/>
      <c r="F55" s="33"/>
      <c r="G55" s="33">
        <f t="shared" si="9"/>
        <v>35351912</v>
      </c>
      <c r="H55" s="33"/>
      <c r="I55" s="33">
        <f>G55+H55</f>
        <v>35351912</v>
      </c>
      <c r="J55" s="29">
        <v>43558436</v>
      </c>
      <c r="K55" s="29">
        <v>0</v>
      </c>
      <c r="L55" s="29">
        <v>0</v>
      </c>
      <c r="M55" s="29">
        <v>0</v>
      </c>
      <c r="N55" s="29">
        <f t="shared" si="5"/>
        <v>43558436</v>
      </c>
      <c r="O55" s="29">
        <v>0</v>
      </c>
      <c r="P55" s="29">
        <v>0</v>
      </c>
      <c r="Q55" s="29">
        <f t="shared" si="10"/>
        <v>43558436</v>
      </c>
      <c r="R55" s="5">
        <f t="shared" si="1"/>
        <v>43558436</v>
      </c>
      <c r="S55" s="5">
        <f t="shared" si="3"/>
        <v>0</v>
      </c>
      <c r="U55" s="5">
        <f t="shared" si="2"/>
        <v>0</v>
      </c>
      <c r="V55" s="5"/>
    </row>
    <row r="56" spans="1:22" s="3" customFormat="1" ht="38.25">
      <c r="A56" s="89" t="s">
        <v>102</v>
      </c>
      <c r="B56" s="34" t="s">
        <v>107</v>
      </c>
      <c r="C56" s="33">
        <v>990000</v>
      </c>
      <c r="D56" s="33"/>
      <c r="E56" s="33"/>
      <c r="F56" s="33"/>
      <c r="G56" s="33">
        <f t="shared" si="9"/>
        <v>990000</v>
      </c>
      <c r="H56" s="33"/>
      <c r="I56" s="33">
        <f>G56+H56</f>
        <v>990000</v>
      </c>
      <c r="J56" s="29">
        <v>1219593</v>
      </c>
      <c r="K56" s="29">
        <v>0</v>
      </c>
      <c r="L56" s="29">
        <v>0</v>
      </c>
      <c r="M56" s="29">
        <v>0</v>
      </c>
      <c r="N56" s="29">
        <f t="shared" si="5"/>
        <v>1219593</v>
      </c>
      <c r="O56" s="29">
        <v>0</v>
      </c>
      <c r="P56" s="29">
        <v>0</v>
      </c>
      <c r="Q56" s="29">
        <f t="shared" si="10"/>
        <v>1219593</v>
      </c>
      <c r="R56" s="5">
        <f t="shared" si="1"/>
        <v>1219593</v>
      </c>
      <c r="S56" s="5">
        <f t="shared" si="3"/>
        <v>0</v>
      </c>
      <c r="U56" s="5">
        <f t="shared" si="2"/>
        <v>0</v>
      </c>
      <c r="V56" s="5"/>
    </row>
    <row r="57" spans="1:22" s="3" customFormat="1" ht="12.75">
      <c r="A57" s="89" t="s">
        <v>103</v>
      </c>
      <c r="B57" s="34" t="s">
        <v>108</v>
      </c>
      <c r="C57" s="33">
        <v>42963216</v>
      </c>
      <c r="D57" s="33"/>
      <c r="E57" s="33"/>
      <c r="F57" s="33"/>
      <c r="G57" s="33">
        <f t="shared" si="9"/>
        <v>42963216</v>
      </c>
      <c r="H57" s="33"/>
      <c r="I57" s="33">
        <f>G57+H57</f>
        <v>42963216</v>
      </c>
      <c r="J57" s="29">
        <v>41613963</v>
      </c>
      <c r="K57" s="29">
        <v>0</v>
      </c>
      <c r="L57" s="29">
        <v>0</v>
      </c>
      <c r="M57" s="29">
        <v>0</v>
      </c>
      <c r="N57" s="29">
        <f t="shared" si="5"/>
        <v>41613963</v>
      </c>
      <c r="O57" s="29">
        <v>0</v>
      </c>
      <c r="P57" s="29">
        <v>0</v>
      </c>
      <c r="Q57" s="29">
        <f t="shared" si="10"/>
        <v>41613963</v>
      </c>
      <c r="R57" s="5">
        <f t="shared" si="1"/>
        <v>41613963</v>
      </c>
      <c r="S57" s="5">
        <f t="shared" si="3"/>
        <v>0</v>
      </c>
      <c r="U57" s="5">
        <f t="shared" si="2"/>
        <v>0</v>
      </c>
      <c r="V57" s="5"/>
    </row>
    <row r="58" spans="1:22" s="3" customFormat="1" ht="12.75" hidden="1">
      <c r="A58" s="89" t="s">
        <v>104</v>
      </c>
      <c r="B58" s="34" t="s">
        <v>109</v>
      </c>
      <c r="C58" s="33"/>
      <c r="D58" s="33"/>
      <c r="E58" s="33"/>
      <c r="F58" s="33"/>
      <c r="G58" s="33">
        <f t="shared" si="9"/>
        <v>0</v>
      </c>
      <c r="H58" s="33"/>
      <c r="I58" s="29" t="s">
        <v>17</v>
      </c>
      <c r="J58" s="29">
        <v>0</v>
      </c>
      <c r="K58" s="29">
        <v>0</v>
      </c>
      <c r="L58" s="29">
        <v>0</v>
      </c>
      <c r="M58" s="29">
        <v>0</v>
      </c>
      <c r="N58" s="29">
        <f t="shared" si="5"/>
        <v>0</v>
      </c>
      <c r="O58" s="29">
        <v>0</v>
      </c>
      <c r="P58" s="29">
        <v>0</v>
      </c>
      <c r="Q58" s="29">
        <f t="shared" si="10"/>
        <v>0</v>
      </c>
      <c r="R58" s="5">
        <f t="shared" si="1"/>
        <v>0</v>
      </c>
      <c r="S58" s="5">
        <f t="shared" si="3"/>
        <v>0</v>
      </c>
      <c r="U58" s="5" t="e">
        <f t="shared" si="2"/>
        <v>#VALUE!</v>
      </c>
      <c r="V58" s="5"/>
    </row>
    <row r="59" spans="1:22" s="3" customFormat="1" ht="12.75" hidden="1">
      <c r="A59" s="89" t="s">
        <v>25</v>
      </c>
      <c r="B59" s="34" t="s">
        <v>110</v>
      </c>
      <c r="C59" s="33"/>
      <c r="D59" s="33"/>
      <c r="E59" s="33"/>
      <c r="F59" s="33"/>
      <c r="G59" s="33">
        <f t="shared" si="9"/>
        <v>0</v>
      </c>
      <c r="H59" s="33"/>
      <c r="I59" s="29" t="s">
        <v>17</v>
      </c>
      <c r="J59" s="29">
        <v>0</v>
      </c>
      <c r="K59" s="29">
        <v>0</v>
      </c>
      <c r="L59" s="29">
        <v>0</v>
      </c>
      <c r="M59" s="29">
        <v>0</v>
      </c>
      <c r="N59" s="29">
        <f t="shared" si="5"/>
        <v>0</v>
      </c>
      <c r="O59" s="29">
        <v>0</v>
      </c>
      <c r="P59" s="29">
        <v>0</v>
      </c>
      <c r="Q59" s="29">
        <f t="shared" si="10"/>
        <v>0</v>
      </c>
      <c r="R59" s="5">
        <f t="shared" si="1"/>
        <v>0</v>
      </c>
      <c r="S59" s="5">
        <f t="shared" si="3"/>
        <v>0</v>
      </c>
      <c r="U59" s="5" t="e">
        <f t="shared" si="2"/>
        <v>#VALUE!</v>
      </c>
      <c r="V59" s="5"/>
    </row>
    <row r="60" spans="1:22" s="3" customFormat="1" ht="12.75">
      <c r="A60" s="89" t="s">
        <v>105</v>
      </c>
      <c r="B60" s="34" t="s">
        <v>111</v>
      </c>
      <c r="C60" s="33">
        <v>687600</v>
      </c>
      <c r="D60" s="33"/>
      <c r="E60" s="33"/>
      <c r="F60" s="33"/>
      <c r="G60" s="33">
        <f t="shared" si="9"/>
        <v>687600</v>
      </c>
      <c r="H60" s="33"/>
      <c r="I60" s="33">
        <f>G60+H60</f>
        <v>687600</v>
      </c>
      <c r="J60" s="29">
        <v>90387</v>
      </c>
      <c r="K60" s="29">
        <v>0</v>
      </c>
      <c r="L60" s="29">
        <v>0</v>
      </c>
      <c r="M60" s="29">
        <v>0</v>
      </c>
      <c r="N60" s="29">
        <f t="shared" si="5"/>
        <v>90387</v>
      </c>
      <c r="O60" s="29">
        <v>0</v>
      </c>
      <c r="P60" s="29">
        <v>0</v>
      </c>
      <c r="Q60" s="29">
        <f t="shared" si="10"/>
        <v>90387</v>
      </c>
      <c r="R60" s="5">
        <f t="shared" si="1"/>
        <v>90387</v>
      </c>
      <c r="S60" s="5">
        <f t="shared" si="3"/>
        <v>0</v>
      </c>
      <c r="U60" s="5">
        <f t="shared" si="2"/>
        <v>0</v>
      </c>
      <c r="V60" s="5"/>
    </row>
    <row r="61" spans="1:22" s="3" customFormat="1" ht="13.5">
      <c r="A61" s="90" t="s">
        <v>26</v>
      </c>
      <c r="B61" s="30" t="s">
        <v>194</v>
      </c>
      <c r="C61" s="31">
        <v>16000000</v>
      </c>
      <c r="D61" s="31"/>
      <c r="E61" s="31"/>
      <c r="F61" s="31"/>
      <c r="G61" s="31">
        <f t="shared" si="9"/>
        <v>16000000</v>
      </c>
      <c r="H61" s="31"/>
      <c r="I61" s="31">
        <f>G61+H61</f>
        <v>16000000</v>
      </c>
      <c r="J61" s="27">
        <f>J62+J63+J64+J65+J66</f>
        <v>10008600</v>
      </c>
      <c r="K61" s="27">
        <f>K62+K63+K64+K65+K66</f>
        <v>0</v>
      </c>
      <c r="L61" s="27">
        <f>L62+L63+L64+L65+L66</f>
        <v>0</v>
      </c>
      <c r="M61" s="27">
        <f>M62+M63+M64+M65+M66</f>
        <v>0</v>
      </c>
      <c r="N61" s="27">
        <f>N62+N63+N64+N65+N66</f>
        <v>10008600</v>
      </c>
      <c r="O61" s="27">
        <v>0</v>
      </c>
      <c r="P61" s="27">
        <v>0</v>
      </c>
      <c r="Q61" s="27">
        <f t="shared" si="10"/>
        <v>10008600</v>
      </c>
      <c r="R61" s="5">
        <f t="shared" si="1"/>
        <v>10008600</v>
      </c>
      <c r="S61" s="5">
        <f t="shared" si="3"/>
        <v>0</v>
      </c>
      <c r="U61" s="5">
        <f t="shared" si="2"/>
        <v>0</v>
      </c>
      <c r="V61" s="5"/>
    </row>
    <row r="62" spans="1:22" s="3" customFormat="1" ht="12.75">
      <c r="A62" s="91" t="s">
        <v>113</v>
      </c>
      <c r="B62" s="32" t="s">
        <v>112</v>
      </c>
      <c r="C62" s="33"/>
      <c r="D62" s="33"/>
      <c r="E62" s="33"/>
      <c r="F62" s="33"/>
      <c r="G62" s="33">
        <f t="shared" si="9"/>
        <v>0</v>
      </c>
      <c r="H62" s="33"/>
      <c r="I62" s="29" t="s">
        <v>17</v>
      </c>
      <c r="J62" s="29">
        <v>8735915</v>
      </c>
      <c r="K62" s="29">
        <v>0</v>
      </c>
      <c r="L62" s="29">
        <v>0</v>
      </c>
      <c r="M62" s="29">
        <v>0</v>
      </c>
      <c r="N62" s="29">
        <f t="shared" si="5"/>
        <v>8735915</v>
      </c>
      <c r="O62" s="29">
        <v>0</v>
      </c>
      <c r="P62" s="29">
        <v>0</v>
      </c>
      <c r="Q62" s="29">
        <f t="shared" si="10"/>
        <v>8735915</v>
      </c>
      <c r="R62" s="5">
        <f t="shared" si="1"/>
        <v>8735915</v>
      </c>
      <c r="S62" s="5">
        <f t="shared" si="3"/>
        <v>0</v>
      </c>
      <c r="U62" s="5" t="e">
        <f t="shared" si="2"/>
        <v>#VALUE!</v>
      </c>
      <c r="V62" s="5"/>
    </row>
    <row r="63" spans="1:22" s="3" customFormat="1" ht="38.25">
      <c r="A63" s="91" t="s">
        <v>114</v>
      </c>
      <c r="B63" s="34" t="s">
        <v>321</v>
      </c>
      <c r="C63" s="33"/>
      <c r="D63" s="33"/>
      <c r="E63" s="33"/>
      <c r="F63" s="33"/>
      <c r="G63" s="33">
        <f t="shared" si="9"/>
        <v>0</v>
      </c>
      <c r="H63" s="33"/>
      <c r="I63" s="29" t="s">
        <v>17</v>
      </c>
      <c r="J63" s="29">
        <v>1245570</v>
      </c>
      <c r="K63" s="29">
        <v>0</v>
      </c>
      <c r="L63" s="29">
        <v>0</v>
      </c>
      <c r="M63" s="29">
        <v>0</v>
      </c>
      <c r="N63" s="29">
        <f t="shared" si="5"/>
        <v>1245570</v>
      </c>
      <c r="O63" s="29">
        <v>0</v>
      </c>
      <c r="P63" s="29">
        <v>0</v>
      </c>
      <c r="Q63" s="29">
        <f t="shared" si="10"/>
        <v>1245570</v>
      </c>
      <c r="R63" s="5">
        <f t="shared" si="1"/>
        <v>1245570</v>
      </c>
      <c r="S63" s="5">
        <f t="shared" si="3"/>
        <v>0</v>
      </c>
      <c r="U63" s="5" t="e">
        <f t="shared" si="2"/>
        <v>#VALUE!</v>
      </c>
      <c r="V63" s="5"/>
    </row>
    <row r="64" spans="1:22" s="3" customFormat="1" ht="38.25">
      <c r="A64" s="91" t="s">
        <v>115</v>
      </c>
      <c r="B64" s="34" t="s">
        <v>322</v>
      </c>
      <c r="C64" s="33"/>
      <c r="D64" s="33"/>
      <c r="E64" s="33"/>
      <c r="F64" s="33"/>
      <c r="G64" s="33">
        <f t="shared" si="9"/>
        <v>0</v>
      </c>
      <c r="H64" s="33"/>
      <c r="I64" s="29" t="s">
        <v>17</v>
      </c>
      <c r="J64" s="29">
        <v>27115</v>
      </c>
      <c r="K64" s="29">
        <v>0</v>
      </c>
      <c r="L64" s="29">
        <v>0</v>
      </c>
      <c r="M64" s="29">
        <v>0</v>
      </c>
      <c r="N64" s="29">
        <f t="shared" si="5"/>
        <v>27115</v>
      </c>
      <c r="O64" s="29">
        <v>0</v>
      </c>
      <c r="P64" s="29">
        <v>0</v>
      </c>
      <c r="Q64" s="29">
        <f t="shared" si="10"/>
        <v>27115</v>
      </c>
      <c r="R64" s="5">
        <f t="shared" si="1"/>
        <v>27115</v>
      </c>
      <c r="S64" s="5">
        <f t="shared" si="3"/>
        <v>0</v>
      </c>
      <c r="U64" s="5" t="e">
        <f t="shared" si="2"/>
        <v>#VALUE!</v>
      </c>
      <c r="V64" s="5"/>
    </row>
    <row r="65" spans="1:22" s="3" customFormat="1" ht="25.5" hidden="1">
      <c r="A65" s="91" t="s">
        <v>116</v>
      </c>
      <c r="B65" s="34" t="s">
        <v>323</v>
      </c>
      <c r="C65" s="33"/>
      <c r="D65" s="33"/>
      <c r="E65" s="33"/>
      <c r="F65" s="33"/>
      <c r="G65" s="33">
        <f t="shared" si="9"/>
        <v>0</v>
      </c>
      <c r="H65" s="33"/>
      <c r="I65" s="29" t="s">
        <v>17</v>
      </c>
      <c r="J65" s="29">
        <v>0</v>
      </c>
      <c r="K65" s="29">
        <v>0</v>
      </c>
      <c r="L65" s="29">
        <v>0</v>
      </c>
      <c r="M65" s="29"/>
      <c r="N65" s="29">
        <f t="shared" si="5"/>
        <v>0</v>
      </c>
      <c r="O65" s="29">
        <v>0</v>
      </c>
      <c r="P65" s="29">
        <v>0</v>
      </c>
      <c r="Q65" s="29">
        <f t="shared" si="10"/>
        <v>0</v>
      </c>
      <c r="R65" s="5">
        <f t="shared" si="1"/>
        <v>0</v>
      </c>
      <c r="S65" s="5">
        <f t="shared" si="3"/>
        <v>0</v>
      </c>
      <c r="U65" s="5" t="e">
        <f t="shared" si="2"/>
        <v>#VALUE!</v>
      </c>
      <c r="V65" s="5"/>
    </row>
    <row r="66" spans="1:22" s="3" customFormat="1" ht="25.5" hidden="1">
      <c r="A66" s="91" t="s">
        <v>117</v>
      </c>
      <c r="B66" s="34" t="s">
        <v>324</v>
      </c>
      <c r="C66" s="33"/>
      <c r="D66" s="33"/>
      <c r="E66" s="33"/>
      <c r="F66" s="33"/>
      <c r="G66" s="33">
        <f t="shared" si="9"/>
        <v>0</v>
      </c>
      <c r="H66" s="33"/>
      <c r="I66" s="29" t="s">
        <v>17</v>
      </c>
      <c r="J66" s="29">
        <v>0</v>
      </c>
      <c r="K66" s="29">
        <v>0</v>
      </c>
      <c r="L66" s="29"/>
      <c r="M66" s="29"/>
      <c r="N66" s="29">
        <f t="shared" si="5"/>
        <v>0</v>
      </c>
      <c r="O66" s="29">
        <v>0</v>
      </c>
      <c r="P66" s="29">
        <v>0</v>
      </c>
      <c r="Q66" s="29">
        <f t="shared" si="10"/>
        <v>0</v>
      </c>
      <c r="R66" s="5">
        <f t="shared" si="1"/>
        <v>0</v>
      </c>
      <c r="S66" s="5">
        <f t="shared" si="3"/>
        <v>0</v>
      </c>
      <c r="U66" s="5" t="e">
        <f t="shared" si="2"/>
        <v>#VALUE!</v>
      </c>
      <c r="V66" s="5"/>
    </row>
    <row r="67" spans="1:22" s="3" customFormat="1" ht="13.5">
      <c r="A67" s="90" t="s">
        <v>44</v>
      </c>
      <c r="B67" s="30" t="s">
        <v>195</v>
      </c>
      <c r="C67" s="31">
        <v>9330584</v>
      </c>
      <c r="D67" s="31"/>
      <c r="E67" s="31"/>
      <c r="F67" s="31"/>
      <c r="G67" s="31">
        <f t="shared" si="9"/>
        <v>9330584</v>
      </c>
      <c r="H67" s="31"/>
      <c r="I67" s="31">
        <f>G67+H67</f>
        <v>9330584</v>
      </c>
      <c r="J67" s="27">
        <f>J68+J69+J70</f>
        <v>19475666</v>
      </c>
      <c r="K67" s="27">
        <f>K68+K69+K70</f>
        <v>0</v>
      </c>
      <c r="L67" s="27">
        <f>L68+L69+L70</f>
        <v>0</v>
      </c>
      <c r="M67" s="27">
        <f>M68+M69+M70</f>
        <v>0</v>
      </c>
      <c r="N67" s="27">
        <f>N68+N69+N70</f>
        <v>19475666</v>
      </c>
      <c r="O67" s="27">
        <v>0</v>
      </c>
      <c r="P67" s="27">
        <f>P68+P69+P70</f>
        <v>-21420</v>
      </c>
      <c r="Q67" s="27">
        <f t="shared" si="10"/>
        <v>19454246</v>
      </c>
      <c r="R67" s="5">
        <f t="shared" si="1"/>
        <v>19454246</v>
      </c>
      <c r="S67" s="5">
        <f t="shared" si="3"/>
        <v>0</v>
      </c>
      <c r="U67" s="5">
        <f t="shared" si="2"/>
        <v>0</v>
      </c>
      <c r="V67" s="5"/>
    </row>
    <row r="68" spans="1:22" s="3" customFormat="1" ht="12.75">
      <c r="A68" s="91" t="s">
        <v>118</v>
      </c>
      <c r="B68" s="32" t="s">
        <v>121</v>
      </c>
      <c r="C68" s="33"/>
      <c r="D68" s="33"/>
      <c r="E68" s="33"/>
      <c r="F68" s="33"/>
      <c r="G68" s="33">
        <f t="shared" si="9"/>
        <v>0</v>
      </c>
      <c r="H68" s="33"/>
      <c r="I68" s="128" t="s">
        <v>17</v>
      </c>
      <c r="J68" s="128">
        <v>1165837</v>
      </c>
      <c r="K68" s="128">
        <v>0</v>
      </c>
      <c r="L68" s="128">
        <v>0</v>
      </c>
      <c r="M68" s="128">
        <v>0</v>
      </c>
      <c r="N68" s="128">
        <f t="shared" si="5"/>
        <v>1165837</v>
      </c>
      <c r="O68" s="128">
        <v>0</v>
      </c>
      <c r="P68" s="128">
        <v>0</v>
      </c>
      <c r="Q68" s="128">
        <f t="shared" si="10"/>
        <v>1165837</v>
      </c>
      <c r="R68" s="5">
        <f t="shared" si="1"/>
        <v>1165837</v>
      </c>
      <c r="S68" s="5">
        <f t="shared" si="3"/>
        <v>0</v>
      </c>
      <c r="U68" s="5" t="e">
        <f t="shared" si="2"/>
        <v>#VALUE!</v>
      </c>
      <c r="V68" s="5"/>
    </row>
    <row r="69" spans="1:22" s="3" customFormat="1" ht="25.5">
      <c r="A69" s="91" t="s">
        <v>119</v>
      </c>
      <c r="B69" s="34" t="s">
        <v>325</v>
      </c>
      <c r="C69" s="33"/>
      <c r="D69" s="33"/>
      <c r="E69" s="33"/>
      <c r="F69" s="33"/>
      <c r="G69" s="33">
        <f t="shared" si="9"/>
        <v>0</v>
      </c>
      <c r="H69" s="33"/>
      <c r="I69" s="128" t="s">
        <v>17</v>
      </c>
      <c r="J69" s="128">
        <v>1255095</v>
      </c>
      <c r="K69" s="128">
        <v>0</v>
      </c>
      <c r="L69" s="128">
        <v>0</v>
      </c>
      <c r="M69" s="128">
        <v>0</v>
      </c>
      <c r="N69" s="128">
        <f t="shared" si="5"/>
        <v>1255095</v>
      </c>
      <c r="O69" s="128">
        <v>0</v>
      </c>
      <c r="P69" s="128">
        <v>0</v>
      </c>
      <c r="Q69" s="128">
        <f t="shared" si="10"/>
        <v>1255095</v>
      </c>
      <c r="R69" s="5">
        <f t="shared" si="1"/>
        <v>1255095</v>
      </c>
      <c r="S69" s="5">
        <f t="shared" si="3"/>
        <v>0</v>
      </c>
      <c r="U69" s="5" t="e">
        <f t="shared" si="2"/>
        <v>#VALUE!</v>
      </c>
      <c r="V69" s="5"/>
    </row>
    <row r="70" spans="1:22" s="3" customFormat="1" ht="12.75">
      <c r="A70" s="91" t="s">
        <v>120</v>
      </c>
      <c r="B70" s="32" t="s">
        <v>122</v>
      </c>
      <c r="C70" s="33"/>
      <c r="D70" s="33"/>
      <c r="E70" s="33"/>
      <c r="F70" s="33"/>
      <c r="G70" s="33">
        <f t="shared" si="9"/>
        <v>0</v>
      </c>
      <c r="H70" s="33"/>
      <c r="I70" s="128" t="s">
        <v>17</v>
      </c>
      <c r="J70" s="128">
        <v>17054734</v>
      </c>
      <c r="K70" s="128">
        <v>0</v>
      </c>
      <c r="L70" s="128">
        <v>0</v>
      </c>
      <c r="M70" s="128">
        <v>0</v>
      </c>
      <c r="N70" s="128">
        <f t="shared" si="5"/>
        <v>17054734</v>
      </c>
      <c r="O70" s="128">
        <v>0</v>
      </c>
      <c r="P70" s="128">
        <f>P71</f>
        <v>-21420</v>
      </c>
      <c r="Q70" s="128">
        <f t="shared" si="10"/>
        <v>17033314</v>
      </c>
      <c r="R70" s="5">
        <f t="shared" si="1"/>
        <v>17033314</v>
      </c>
      <c r="S70" s="5">
        <f t="shared" si="3"/>
        <v>0</v>
      </c>
      <c r="U70" s="5" t="e">
        <f t="shared" si="2"/>
        <v>#VALUE!</v>
      </c>
      <c r="V70" s="5"/>
    </row>
    <row r="71" spans="1:22" s="3" customFormat="1" ht="12.75">
      <c r="A71" s="93"/>
      <c r="B71" s="39" t="s">
        <v>285</v>
      </c>
      <c r="C71" s="40">
        <v>0</v>
      </c>
      <c r="D71" s="40">
        <f>D69</f>
        <v>0</v>
      </c>
      <c r="E71" s="40"/>
      <c r="F71" s="40">
        <v>0</v>
      </c>
      <c r="G71" s="40">
        <f>C71+D71+E71+F71</f>
        <v>0</v>
      </c>
      <c r="H71" s="40">
        <f>-G71</f>
        <v>0</v>
      </c>
      <c r="I71" s="125">
        <v>0</v>
      </c>
      <c r="J71" s="125">
        <f>3411+17312+697</f>
        <v>21420</v>
      </c>
      <c r="K71" s="125">
        <v>0</v>
      </c>
      <c r="L71" s="125">
        <v>0</v>
      </c>
      <c r="M71" s="125">
        <v>0</v>
      </c>
      <c r="N71" s="125">
        <f>J71+K71+L71+M71</f>
        <v>21420</v>
      </c>
      <c r="O71" s="125">
        <v>0</v>
      </c>
      <c r="P71" s="125">
        <f>-N71</f>
        <v>-21420</v>
      </c>
      <c r="Q71" s="125">
        <f>N71+P71</f>
        <v>0</v>
      </c>
      <c r="R71" s="5">
        <f t="shared" si="1"/>
        <v>0</v>
      </c>
      <c r="S71" s="5">
        <f t="shared" si="3"/>
        <v>0</v>
      </c>
      <c r="U71" s="5">
        <f t="shared" si="2"/>
        <v>0</v>
      </c>
      <c r="V71" s="5"/>
    </row>
    <row r="72" spans="1:22" s="3" customFormat="1" ht="40.5">
      <c r="A72" s="88" t="s">
        <v>27</v>
      </c>
      <c r="B72" s="36" t="s">
        <v>132</v>
      </c>
      <c r="C72" s="31"/>
      <c r="D72" s="31"/>
      <c r="E72" s="31"/>
      <c r="F72" s="31"/>
      <c r="G72" s="33">
        <f t="shared" si="9"/>
        <v>0</v>
      </c>
      <c r="H72" s="31"/>
      <c r="I72" s="132" t="s">
        <v>17</v>
      </c>
      <c r="J72" s="132">
        <f>J73+J74+J75+J76+J77+J80+J82</f>
        <v>4704508</v>
      </c>
      <c r="K72" s="132">
        <f>K73+K74+K75+K76+K77</f>
        <v>0</v>
      </c>
      <c r="L72" s="132">
        <f>L73+L74+L75+L76+L77+L80+L82</f>
        <v>0</v>
      </c>
      <c r="M72" s="132">
        <v>0</v>
      </c>
      <c r="N72" s="132">
        <f t="shared" si="5"/>
        <v>4704508</v>
      </c>
      <c r="O72" s="132">
        <v>0</v>
      </c>
      <c r="P72" s="132">
        <v>0</v>
      </c>
      <c r="Q72" s="132">
        <f aca="true" t="shared" si="11" ref="Q72:Q78">N72+P72</f>
        <v>4704508</v>
      </c>
      <c r="R72" s="5">
        <f t="shared" si="1"/>
        <v>4704508</v>
      </c>
      <c r="S72" s="5">
        <f t="shared" si="3"/>
        <v>0</v>
      </c>
      <c r="U72" s="5" t="e">
        <f t="shared" si="2"/>
        <v>#VALUE!</v>
      </c>
      <c r="V72" s="5"/>
    </row>
    <row r="73" spans="1:22" s="3" customFormat="1" ht="12.75">
      <c r="A73" s="91" t="s">
        <v>124</v>
      </c>
      <c r="B73" s="32" t="s">
        <v>123</v>
      </c>
      <c r="C73" s="33"/>
      <c r="D73" s="33"/>
      <c r="E73" s="33"/>
      <c r="F73" s="33"/>
      <c r="G73" s="33">
        <f t="shared" si="9"/>
        <v>0</v>
      </c>
      <c r="H73" s="33"/>
      <c r="I73" s="128" t="s">
        <v>17</v>
      </c>
      <c r="J73" s="128">
        <v>3587061</v>
      </c>
      <c r="K73" s="128">
        <v>0</v>
      </c>
      <c r="L73" s="128">
        <v>0</v>
      </c>
      <c r="M73" s="128">
        <v>0</v>
      </c>
      <c r="N73" s="128">
        <f t="shared" si="5"/>
        <v>3587061</v>
      </c>
      <c r="O73" s="128">
        <v>0</v>
      </c>
      <c r="P73" s="128">
        <v>0</v>
      </c>
      <c r="Q73" s="128">
        <f t="shared" si="11"/>
        <v>3587061</v>
      </c>
      <c r="R73" s="5">
        <f t="shared" si="1"/>
        <v>3587061</v>
      </c>
      <c r="S73" s="5">
        <f t="shared" si="3"/>
        <v>0</v>
      </c>
      <c r="U73" s="5" t="e">
        <f t="shared" si="2"/>
        <v>#VALUE!</v>
      </c>
      <c r="V73" s="5"/>
    </row>
    <row r="74" spans="1:22" s="3" customFormat="1" ht="12.75">
      <c r="A74" s="91" t="s">
        <v>125</v>
      </c>
      <c r="B74" s="32" t="s">
        <v>129</v>
      </c>
      <c r="C74" s="33"/>
      <c r="D74" s="33"/>
      <c r="E74" s="33"/>
      <c r="F74" s="33"/>
      <c r="G74" s="33">
        <f t="shared" si="9"/>
        <v>0</v>
      </c>
      <c r="H74" s="33"/>
      <c r="I74" s="128" t="s">
        <v>17</v>
      </c>
      <c r="J74" s="128">
        <v>1099219</v>
      </c>
      <c r="K74" s="128">
        <v>0</v>
      </c>
      <c r="L74" s="128">
        <v>0</v>
      </c>
      <c r="M74" s="128">
        <v>0</v>
      </c>
      <c r="N74" s="128">
        <f t="shared" si="5"/>
        <v>1099219</v>
      </c>
      <c r="O74" s="128">
        <v>0</v>
      </c>
      <c r="P74" s="128">
        <v>0</v>
      </c>
      <c r="Q74" s="128">
        <f t="shared" si="11"/>
        <v>1099219</v>
      </c>
      <c r="R74" s="5">
        <f t="shared" si="1"/>
        <v>1099219</v>
      </c>
      <c r="S74" s="5">
        <f t="shared" si="3"/>
        <v>0</v>
      </c>
      <c r="U74" s="5" t="e">
        <f t="shared" si="2"/>
        <v>#VALUE!</v>
      </c>
      <c r="V74" s="5"/>
    </row>
    <row r="75" spans="1:22" s="3" customFormat="1" ht="12.75">
      <c r="A75" s="91" t="s">
        <v>126</v>
      </c>
      <c r="B75" s="32" t="s">
        <v>130</v>
      </c>
      <c r="C75" s="33"/>
      <c r="D75" s="33"/>
      <c r="E75" s="33"/>
      <c r="F75" s="33"/>
      <c r="G75" s="33">
        <f t="shared" si="9"/>
        <v>0</v>
      </c>
      <c r="H75" s="33"/>
      <c r="I75" s="128" t="s">
        <v>17</v>
      </c>
      <c r="J75" s="128">
        <v>18228</v>
      </c>
      <c r="K75" s="128">
        <v>0</v>
      </c>
      <c r="L75" s="128">
        <v>0</v>
      </c>
      <c r="M75" s="128">
        <v>0</v>
      </c>
      <c r="N75" s="128">
        <f t="shared" si="5"/>
        <v>18228</v>
      </c>
      <c r="O75" s="128">
        <v>0</v>
      </c>
      <c r="P75" s="128">
        <v>0</v>
      </c>
      <c r="Q75" s="128">
        <f t="shared" si="11"/>
        <v>18228</v>
      </c>
      <c r="R75" s="5">
        <f t="shared" si="1"/>
        <v>18228</v>
      </c>
      <c r="S75" s="5">
        <f t="shared" si="3"/>
        <v>0</v>
      </c>
      <c r="U75" s="5" t="e">
        <f t="shared" si="2"/>
        <v>#VALUE!</v>
      </c>
      <c r="V75" s="5"/>
    </row>
    <row r="76" spans="1:22" s="3" customFormat="1" ht="25.5" hidden="1">
      <c r="A76" s="91" t="s">
        <v>127</v>
      </c>
      <c r="B76" s="34" t="s">
        <v>326</v>
      </c>
      <c r="C76" s="33"/>
      <c r="D76" s="33"/>
      <c r="E76" s="33"/>
      <c r="F76" s="33"/>
      <c r="G76" s="33">
        <f t="shared" si="9"/>
        <v>0</v>
      </c>
      <c r="H76" s="33"/>
      <c r="I76" s="128" t="s">
        <v>17</v>
      </c>
      <c r="J76" s="128">
        <v>0</v>
      </c>
      <c r="K76" s="128">
        <v>0</v>
      </c>
      <c r="L76" s="128">
        <v>0</v>
      </c>
      <c r="M76" s="128">
        <v>0</v>
      </c>
      <c r="N76" s="128">
        <f t="shared" si="5"/>
        <v>0</v>
      </c>
      <c r="O76" s="128"/>
      <c r="P76" s="128">
        <v>0</v>
      </c>
      <c r="Q76" s="128">
        <f t="shared" si="11"/>
        <v>0</v>
      </c>
      <c r="R76" s="5">
        <f t="shared" si="1"/>
        <v>0</v>
      </c>
      <c r="S76" s="5">
        <f t="shared" si="3"/>
        <v>0</v>
      </c>
      <c r="U76" s="5" t="e">
        <f t="shared" si="2"/>
        <v>#VALUE!</v>
      </c>
      <c r="V76" s="5"/>
    </row>
    <row r="77" spans="1:22" s="3" customFormat="1" ht="12.75" hidden="1">
      <c r="A77" s="91" t="s">
        <v>128</v>
      </c>
      <c r="B77" s="32" t="s">
        <v>131</v>
      </c>
      <c r="C77" s="33"/>
      <c r="D77" s="33"/>
      <c r="E77" s="33"/>
      <c r="F77" s="33"/>
      <c r="G77" s="33">
        <f t="shared" si="9"/>
        <v>0</v>
      </c>
      <c r="H77" s="33"/>
      <c r="I77" s="128" t="s">
        <v>17</v>
      </c>
      <c r="J77" s="128">
        <v>0</v>
      </c>
      <c r="K77" s="128">
        <v>0</v>
      </c>
      <c r="L77" s="128">
        <v>0</v>
      </c>
      <c r="M77" s="128">
        <v>0</v>
      </c>
      <c r="N77" s="128">
        <f t="shared" si="5"/>
        <v>0</v>
      </c>
      <c r="O77" s="128"/>
      <c r="P77" s="128">
        <v>0</v>
      </c>
      <c r="Q77" s="128">
        <f t="shared" si="11"/>
        <v>0</v>
      </c>
      <c r="R77" s="5">
        <f t="shared" si="1"/>
        <v>0</v>
      </c>
      <c r="S77" s="5">
        <f t="shared" si="3"/>
        <v>0</v>
      </c>
      <c r="U77" s="5" t="e">
        <f t="shared" si="2"/>
        <v>#VALUE!</v>
      </c>
      <c r="V77" s="5"/>
    </row>
    <row r="78" spans="1:22" s="3" customFormat="1" ht="13.5" hidden="1">
      <c r="A78" s="88" t="s">
        <v>293</v>
      </c>
      <c r="B78" s="36" t="s">
        <v>294</v>
      </c>
      <c r="C78" s="33"/>
      <c r="D78" s="33"/>
      <c r="E78" s="33"/>
      <c r="F78" s="33"/>
      <c r="G78" s="33"/>
      <c r="H78" s="33"/>
      <c r="I78" s="128" t="s">
        <v>17</v>
      </c>
      <c r="J78" s="128">
        <v>0</v>
      </c>
      <c r="K78" s="128">
        <v>0</v>
      </c>
      <c r="L78" s="128">
        <v>0</v>
      </c>
      <c r="M78" s="128">
        <v>0</v>
      </c>
      <c r="N78" s="128">
        <f t="shared" si="5"/>
        <v>0</v>
      </c>
      <c r="O78" s="128"/>
      <c r="P78" s="128">
        <v>0</v>
      </c>
      <c r="Q78" s="128">
        <f t="shared" si="11"/>
        <v>0</v>
      </c>
      <c r="R78" s="5">
        <f aca="true" t="shared" si="12" ref="R78:R141">J78+K78+L78+M78+O78+P78</f>
        <v>0</v>
      </c>
      <c r="S78" s="5">
        <f aca="true" t="shared" si="13" ref="S78:S141">Q78-R78</f>
        <v>0</v>
      </c>
      <c r="U78" s="5" t="e">
        <f aca="true" t="shared" si="14" ref="U78:U141">C78+D78+E78+F78+H78-I78</f>
        <v>#VALUE!</v>
      </c>
      <c r="V78" s="5"/>
    </row>
    <row r="79" spans="1:22" s="3" customFormat="1" ht="38.25">
      <c r="A79" s="44" t="s">
        <v>287</v>
      </c>
      <c r="B79" s="37" t="s">
        <v>286</v>
      </c>
      <c r="C79" s="23">
        <f aca="true" t="shared" si="15" ref="C79:Q79">C80+C82</f>
        <v>0</v>
      </c>
      <c r="D79" s="23">
        <f t="shared" si="15"/>
        <v>67617973</v>
      </c>
      <c r="E79" s="23">
        <f t="shared" si="15"/>
        <v>0</v>
      </c>
      <c r="F79" s="23"/>
      <c r="G79" s="23">
        <f t="shared" si="15"/>
        <v>67617973</v>
      </c>
      <c r="H79" s="23">
        <f t="shared" si="15"/>
        <v>-66609170</v>
      </c>
      <c r="I79" s="136">
        <f t="shared" si="15"/>
        <v>1008803</v>
      </c>
      <c r="J79" s="136">
        <f t="shared" si="15"/>
        <v>0</v>
      </c>
      <c r="K79" s="136">
        <f t="shared" si="15"/>
        <v>68457883</v>
      </c>
      <c r="L79" s="136">
        <f>L80+L82</f>
        <v>0</v>
      </c>
      <c r="M79" s="136">
        <f>M80+M82</f>
        <v>0</v>
      </c>
      <c r="N79" s="136">
        <f>N80+N82</f>
        <v>68457883</v>
      </c>
      <c r="O79" s="136">
        <f>O80</f>
        <v>3634</v>
      </c>
      <c r="P79" s="136">
        <f t="shared" si="15"/>
        <v>-66609170</v>
      </c>
      <c r="Q79" s="136">
        <f t="shared" si="15"/>
        <v>1852347</v>
      </c>
      <c r="R79" s="5">
        <f t="shared" si="12"/>
        <v>1852347</v>
      </c>
      <c r="S79" s="5">
        <f t="shared" si="13"/>
        <v>0</v>
      </c>
      <c r="U79" s="5">
        <f t="shared" si="14"/>
        <v>0</v>
      </c>
      <c r="V79" s="5"/>
    </row>
    <row r="80" spans="1:22" s="3" customFormat="1" ht="25.5">
      <c r="A80" s="89" t="s">
        <v>245</v>
      </c>
      <c r="B80" s="35" t="s">
        <v>179</v>
      </c>
      <c r="C80" s="33"/>
      <c r="D80" s="33">
        <v>541239</v>
      </c>
      <c r="E80" s="33"/>
      <c r="F80" s="33"/>
      <c r="G80" s="33">
        <f>C80+D80+E80+F80</f>
        <v>541239</v>
      </c>
      <c r="H80" s="33"/>
      <c r="I80" s="128">
        <f>G80+H80</f>
        <v>541239</v>
      </c>
      <c r="J80" s="128">
        <v>0</v>
      </c>
      <c r="K80" s="128">
        <v>1848713</v>
      </c>
      <c r="L80" s="128"/>
      <c r="M80" s="128"/>
      <c r="N80" s="128">
        <f t="shared" si="5"/>
        <v>1848713</v>
      </c>
      <c r="O80" s="128">
        <f>O81</f>
        <v>3634</v>
      </c>
      <c r="P80" s="128">
        <v>0</v>
      </c>
      <c r="Q80" s="128">
        <f>N80+O80+P80</f>
        <v>1852347</v>
      </c>
      <c r="R80" s="5">
        <f t="shared" si="12"/>
        <v>1852347</v>
      </c>
      <c r="S80" s="5">
        <f t="shared" si="13"/>
        <v>0</v>
      </c>
      <c r="U80" s="5">
        <f t="shared" si="14"/>
        <v>0</v>
      </c>
      <c r="V80" s="5"/>
    </row>
    <row r="81" spans="1:22" s="3" customFormat="1" ht="12.75">
      <c r="A81" s="122"/>
      <c r="B81" s="117" t="s">
        <v>371</v>
      </c>
      <c r="C81" s="119"/>
      <c r="D81" s="119"/>
      <c r="E81" s="119"/>
      <c r="F81" s="119"/>
      <c r="G81" s="119"/>
      <c r="H81" s="119"/>
      <c r="I81" s="134" t="s">
        <v>17</v>
      </c>
      <c r="J81" s="134"/>
      <c r="K81" s="134">
        <v>-3634</v>
      </c>
      <c r="L81" s="134"/>
      <c r="M81" s="134"/>
      <c r="N81" s="134">
        <f>K81</f>
        <v>-3634</v>
      </c>
      <c r="O81" s="134">
        <f>-N81</f>
        <v>3634</v>
      </c>
      <c r="P81" s="134"/>
      <c r="Q81" s="123">
        <f>N81+O81</f>
        <v>0</v>
      </c>
      <c r="R81" s="5">
        <f t="shared" si="12"/>
        <v>0</v>
      </c>
      <c r="S81" s="5">
        <f t="shared" si="13"/>
        <v>0</v>
      </c>
      <c r="U81" s="5" t="e">
        <f t="shared" si="14"/>
        <v>#VALUE!</v>
      </c>
      <c r="V81" s="5"/>
    </row>
    <row r="82" spans="1:22" s="3" customFormat="1" ht="26.25" customHeight="1">
      <c r="A82" s="89" t="s">
        <v>246</v>
      </c>
      <c r="B82" s="35" t="s">
        <v>181</v>
      </c>
      <c r="C82" s="33"/>
      <c r="D82" s="33">
        <v>67076734</v>
      </c>
      <c r="E82" s="33"/>
      <c r="F82" s="33"/>
      <c r="G82" s="33">
        <f>C82+D82+E82+F82</f>
        <v>67076734</v>
      </c>
      <c r="H82" s="33">
        <f>H83</f>
        <v>-66609170</v>
      </c>
      <c r="I82" s="128">
        <f>G82+H82</f>
        <v>467564</v>
      </c>
      <c r="J82" s="128">
        <v>0</v>
      </c>
      <c r="K82" s="128">
        <v>66609170</v>
      </c>
      <c r="L82" s="128"/>
      <c r="M82" s="128"/>
      <c r="N82" s="128">
        <f t="shared" si="5"/>
        <v>66609170</v>
      </c>
      <c r="O82" s="128">
        <v>0</v>
      </c>
      <c r="P82" s="128">
        <f>P83</f>
        <v>-66609170</v>
      </c>
      <c r="Q82" s="128">
        <f>N82+P82</f>
        <v>0</v>
      </c>
      <c r="R82" s="5">
        <f t="shared" si="12"/>
        <v>0</v>
      </c>
      <c r="S82" s="5">
        <f t="shared" si="13"/>
        <v>0</v>
      </c>
      <c r="U82" s="5">
        <f t="shared" si="14"/>
        <v>0</v>
      </c>
      <c r="V82" s="5"/>
    </row>
    <row r="83" spans="1:22" s="3" customFormat="1" ht="12.75">
      <c r="A83" s="92"/>
      <c r="B83" s="72" t="s">
        <v>334</v>
      </c>
      <c r="C83" s="73"/>
      <c r="D83" s="73">
        <v>66609170</v>
      </c>
      <c r="E83" s="73"/>
      <c r="F83" s="73"/>
      <c r="G83" s="74">
        <f>C83+D83+E83+F83</f>
        <v>66609170</v>
      </c>
      <c r="H83" s="73">
        <f>-G83</f>
        <v>-66609170</v>
      </c>
      <c r="I83" s="131">
        <v>0</v>
      </c>
      <c r="J83" s="131">
        <v>0</v>
      </c>
      <c r="K83" s="131">
        <v>66609170</v>
      </c>
      <c r="L83" s="131">
        <v>0</v>
      </c>
      <c r="M83" s="131">
        <v>0</v>
      </c>
      <c r="N83" s="131">
        <f aca="true" t="shared" si="16" ref="N83:N166">J83+K83+L83+M83</f>
        <v>66609170</v>
      </c>
      <c r="O83" s="131">
        <v>0</v>
      </c>
      <c r="P83" s="131">
        <f>-N83</f>
        <v>-66609170</v>
      </c>
      <c r="Q83" s="131">
        <v>0</v>
      </c>
      <c r="R83" s="5">
        <f t="shared" si="12"/>
        <v>0</v>
      </c>
      <c r="S83" s="5">
        <f t="shared" si="13"/>
        <v>0</v>
      </c>
      <c r="U83" s="5">
        <f t="shared" si="14"/>
        <v>0</v>
      </c>
      <c r="V83" s="5"/>
    </row>
    <row r="84" spans="1:22" s="3" customFormat="1" ht="12.75">
      <c r="A84" s="87" t="s">
        <v>208</v>
      </c>
      <c r="B84" s="24" t="s">
        <v>209</v>
      </c>
      <c r="C84" s="25">
        <v>75427332</v>
      </c>
      <c r="D84" s="25">
        <v>129110</v>
      </c>
      <c r="E84" s="25">
        <v>0</v>
      </c>
      <c r="F84" s="25">
        <v>70169510</v>
      </c>
      <c r="G84" s="23">
        <f aca="true" t="shared" si="17" ref="G84:G92">C84+D84+E84+F84</f>
        <v>145725952</v>
      </c>
      <c r="H84" s="25">
        <f>H87</f>
        <v>-1489924</v>
      </c>
      <c r="I84" s="136">
        <f>G84+H84</f>
        <v>144236028</v>
      </c>
      <c r="J84" s="135">
        <f>J85+J88+J90+J91+J92</f>
        <v>55449377</v>
      </c>
      <c r="K84" s="135">
        <f>K85+K88+K90+K91+K92</f>
        <v>61813</v>
      </c>
      <c r="L84" s="135">
        <f>L85+L88+L90+L91+L92</f>
        <v>0</v>
      </c>
      <c r="M84" s="135">
        <f>M85+M88+M90+M91+M92</f>
        <v>75143120</v>
      </c>
      <c r="N84" s="135">
        <f>N85+N88+N90+N91+N92</f>
        <v>130654310</v>
      </c>
      <c r="O84" s="135">
        <v>0</v>
      </c>
      <c r="P84" s="135">
        <f>P85+P88</f>
        <v>-2346430</v>
      </c>
      <c r="Q84" s="135">
        <f aca="true" t="shared" si="18" ref="Q84:Q92">N84+P84</f>
        <v>128307880</v>
      </c>
      <c r="R84" s="5">
        <f t="shared" si="12"/>
        <v>128307880</v>
      </c>
      <c r="S84" s="5">
        <f t="shared" si="13"/>
        <v>0</v>
      </c>
      <c r="U84" s="5">
        <f t="shared" si="14"/>
        <v>0</v>
      </c>
      <c r="V84" s="5"/>
    </row>
    <row r="85" spans="1:22" s="3" customFormat="1" ht="25.5">
      <c r="A85" s="89" t="s">
        <v>212</v>
      </c>
      <c r="B85" s="35" t="s">
        <v>174</v>
      </c>
      <c r="C85" s="33"/>
      <c r="D85" s="33"/>
      <c r="E85" s="33"/>
      <c r="F85" s="33"/>
      <c r="G85" s="33">
        <f t="shared" si="17"/>
        <v>0</v>
      </c>
      <c r="H85" s="33"/>
      <c r="I85" s="128" t="s">
        <v>17</v>
      </c>
      <c r="J85" s="128">
        <v>29741978</v>
      </c>
      <c r="K85" s="128">
        <v>7434</v>
      </c>
      <c r="L85" s="128">
        <v>0</v>
      </c>
      <c r="M85" s="128">
        <v>62633476</v>
      </c>
      <c r="N85" s="128">
        <f t="shared" si="16"/>
        <v>92382888</v>
      </c>
      <c r="O85" s="128">
        <f>O86</f>
        <v>0</v>
      </c>
      <c r="P85" s="128">
        <f>P86+P87</f>
        <v>-2206101</v>
      </c>
      <c r="Q85" s="128">
        <f t="shared" si="18"/>
        <v>90176787</v>
      </c>
      <c r="R85" s="5">
        <f t="shared" si="12"/>
        <v>90176787</v>
      </c>
      <c r="S85" s="5">
        <f t="shared" si="13"/>
        <v>0</v>
      </c>
      <c r="U85" s="5" t="e">
        <f t="shared" si="14"/>
        <v>#VALUE!</v>
      </c>
      <c r="V85" s="5"/>
    </row>
    <row r="86" spans="1:22" s="3" customFormat="1" ht="12.75">
      <c r="A86" s="92"/>
      <c r="B86" s="72" t="s">
        <v>334</v>
      </c>
      <c r="C86" s="73"/>
      <c r="D86" s="73"/>
      <c r="E86" s="73"/>
      <c r="F86" s="73"/>
      <c r="G86" s="74"/>
      <c r="H86" s="73"/>
      <c r="I86" s="131"/>
      <c r="J86" s="131"/>
      <c r="K86" s="131"/>
      <c r="L86" s="131"/>
      <c r="M86" s="131">
        <v>2664</v>
      </c>
      <c r="N86" s="131">
        <f>M86</f>
        <v>2664</v>
      </c>
      <c r="O86" s="131">
        <v>0</v>
      </c>
      <c r="P86" s="131">
        <f>-N86</f>
        <v>-2664</v>
      </c>
      <c r="Q86" s="131">
        <f t="shared" si="18"/>
        <v>0</v>
      </c>
      <c r="R86" s="5">
        <f t="shared" si="12"/>
        <v>0</v>
      </c>
      <c r="S86" s="5">
        <f t="shared" si="13"/>
        <v>0</v>
      </c>
      <c r="U86" s="5">
        <f t="shared" si="14"/>
        <v>0</v>
      </c>
      <c r="V86" s="5"/>
    </row>
    <row r="87" spans="1:22" s="3" customFormat="1" ht="12.75">
      <c r="A87" s="93"/>
      <c r="B87" s="39" t="s">
        <v>285</v>
      </c>
      <c r="C87" s="40">
        <v>1206528</v>
      </c>
      <c r="D87" s="40">
        <v>0</v>
      </c>
      <c r="E87" s="40"/>
      <c r="F87" s="40">
        <v>283396</v>
      </c>
      <c r="G87" s="40">
        <f>C87+D87+E87+F87</f>
        <v>1489924</v>
      </c>
      <c r="H87" s="40">
        <f>-G87</f>
        <v>-1489924</v>
      </c>
      <c r="I87" s="125">
        <v>0</v>
      </c>
      <c r="J87" s="125">
        <f>1206528+478888</f>
        <v>1685416</v>
      </c>
      <c r="K87" s="125">
        <v>0</v>
      </c>
      <c r="L87" s="125">
        <v>0</v>
      </c>
      <c r="M87" s="125">
        <f>283396+234625</f>
        <v>518021</v>
      </c>
      <c r="N87" s="125">
        <f>J87+K87+L87+M87</f>
        <v>2203437</v>
      </c>
      <c r="O87" s="125">
        <v>0</v>
      </c>
      <c r="P87" s="125">
        <f>-N87</f>
        <v>-2203437</v>
      </c>
      <c r="Q87" s="125">
        <f>N87+P87</f>
        <v>0</v>
      </c>
      <c r="R87" s="5">
        <f t="shared" si="12"/>
        <v>0</v>
      </c>
      <c r="S87" s="5">
        <f t="shared" si="13"/>
        <v>0</v>
      </c>
      <c r="U87" s="5">
        <f t="shared" si="14"/>
        <v>0</v>
      </c>
      <c r="V87" s="5"/>
    </row>
    <row r="88" spans="1:22" s="3" customFormat="1" ht="38.25" customHeight="1">
      <c r="A88" s="89" t="s">
        <v>213</v>
      </c>
      <c r="B88" s="35" t="s">
        <v>175</v>
      </c>
      <c r="C88" s="33"/>
      <c r="D88" s="33"/>
      <c r="E88" s="33"/>
      <c r="F88" s="33"/>
      <c r="G88" s="33">
        <f t="shared" si="17"/>
        <v>0</v>
      </c>
      <c r="H88" s="33"/>
      <c r="I88" s="128" t="s">
        <v>17</v>
      </c>
      <c r="J88" s="128">
        <v>25707399</v>
      </c>
      <c r="K88" s="128">
        <v>54379</v>
      </c>
      <c r="L88" s="128">
        <v>0</v>
      </c>
      <c r="M88" s="128">
        <v>12509644</v>
      </c>
      <c r="N88" s="128">
        <f t="shared" si="16"/>
        <v>38271422</v>
      </c>
      <c r="O88" s="128">
        <v>0</v>
      </c>
      <c r="P88" s="128">
        <f>P89</f>
        <v>-140329</v>
      </c>
      <c r="Q88" s="128">
        <f t="shared" si="18"/>
        <v>38131093</v>
      </c>
      <c r="R88" s="5">
        <f t="shared" si="12"/>
        <v>38131093</v>
      </c>
      <c r="S88" s="5">
        <f t="shared" si="13"/>
        <v>0</v>
      </c>
      <c r="U88" s="5" t="e">
        <f t="shared" si="14"/>
        <v>#VALUE!</v>
      </c>
      <c r="V88" s="5"/>
    </row>
    <row r="89" spans="1:22" s="3" customFormat="1" ht="12.75">
      <c r="A89" s="93"/>
      <c r="B89" s="39" t="s">
        <v>285</v>
      </c>
      <c r="C89" s="40">
        <v>0</v>
      </c>
      <c r="D89" s="40">
        <f>D86</f>
        <v>0</v>
      </c>
      <c r="E89" s="40"/>
      <c r="F89" s="40">
        <v>0</v>
      </c>
      <c r="G89" s="40">
        <f>C89+D89+E89+F89</f>
        <v>0</v>
      </c>
      <c r="H89" s="40">
        <f>-G89</f>
        <v>0</v>
      </c>
      <c r="I89" s="125">
        <v>0</v>
      </c>
      <c r="J89" s="125">
        <f>4861+22489+948+106631+5400</f>
        <v>140329</v>
      </c>
      <c r="K89" s="125">
        <v>0</v>
      </c>
      <c r="L89" s="125">
        <v>0</v>
      </c>
      <c r="M89" s="125">
        <v>0</v>
      </c>
      <c r="N89" s="125">
        <f>J89+K89+L89+M89</f>
        <v>140329</v>
      </c>
      <c r="O89" s="125">
        <v>0</v>
      </c>
      <c r="P89" s="125">
        <f>-N89</f>
        <v>-140329</v>
      </c>
      <c r="Q89" s="125">
        <f>N89+P89</f>
        <v>0</v>
      </c>
      <c r="R89" s="5">
        <f t="shared" si="12"/>
        <v>0</v>
      </c>
      <c r="S89" s="5">
        <f t="shared" si="13"/>
        <v>0</v>
      </c>
      <c r="U89" s="5">
        <f t="shared" si="14"/>
        <v>0</v>
      </c>
      <c r="V89" s="5"/>
    </row>
    <row r="90" spans="1:22" s="3" customFormat="1" ht="25.5" hidden="1">
      <c r="A90" s="89" t="s">
        <v>214</v>
      </c>
      <c r="B90" s="35" t="s">
        <v>176</v>
      </c>
      <c r="C90" s="33"/>
      <c r="D90" s="33"/>
      <c r="E90" s="33"/>
      <c r="F90" s="33"/>
      <c r="G90" s="33">
        <f t="shared" si="17"/>
        <v>0</v>
      </c>
      <c r="H90" s="33"/>
      <c r="I90" s="128" t="s">
        <v>17</v>
      </c>
      <c r="J90" s="128">
        <v>0</v>
      </c>
      <c r="K90" s="128">
        <v>0</v>
      </c>
      <c r="L90" s="128">
        <v>0</v>
      </c>
      <c r="M90" s="128"/>
      <c r="N90" s="128">
        <f t="shared" si="16"/>
        <v>0</v>
      </c>
      <c r="O90" s="128"/>
      <c r="P90" s="128">
        <v>0</v>
      </c>
      <c r="Q90" s="128">
        <f t="shared" si="18"/>
        <v>0</v>
      </c>
      <c r="R90" s="5">
        <f t="shared" si="12"/>
        <v>0</v>
      </c>
      <c r="S90" s="5">
        <f t="shared" si="13"/>
        <v>0</v>
      </c>
      <c r="U90" s="5" t="e">
        <f t="shared" si="14"/>
        <v>#VALUE!</v>
      </c>
      <c r="V90" s="5"/>
    </row>
    <row r="91" spans="1:22" s="3" customFormat="1" ht="25.5" hidden="1">
      <c r="A91" s="89" t="s">
        <v>215</v>
      </c>
      <c r="B91" s="35" t="s">
        <v>177</v>
      </c>
      <c r="C91" s="33"/>
      <c r="D91" s="33"/>
      <c r="E91" s="33"/>
      <c r="F91" s="33"/>
      <c r="G91" s="33">
        <f t="shared" si="17"/>
        <v>0</v>
      </c>
      <c r="H91" s="33"/>
      <c r="I91" s="128" t="s">
        <v>17</v>
      </c>
      <c r="J91" s="128">
        <v>0</v>
      </c>
      <c r="K91" s="128">
        <v>0</v>
      </c>
      <c r="L91" s="128">
        <v>0</v>
      </c>
      <c r="M91" s="128"/>
      <c r="N91" s="128">
        <f t="shared" si="16"/>
        <v>0</v>
      </c>
      <c r="O91" s="128"/>
      <c r="P91" s="128">
        <v>0</v>
      </c>
      <c r="Q91" s="128">
        <f t="shared" si="18"/>
        <v>0</v>
      </c>
      <c r="R91" s="5">
        <f t="shared" si="12"/>
        <v>0</v>
      </c>
      <c r="S91" s="5">
        <f t="shared" si="13"/>
        <v>0</v>
      </c>
      <c r="U91" s="5" t="e">
        <f t="shared" si="14"/>
        <v>#VALUE!</v>
      </c>
      <c r="V91" s="5"/>
    </row>
    <row r="92" spans="1:22" s="3" customFormat="1" ht="25.5" hidden="1">
      <c r="A92" s="89" t="s">
        <v>216</v>
      </c>
      <c r="B92" s="35" t="s">
        <v>178</v>
      </c>
      <c r="C92" s="33"/>
      <c r="D92" s="33"/>
      <c r="E92" s="33"/>
      <c r="F92" s="33"/>
      <c r="G92" s="33">
        <f t="shared" si="17"/>
        <v>0</v>
      </c>
      <c r="H92" s="33"/>
      <c r="I92" s="29" t="s">
        <v>17</v>
      </c>
      <c r="J92" s="29">
        <v>0</v>
      </c>
      <c r="K92" s="29">
        <v>0</v>
      </c>
      <c r="L92" s="29">
        <v>0</v>
      </c>
      <c r="M92" s="29"/>
      <c r="N92" s="29">
        <f t="shared" si="16"/>
        <v>0</v>
      </c>
      <c r="O92" s="29"/>
      <c r="P92" s="29">
        <v>0</v>
      </c>
      <c r="Q92" s="29">
        <f t="shared" si="18"/>
        <v>0</v>
      </c>
      <c r="R92" s="5">
        <f t="shared" si="12"/>
        <v>0</v>
      </c>
      <c r="S92" s="5">
        <f t="shared" si="13"/>
        <v>0</v>
      </c>
      <c r="U92" s="5" t="e">
        <f t="shared" si="14"/>
        <v>#VALUE!</v>
      </c>
      <c r="V92" s="5"/>
    </row>
    <row r="93" spans="1:22" s="3" customFormat="1" ht="12.75">
      <c r="A93" s="89"/>
      <c r="B93" s="35"/>
      <c r="C93" s="33"/>
      <c r="D93" s="33"/>
      <c r="E93" s="33"/>
      <c r="F93" s="33"/>
      <c r="G93" s="33"/>
      <c r="H93" s="33"/>
      <c r="I93" s="29"/>
      <c r="J93" s="29"/>
      <c r="K93" s="29"/>
      <c r="L93" s="29"/>
      <c r="M93" s="29"/>
      <c r="N93" s="29">
        <f t="shared" si="16"/>
        <v>0</v>
      </c>
      <c r="O93" s="29"/>
      <c r="P93" s="29"/>
      <c r="Q93" s="29"/>
      <c r="R93" s="5">
        <f t="shared" si="12"/>
        <v>0</v>
      </c>
      <c r="S93" s="5">
        <f t="shared" si="13"/>
        <v>0</v>
      </c>
      <c r="U93" s="5">
        <f t="shared" si="14"/>
        <v>0</v>
      </c>
      <c r="V93" s="5"/>
    </row>
    <row r="94" spans="1:22" s="3" customFormat="1" ht="12.75">
      <c r="A94" s="87" t="s">
        <v>206</v>
      </c>
      <c r="B94" s="24" t="s">
        <v>207</v>
      </c>
      <c r="C94" s="25">
        <v>832332066</v>
      </c>
      <c r="D94" s="25">
        <v>0</v>
      </c>
      <c r="E94" s="25">
        <v>0</v>
      </c>
      <c r="F94" s="25">
        <v>616532</v>
      </c>
      <c r="G94" s="23">
        <f>C94+D94+E94+F94</f>
        <v>832948598</v>
      </c>
      <c r="H94" s="25">
        <f>H106</f>
        <v>-5730</v>
      </c>
      <c r="I94" s="23">
        <f>G94+H94</f>
        <v>832942868</v>
      </c>
      <c r="J94" s="25">
        <f aca="true" t="shared" si="19" ref="J94:P94">J95+J104</f>
        <v>598526788</v>
      </c>
      <c r="K94" s="25">
        <f t="shared" si="19"/>
        <v>0</v>
      </c>
      <c r="L94" s="25">
        <f t="shared" si="19"/>
        <v>0</v>
      </c>
      <c r="M94" s="25">
        <f t="shared" si="19"/>
        <v>657229</v>
      </c>
      <c r="N94" s="25">
        <f t="shared" si="19"/>
        <v>599184017</v>
      </c>
      <c r="O94" s="25">
        <f>O104</f>
        <v>33206</v>
      </c>
      <c r="P94" s="25">
        <f t="shared" si="19"/>
        <v>-67869</v>
      </c>
      <c r="Q94" s="25">
        <f>N94+O94+P94</f>
        <v>599149354</v>
      </c>
      <c r="R94" s="5">
        <f t="shared" si="12"/>
        <v>599149354</v>
      </c>
      <c r="S94" s="5">
        <f t="shared" si="13"/>
        <v>0</v>
      </c>
      <c r="U94" s="5">
        <f t="shared" si="14"/>
        <v>0</v>
      </c>
      <c r="V94" s="5"/>
    </row>
    <row r="95" spans="1:22" s="3" customFormat="1" ht="81">
      <c r="A95" s="88" t="s">
        <v>295</v>
      </c>
      <c r="B95" s="38" t="s">
        <v>296</v>
      </c>
      <c r="C95" s="31">
        <f>C96+C97+C98+C99+C100+C101+C102+C103</f>
        <v>0</v>
      </c>
      <c r="D95" s="31">
        <f>D96+D97+D98+D99+D100+D101+D102+D103</f>
        <v>0</v>
      </c>
      <c r="E95" s="31">
        <f>E96+E97+E98+E99+E100+E101+E102+E103</f>
        <v>0</v>
      </c>
      <c r="F95" s="31"/>
      <c r="G95" s="31">
        <f>C95+D95+E95+F95</f>
        <v>0</v>
      </c>
      <c r="H95" s="31"/>
      <c r="I95" s="27" t="s">
        <v>17</v>
      </c>
      <c r="J95" s="27">
        <f aca="true" t="shared" si="20" ref="J95:P95">J96+J97+J98+J99+J100+J101+J102+J103</f>
        <v>524487836</v>
      </c>
      <c r="K95" s="27">
        <f t="shared" si="20"/>
        <v>0</v>
      </c>
      <c r="L95" s="27">
        <f t="shared" si="20"/>
        <v>0</v>
      </c>
      <c r="M95" s="27">
        <f t="shared" si="20"/>
        <v>35130</v>
      </c>
      <c r="N95" s="27">
        <f t="shared" si="20"/>
        <v>524522966</v>
      </c>
      <c r="O95" s="27">
        <v>0</v>
      </c>
      <c r="P95" s="27">
        <f t="shared" si="20"/>
        <v>0</v>
      </c>
      <c r="Q95" s="27">
        <f aca="true" t="shared" si="21" ref="Q95:Q122">N95+P95</f>
        <v>524522966</v>
      </c>
      <c r="R95" s="5">
        <f t="shared" si="12"/>
        <v>524522966</v>
      </c>
      <c r="S95" s="5">
        <f t="shared" si="13"/>
        <v>0</v>
      </c>
      <c r="U95" s="5" t="e">
        <f t="shared" si="14"/>
        <v>#VALUE!</v>
      </c>
      <c r="V95" s="5"/>
    </row>
    <row r="96" spans="1:22" s="3" customFormat="1" ht="25.5" hidden="1">
      <c r="A96" s="91" t="s">
        <v>156</v>
      </c>
      <c r="B96" s="35" t="s">
        <v>164</v>
      </c>
      <c r="C96" s="33"/>
      <c r="D96" s="33"/>
      <c r="E96" s="33"/>
      <c r="F96" s="33"/>
      <c r="G96" s="33">
        <f>C96+D96+E96+F96</f>
        <v>0</v>
      </c>
      <c r="H96" s="33"/>
      <c r="I96" s="29" t="s">
        <v>17</v>
      </c>
      <c r="J96" s="29">
        <v>0</v>
      </c>
      <c r="K96" s="29">
        <v>0</v>
      </c>
      <c r="L96" s="29">
        <v>0</v>
      </c>
      <c r="M96" s="29">
        <v>0</v>
      </c>
      <c r="N96" s="29">
        <f t="shared" si="16"/>
        <v>0</v>
      </c>
      <c r="O96" s="29"/>
      <c r="P96" s="29">
        <v>0</v>
      </c>
      <c r="Q96" s="29">
        <f t="shared" si="21"/>
        <v>0</v>
      </c>
      <c r="R96" s="5">
        <f t="shared" si="12"/>
        <v>0</v>
      </c>
      <c r="S96" s="5">
        <f t="shared" si="13"/>
        <v>0</v>
      </c>
      <c r="U96" s="5" t="e">
        <f t="shared" si="14"/>
        <v>#VALUE!</v>
      </c>
      <c r="V96" s="5"/>
    </row>
    <row r="97" spans="1:22" s="3" customFormat="1" ht="25.5">
      <c r="A97" s="91" t="s">
        <v>157</v>
      </c>
      <c r="B97" s="35" t="s">
        <v>165</v>
      </c>
      <c r="C97" s="33"/>
      <c r="D97" s="33"/>
      <c r="E97" s="33"/>
      <c r="F97" s="33"/>
      <c r="G97" s="33">
        <f aca="true" t="shared" si="22" ref="G97:G122">C97+D97+E97+F97</f>
        <v>0</v>
      </c>
      <c r="H97" s="33"/>
      <c r="I97" s="29" t="s">
        <v>17</v>
      </c>
      <c r="J97" s="29">
        <v>-1640003</v>
      </c>
      <c r="K97" s="29">
        <v>0</v>
      </c>
      <c r="L97" s="29">
        <v>0</v>
      </c>
      <c r="M97" s="29">
        <v>0</v>
      </c>
      <c r="N97" s="29">
        <f t="shared" si="16"/>
        <v>-1640003</v>
      </c>
      <c r="O97" s="29">
        <v>0</v>
      </c>
      <c r="P97" s="29">
        <v>0</v>
      </c>
      <c r="Q97" s="29">
        <f t="shared" si="21"/>
        <v>-1640003</v>
      </c>
      <c r="R97" s="5">
        <f t="shared" si="12"/>
        <v>-1640003</v>
      </c>
      <c r="S97" s="5">
        <f t="shared" si="13"/>
        <v>0</v>
      </c>
      <c r="U97" s="5" t="e">
        <f t="shared" si="14"/>
        <v>#VALUE!</v>
      </c>
      <c r="V97" s="5"/>
    </row>
    <row r="98" spans="1:22" s="3" customFormat="1" ht="12.75">
      <c r="A98" s="91" t="s">
        <v>158</v>
      </c>
      <c r="B98" s="35" t="s">
        <v>166</v>
      </c>
      <c r="C98" s="33"/>
      <c r="D98" s="33"/>
      <c r="E98" s="33"/>
      <c r="F98" s="33"/>
      <c r="G98" s="33">
        <f t="shared" si="22"/>
        <v>0</v>
      </c>
      <c r="H98" s="33"/>
      <c r="I98" s="29" t="s">
        <v>17</v>
      </c>
      <c r="J98" s="29">
        <f>97843859+110489689</f>
        <v>208333548</v>
      </c>
      <c r="K98" s="29">
        <v>0</v>
      </c>
      <c r="L98" s="29">
        <v>0</v>
      </c>
      <c r="M98" s="29">
        <v>0</v>
      </c>
      <c r="N98" s="29">
        <f t="shared" si="16"/>
        <v>208333548</v>
      </c>
      <c r="O98" s="29">
        <v>0</v>
      </c>
      <c r="P98" s="29">
        <v>0</v>
      </c>
      <c r="Q98" s="29">
        <f t="shared" si="21"/>
        <v>208333548</v>
      </c>
      <c r="R98" s="5">
        <f t="shared" si="12"/>
        <v>208333548</v>
      </c>
      <c r="S98" s="5">
        <f t="shared" si="13"/>
        <v>0</v>
      </c>
      <c r="U98" s="5" t="e">
        <f t="shared" si="14"/>
        <v>#VALUE!</v>
      </c>
      <c r="V98" s="5"/>
    </row>
    <row r="99" spans="1:22" s="3" customFormat="1" ht="12.75">
      <c r="A99" s="91" t="s">
        <v>159</v>
      </c>
      <c r="B99" s="35" t="s">
        <v>167</v>
      </c>
      <c r="C99" s="33"/>
      <c r="D99" s="33"/>
      <c r="E99" s="33"/>
      <c r="F99" s="33"/>
      <c r="G99" s="33">
        <f t="shared" si="22"/>
        <v>0</v>
      </c>
      <c r="H99" s="33"/>
      <c r="I99" s="29" t="s">
        <v>17</v>
      </c>
      <c r="J99" s="29">
        <f>117742438</f>
        <v>117742438</v>
      </c>
      <c r="K99" s="29">
        <v>0</v>
      </c>
      <c r="L99" s="29">
        <v>0</v>
      </c>
      <c r="M99" s="29">
        <v>0</v>
      </c>
      <c r="N99" s="29">
        <f t="shared" si="16"/>
        <v>117742438</v>
      </c>
      <c r="O99" s="29">
        <v>0</v>
      </c>
      <c r="P99" s="29">
        <v>0</v>
      </c>
      <c r="Q99" s="29">
        <f t="shared" si="21"/>
        <v>117742438</v>
      </c>
      <c r="R99" s="5">
        <f t="shared" si="12"/>
        <v>117742438</v>
      </c>
      <c r="S99" s="5">
        <f t="shared" si="13"/>
        <v>0</v>
      </c>
      <c r="U99" s="5" t="e">
        <f t="shared" si="14"/>
        <v>#VALUE!</v>
      </c>
      <c r="V99" s="5"/>
    </row>
    <row r="100" spans="1:22" s="3" customFormat="1" ht="38.25">
      <c r="A100" s="91" t="s">
        <v>160</v>
      </c>
      <c r="B100" s="35" t="s">
        <v>168</v>
      </c>
      <c r="C100" s="33"/>
      <c r="D100" s="33"/>
      <c r="E100" s="33"/>
      <c r="F100" s="33"/>
      <c r="G100" s="33">
        <f t="shared" si="22"/>
        <v>0</v>
      </c>
      <c r="H100" s="33"/>
      <c r="I100" s="29" t="s">
        <v>17</v>
      </c>
      <c r="J100" s="29">
        <f>70191930+110880233+7419234+10428973</f>
        <v>198920370</v>
      </c>
      <c r="K100" s="29">
        <v>0</v>
      </c>
      <c r="L100" s="29">
        <v>0</v>
      </c>
      <c r="M100" s="29">
        <v>0</v>
      </c>
      <c r="N100" s="29">
        <f t="shared" si="16"/>
        <v>198920370</v>
      </c>
      <c r="O100" s="29">
        <v>0</v>
      </c>
      <c r="P100" s="29">
        <v>0</v>
      </c>
      <c r="Q100" s="29">
        <f t="shared" si="21"/>
        <v>198920370</v>
      </c>
      <c r="R100" s="5">
        <f t="shared" si="12"/>
        <v>198920370</v>
      </c>
      <c r="S100" s="5">
        <f t="shared" si="13"/>
        <v>0</v>
      </c>
      <c r="U100" s="5" t="e">
        <f t="shared" si="14"/>
        <v>#VALUE!</v>
      </c>
      <c r="V100" s="5"/>
    </row>
    <row r="101" spans="1:22" s="3" customFormat="1" ht="12.75">
      <c r="A101" s="91" t="s">
        <v>161</v>
      </c>
      <c r="B101" s="35" t="s">
        <v>169</v>
      </c>
      <c r="C101" s="33"/>
      <c r="D101" s="33"/>
      <c r="E101" s="33"/>
      <c r="F101" s="33"/>
      <c r="G101" s="33">
        <f t="shared" si="22"/>
        <v>0</v>
      </c>
      <c r="H101" s="33"/>
      <c r="I101" s="29" t="s">
        <v>17</v>
      </c>
      <c r="J101" s="29">
        <f>281409+497918+31211+128875</f>
        <v>939413</v>
      </c>
      <c r="K101" s="29">
        <v>0</v>
      </c>
      <c r="L101" s="29">
        <v>0</v>
      </c>
      <c r="M101" s="29">
        <v>0</v>
      </c>
      <c r="N101" s="29">
        <f t="shared" si="16"/>
        <v>939413</v>
      </c>
      <c r="O101" s="29">
        <v>0</v>
      </c>
      <c r="P101" s="29">
        <v>0</v>
      </c>
      <c r="Q101" s="29">
        <f t="shared" si="21"/>
        <v>939413</v>
      </c>
      <c r="R101" s="5">
        <f t="shared" si="12"/>
        <v>939413</v>
      </c>
      <c r="S101" s="5">
        <f t="shared" si="13"/>
        <v>0</v>
      </c>
      <c r="U101" s="5" t="e">
        <f t="shared" si="14"/>
        <v>#VALUE!</v>
      </c>
      <c r="V101" s="5"/>
    </row>
    <row r="102" spans="1:22" s="3" customFormat="1" ht="38.25" customHeight="1">
      <c r="A102" s="91" t="s">
        <v>162</v>
      </c>
      <c r="B102" s="35" t="s">
        <v>170</v>
      </c>
      <c r="C102" s="33"/>
      <c r="D102" s="33"/>
      <c r="E102" s="33"/>
      <c r="F102" s="33"/>
      <c r="G102" s="33">
        <f t="shared" si="22"/>
        <v>0</v>
      </c>
      <c r="H102" s="33"/>
      <c r="I102" s="128" t="s">
        <v>17</v>
      </c>
      <c r="J102" s="128">
        <v>192070</v>
      </c>
      <c r="K102" s="128">
        <v>0</v>
      </c>
      <c r="L102" s="128">
        <v>0</v>
      </c>
      <c r="M102" s="128">
        <v>0</v>
      </c>
      <c r="N102" s="128">
        <f t="shared" si="16"/>
        <v>192070</v>
      </c>
      <c r="O102" s="128">
        <v>0</v>
      </c>
      <c r="P102" s="128">
        <v>0</v>
      </c>
      <c r="Q102" s="29">
        <f t="shared" si="21"/>
        <v>192070</v>
      </c>
      <c r="R102" s="5">
        <f t="shared" si="12"/>
        <v>192070</v>
      </c>
      <c r="S102" s="5">
        <f t="shared" si="13"/>
        <v>0</v>
      </c>
      <c r="U102" s="5" t="e">
        <f t="shared" si="14"/>
        <v>#VALUE!</v>
      </c>
      <c r="V102" s="5"/>
    </row>
    <row r="103" spans="1:22" s="3" customFormat="1" ht="38.25">
      <c r="A103" s="91" t="s">
        <v>163</v>
      </c>
      <c r="B103" s="35" t="s">
        <v>171</v>
      </c>
      <c r="C103" s="33"/>
      <c r="D103" s="33"/>
      <c r="E103" s="33"/>
      <c r="F103" s="33"/>
      <c r="G103" s="33">
        <f t="shared" si="22"/>
        <v>0</v>
      </c>
      <c r="H103" s="33"/>
      <c r="I103" s="128" t="s">
        <v>17</v>
      </c>
      <c r="J103" s="128"/>
      <c r="K103" s="128">
        <v>0</v>
      </c>
      <c r="L103" s="128">
        <v>0</v>
      </c>
      <c r="M103" s="128">
        <v>35130</v>
      </c>
      <c r="N103" s="128">
        <f t="shared" si="16"/>
        <v>35130</v>
      </c>
      <c r="O103" s="128">
        <v>0</v>
      </c>
      <c r="P103" s="128">
        <v>0</v>
      </c>
      <c r="Q103" s="29">
        <f t="shared" si="21"/>
        <v>35130</v>
      </c>
      <c r="R103" s="5">
        <f t="shared" si="12"/>
        <v>35130</v>
      </c>
      <c r="S103" s="5">
        <f t="shared" si="13"/>
        <v>0</v>
      </c>
      <c r="U103" s="5" t="e">
        <f t="shared" si="14"/>
        <v>#VALUE!</v>
      </c>
      <c r="V103" s="5"/>
    </row>
    <row r="104" spans="1:22" s="3" customFormat="1" ht="27">
      <c r="A104" s="88" t="s">
        <v>251</v>
      </c>
      <c r="B104" s="38" t="s">
        <v>252</v>
      </c>
      <c r="C104" s="31">
        <f>C105+C107</f>
        <v>0</v>
      </c>
      <c r="D104" s="31">
        <f>D105+D107</f>
        <v>0</v>
      </c>
      <c r="E104" s="31">
        <f>E105+E107</f>
        <v>0</v>
      </c>
      <c r="F104" s="31"/>
      <c r="G104" s="31">
        <f t="shared" si="22"/>
        <v>0</v>
      </c>
      <c r="H104" s="31"/>
      <c r="I104" s="132" t="s">
        <v>17</v>
      </c>
      <c r="J104" s="132">
        <f aca="true" t="shared" si="23" ref="J104:P104">J105+J107</f>
        <v>74038952</v>
      </c>
      <c r="K104" s="132">
        <f t="shared" si="23"/>
        <v>0</v>
      </c>
      <c r="L104" s="132">
        <f t="shared" si="23"/>
        <v>0</v>
      </c>
      <c r="M104" s="132">
        <f t="shared" si="23"/>
        <v>622099</v>
      </c>
      <c r="N104" s="132">
        <f t="shared" si="23"/>
        <v>74661051</v>
      </c>
      <c r="O104" s="132">
        <f>O107</f>
        <v>33206</v>
      </c>
      <c r="P104" s="132">
        <f t="shared" si="23"/>
        <v>-67869</v>
      </c>
      <c r="Q104" s="27">
        <f>N104+O104+P104</f>
        <v>74626388</v>
      </c>
      <c r="R104" s="5">
        <f t="shared" si="12"/>
        <v>74626388</v>
      </c>
      <c r="S104" s="5">
        <f t="shared" si="13"/>
        <v>0</v>
      </c>
      <c r="U104" s="5" t="e">
        <f t="shared" si="14"/>
        <v>#VALUE!</v>
      </c>
      <c r="V104" s="5"/>
    </row>
    <row r="105" spans="1:22" s="3" customFormat="1" ht="25.5">
      <c r="A105" s="91" t="s">
        <v>249</v>
      </c>
      <c r="B105" s="35" t="s">
        <v>172</v>
      </c>
      <c r="C105" s="33"/>
      <c r="D105" s="33"/>
      <c r="E105" s="33"/>
      <c r="F105" s="33"/>
      <c r="G105" s="33">
        <f t="shared" si="22"/>
        <v>0</v>
      </c>
      <c r="H105" s="33"/>
      <c r="I105" s="128" t="s">
        <v>17</v>
      </c>
      <c r="J105" s="128">
        <f>48215842+25823110</f>
        <v>74038952</v>
      </c>
      <c r="K105" s="128">
        <v>0</v>
      </c>
      <c r="L105" s="128">
        <v>0</v>
      </c>
      <c r="M105" s="128">
        <v>599920</v>
      </c>
      <c r="N105" s="128">
        <f t="shared" si="16"/>
        <v>74638872</v>
      </c>
      <c r="O105" s="128">
        <v>0</v>
      </c>
      <c r="P105" s="128">
        <f>P106</f>
        <v>-34663</v>
      </c>
      <c r="Q105" s="29">
        <f t="shared" si="21"/>
        <v>74604209</v>
      </c>
      <c r="R105" s="5">
        <f t="shared" si="12"/>
        <v>74604209</v>
      </c>
      <c r="S105" s="5">
        <f t="shared" si="13"/>
        <v>0</v>
      </c>
      <c r="U105" s="5" t="e">
        <f t="shared" si="14"/>
        <v>#VALUE!</v>
      </c>
      <c r="V105" s="5"/>
    </row>
    <row r="106" spans="1:22" s="3" customFormat="1" ht="12.75">
      <c r="A106" s="92"/>
      <c r="B106" s="72" t="s">
        <v>334</v>
      </c>
      <c r="C106" s="73">
        <v>5730</v>
      </c>
      <c r="D106" s="73"/>
      <c r="E106" s="73"/>
      <c r="F106" s="73"/>
      <c r="G106" s="74">
        <f>C106</f>
        <v>5730</v>
      </c>
      <c r="H106" s="73">
        <f>-G106</f>
        <v>-5730</v>
      </c>
      <c r="I106" s="131">
        <f>G106+H106</f>
        <v>0</v>
      </c>
      <c r="J106" s="131">
        <v>34663</v>
      </c>
      <c r="K106" s="131">
        <v>0</v>
      </c>
      <c r="L106" s="131">
        <v>0</v>
      </c>
      <c r="M106" s="131">
        <v>0</v>
      </c>
      <c r="N106" s="131">
        <f>J106+K106+L106+M106</f>
        <v>34663</v>
      </c>
      <c r="O106" s="131">
        <v>0</v>
      </c>
      <c r="P106" s="131">
        <f>-N106</f>
        <v>-34663</v>
      </c>
      <c r="Q106" s="75">
        <v>0</v>
      </c>
      <c r="R106" s="5">
        <f t="shared" si="12"/>
        <v>0</v>
      </c>
      <c r="S106" s="5">
        <f t="shared" si="13"/>
        <v>0</v>
      </c>
      <c r="U106" s="5">
        <f t="shared" si="14"/>
        <v>0</v>
      </c>
      <c r="V106" s="5"/>
    </row>
    <row r="107" spans="1:22" s="3" customFormat="1" ht="25.5">
      <c r="A107" s="91" t="s">
        <v>250</v>
      </c>
      <c r="B107" s="35" t="s">
        <v>173</v>
      </c>
      <c r="C107" s="33"/>
      <c r="D107" s="33"/>
      <c r="E107" s="33"/>
      <c r="F107" s="33"/>
      <c r="G107" s="33">
        <f t="shared" si="22"/>
        <v>0</v>
      </c>
      <c r="H107" s="33"/>
      <c r="I107" s="128" t="s">
        <v>17</v>
      </c>
      <c r="J107" s="128">
        <v>0</v>
      </c>
      <c r="K107" s="128">
        <v>0</v>
      </c>
      <c r="L107" s="128">
        <v>0</v>
      </c>
      <c r="M107" s="128">
        <v>22179</v>
      </c>
      <c r="N107" s="128">
        <f t="shared" si="16"/>
        <v>22179</v>
      </c>
      <c r="O107" s="128">
        <f>O108</f>
        <v>33206</v>
      </c>
      <c r="P107" s="128">
        <f>P109</f>
        <v>-33206</v>
      </c>
      <c r="Q107" s="29">
        <f>N107+O107+P107</f>
        <v>22179</v>
      </c>
      <c r="R107" s="5">
        <f t="shared" si="12"/>
        <v>22179</v>
      </c>
      <c r="S107" s="5">
        <f t="shared" si="13"/>
        <v>0</v>
      </c>
      <c r="U107" s="5" t="e">
        <f t="shared" si="14"/>
        <v>#VALUE!</v>
      </c>
      <c r="V107" s="5"/>
    </row>
    <row r="108" spans="1:22" s="121" customFormat="1" ht="25.5">
      <c r="A108" s="122"/>
      <c r="B108" s="139" t="s">
        <v>373</v>
      </c>
      <c r="C108" s="119">
        <v>0</v>
      </c>
      <c r="D108" s="119"/>
      <c r="E108" s="119"/>
      <c r="F108" s="119"/>
      <c r="G108" s="119">
        <f>C108+D108+E108+F108</f>
        <v>0</v>
      </c>
      <c r="H108" s="119"/>
      <c r="I108" s="133"/>
      <c r="J108" s="134">
        <v>-33206</v>
      </c>
      <c r="K108" s="134"/>
      <c r="L108" s="134">
        <v>0</v>
      </c>
      <c r="M108" s="134"/>
      <c r="N108" s="134">
        <f>J108</f>
        <v>-33206</v>
      </c>
      <c r="O108" s="134">
        <f>-N108</f>
        <v>33206</v>
      </c>
      <c r="P108" s="134">
        <v>0</v>
      </c>
      <c r="Q108" s="123">
        <f>N108+O108</f>
        <v>0</v>
      </c>
      <c r="R108" s="5">
        <f t="shared" si="12"/>
        <v>0</v>
      </c>
      <c r="S108" s="5">
        <f t="shared" si="13"/>
        <v>0</v>
      </c>
      <c r="U108" s="5">
        <f t="shared" si="14"/>
        <v>0</v>
      </c>
      <c r="V108" s="5"/>
    </row>
    <row r="109" spans="1:22" s="3" customFormat="1" ht="12.75">
      <c r="A109" s="93"/>
      <c r="B109" s="39" t="s">
        <v>285</v>
      </c>
      <c r="C109" s="40">
        <v>0</v>
      </c>
      <c r="D109" s="40">
        <f>D107</f>
        <v>0</v>
      </c>
      <c r="E109" s="40"/>
      <c r="F109" s="40">
        <v>0</v>
      </c>
      <c r="G109" s="40">
        <f>C109+D109+E109+F109</f>
        <v>0</v>
      </c>
      <c r="H109" s="40">
        <f>-G109</f>
        <v>0</v>
      </c>
      <c r="I109" s="125">
        <v>0</v>
      </c>
      <c r="J109" s="125">
        <v>33206</v>
      </c>
      <c r="K109" s="125">
        <v>0</v>
      </c>
      <c r="L109" s="125">
        <v>0</v>
      </c>
      <c r="M109" s="125">
        <v>0</v>
      </c>
      <c r="N109" s="125">
        <f>J109+K109+L109+M109</f>
        <v>33206</v>
      </c>
      <c r="O109" s="125">
        <v>0</v>
      </c>
      <c r="P109" s="125">
        <f>-N109</f>
        <v>-33206</v>
      </c>
      <c r="Q109" s="40">
        <f>N109+P109</f>
        <v>0</v>
      </c>
      <c r="R109" s="5">
        <f t="shared" si="12"/>
        <v>0</v>
      </c>
      <c r="S109" s="5">
        <f t="shared" si="13"/>
        <v>0</v>
      </c>
      <c r="U109" s="5">
        <f t="shared" si="14"/>
        <v>0</v>
      </c>
      <c r="V109" s="5"/>
    </row>
    <row r="110" spans="1:22" s="3" customFormat="1" ht="12.75">
      <c r="A110" s="87" t="s">
        <v>210</v>
      </c>
      <c r="B110" s="24" t="s">
        <v>211</v>
      </c>
      <c r="C110" s="25">
        <f>C111+C130</f>
        <v>7462507</v>
      </c>
      <c r="D110" s="25">
        <f>D111+D130</f>
        <v>17419105</v>
      </c>
      <c r="E110" s="25">
        <f>E111+E130</f>
        <v>0</v>
      </c>
      <c r="F110" s="25">
        <f>F111+F130</f>
        <v>143021573</v>
      </c>
      <c r="G110" s="25">
        <f>C110+D110+E110+F110</f>
        <v>167903185</v>
      </c>
      <c r="H110" s="25">
        <f>H111</f>
        <v>-166948876</v>
      </c>
      <c r="I110" s="135">
        <f>G110+H110</f>
        <v>954309</v>
      </c>
      <c r="J110" s="135">
        <f>J111+J130</f>
        <v>7251595</v>
      </c>
      <c r="K110" s="135">
        <f>K111+K130</f>
        <v>16365736</v>
      </c>
      <c r="L110" s="135">
        <f>L111+L130</f>
        <v>20948</v>
      </c>
      <c r="M110" s="135">
        <f>M111+M130</f>
        <v>151685399</v>
      </c>
      <c r="N110" s="135">
        <f>N111+N130</f>
        <v>175323678</v>
      </c>
      <c r="O110" s="135">
        <f>O111</f>
        <v>-24582</v>
      </c>
      <c r="P110" s="135">
        <f>P111</f>
        <v>-174360994</v>
      </c>
      <c r="Q110" s="25">
        <f>N110+O110+P110</f>
        <v>938102</v>
      </c>
      <c r="R110" s="5">
        <f t="shared" si="12"/>
        <v>938102</v>
      </c>
      <c r="S110" s="5">
        <f t="shared" si="13"/>
        <v>0</v>
      </c>
      <c r="U110" s="5">
        <f t="shared" si="14"/>
        <v>0</v>
      </c>
      <c r="V110" s="5"/>
    </row>
    <row r="111" spans="1:22" s="3" customFormat="1" ht="13.5">
      <c r="A111" s="90" t="s">
        <v>28</v>
      </c>
      <c r="B111" s="30" t="s">
        <v>45</v>
      </c>
      <c r="C111" s="31">
        <v>6508198</v>
      </c>
      <c r="D111" s="31">
        <f>D115</f>
        <v>17419105</v>
      </c>
      <c r="E111" s="31"/>
      <c r="F111" s="31">
        <f>F112</f>
        <v>143021573</v>
      </c>
      <c r="G111" s="31">
        <f t="shared" si="22"/>
        <v>166948876</v>
      </c>
      <c r="H111" s="31">
        <f>H114+H116</f>
        <v>-166948876</v>
      </c>
      <c r="I111" s="135">
        <f>G111+H111</f>
        <v>0</v>
      </c>
      <c r="J111" s="132">
        <f>J112+J115+J117+J118+J120</f>
        <v>6313493</v>
      </c>
      <c r="K111" s="132">
        <f>K115+K120</f>
        <v>16365736</v>
      </c>
      <c r="L111" s="132">
        <f>L112</f>
        <v>20948</v>
      </c>
      <c r="M111" s="132">
        <f>M112</f>
        <v>151685399</v>
      </c>
      <c r="N111" s="132">
        <f t="shared" si="16"/>
        <v>174385576</v>
      </c>
      <c r="O111" s="132">
        <f>O112+O120</f>
        <v>-24582</v>
      </c>
      <c r="P111" s="132">
        <f>P112+P115+P118</f>
        <v>-174360994</v>
      </c>
      <c r="Q111" s="27">
        <f>N111+O111+P111</f>
        <v>0</v>
      </c>
      <c r="R111" s="5">
        <f t="shared" si="12"/>
        <v>0</v>
      </c>
      <c r="S111" s="5">
        <f t="shared" si="13"/>
        <v>0</v>
      </c>
      <c r="U111" s="5">
        <f t="shared" si="14"/>
        <v>0</v>
      </c>
      <c r="V111" s="5"/>
    </row>
    <row r="112" spans="1:22" s="3" customFormat="1" ht="12.75">
      <c r="A112" s="91" t="s">
        <v>133</v>
      </c>
      <c r="B112" s="32" t="s">
        <v>142</v>
      </c>
      <c r="C112" s="33"/>
      <c r="D112" s="33"/>
      <c r="E112" s="33"/>
      <c r="F112" s="33">
        <v>143021573</v>
      </c>
      <c r="G112" s="33">
        <f t="shared" si="22"/>
        <v>143021573</v>
      </c>
      <c r="H112" s="33">
        <f>H114</f>
        <v>-149529771</v>
      </c>
      <c r="I112" s="135" t="s">
        <v>17</v>
      </c>
      <c r="J112" s="128">
        <v>0</v>
      </c>
      <c r="K112" s="128">
        <v>0</v>
      </c>
      <c r="L112" s="128">
        <v>20948</v>
      </c>
      <c r="M112" s="128">
        <v>151685399</v>
      </c>
      <c r="N112" s="128">
        <f t="shared" si="16"/>
        <v>151706347</v>
      </c>
      <c r="O112" s="128">
        <f>O113</f>
        <v>-20948</v>
      </c>
      <c r="P112" s="128">
        <f>P114</f>
        <v>-151685399</v>
      </c>
      <c r="Q112" s="29">
        <f>N112+O112+P112</f>
        <v>0</v>
      </c>
      <c r="R112" s="5">
        <f t="shared" si="12"/>
        <v>0</v>
      </c>
      <c r="S112" s="5">
        <f t="shared" si="13"/>
        <v>0</v>
      </c>
      <c r="U112" s="5" t="e">
        <f t="shared" si="14"/>
        <v>#VALUE!</v>
      </c>
      <c r="V112" s="5"/>
    </row>
    <row r="113" spans="1:22" s="121" customFormat="1" ht="12.75">
      <c r="A113" s="122"/>
      <c r="B113" s="117" t="s">
        <v>372</v>
      </c>
      <c r="C113" s="119">
        <v>0</v>
      </c>
      <c r="D113" s="119"/>
      <c r="E113" s="119"/>
      <c r="F113" s="119"/>
      <c r="G113" s="119">
        <f t="shared" si="22"/>
        <v>0</v>
      </c>
      <c r="H113" s="119"/>
      <c r="I113" s="133"/>
      <c r="J113" s="134">
        <v>0</v>
      </c>
      <c r="K113" s="134"/>
      <c r="L113" s="134">
        <v>20948</v>
      </c>
      <c r="M113" s="134"/>
      <c r="N113" s="134">
        <f>L113</f>
        <v>20948</v>
      </c>
      <c r="O113" s="134">
        <f>-N113</f>
        <v>-20948</v>
      </c>
      <c r="P113" s="134">
        <v>0</v>
      </c>
      <c r="Q113" s="123">
        <f>N113+O113</f>
        <v>0</v>
      </c>
      <c r="R113" s="5">
        <f t="shared" si="12"/>
        <v>0</v>
      </c>
      <c r="S113" s="5">
        <f t="shared" si="13"/>
        <v>0</v>
      </c>
      <c r="U113" s="5">
        <f t="shared" si="14"/>
        <v>0</v>
      </c>
      <c r="V113" s="5"/>
    </row>
    <row r="114" spans="1:22" s="3" customFormat="1" ht="12.75">
      <c r="A114" s="93"/>
      <c r="B114" s="39" t="s">
        <v>285</v>
      </c>
      <c r="C114" s="40">
        <v>6508198</v>
      </c>
      <c r="D114" s="40">
        <f>D112</f>
        <v>0</v>
      </c>
      <c r="E114" s="40"/>
      <c r="F114" s="40">
        <v>143021573</v>
      </c>
      <c r="G114" s="40">
        <f>C114+D114+E114+F114</f>
        <v>149529771</v>
      </c>
      <c r="H114" s="40">
        <f>-G114</f>
        <v>-149529771</v>
      </c>
      <c r="I114" s="125">
        <v>0</v>
      </c>
      <c r="J114" s="125">
        <v>0</v>
      </c>
      <c r="K114" s="125">
        <v>0</v>
      </c>
      <c r="L114" s="125">
        <v>0</v>
      </c>
      <c r="M114" s="125">
        <f>118525507+33103354+56538</f>
        <v>151685399</v>
      </c>
      <c r="N114" s="125">
        <f>J114+K114+L114+M114</f>
        <v>151685399</v>
      </c>
      <c r="O114" s="125">
        <v>0</v>
      </c>
      <c r="P114" s="125">
        <f>-N114</f>
        <v>-151685399</v>
      </c>
      <c r="Q114" s="40">
        <f>N114+P114</f>
        <v>0</v>
      </c>
      <c r="R114" s="5">
        <f t="shared" si="12"/>
        <v>0</v>
      </c>
      <c r="S114" s="5">
        <f t="shared" si="13"/>
        <v>0</v>
      </c>
      <c r="U114" s="5">
        <f t="shared" si="14"/>
        <v>0</v>
      </c>
      <c r="V114" s="5"/>
    </row>
    <row r="115" spans="1:22" s="3" customFormat="1" ht="25.5">
      <c r="A115" s="91" t="s">
        <v>134</v>
      </c>
      <c r="B115" s="34" t="s">
        <v>327</v>
      </c>
      <c r="C115" s="33"/>
      <c r="D115" s="33">
        <v>17419105</v>
      </c>
      <c r="E115" s="33"/>
      <c r="F115" s="33"/>
      <c r="G115" s="33">
        <f t="shared" si="22"/>
        <v>17419105</v>
      </c>
      <c r="H115" s="33">
        <f>H116</f>
        <v>-17419105</v>
      </c>
      <c r="I115" s="128">
        <v>0</v>
      </c>
      <c r="J115" s="128">
        <v>0</v>
      </c>
      <c r="K115" s="128">
        <v>16362102</v>
      </c>
      <c r="L115" s="128">
        <v>0</v>
      </c>
      <c r="M115" s="128">
        <v>0</v>
      </c>
      <c r="N115" s="128">
        <f t="shared" si="16"/>
        <v>16362102</v>
      </c>
      <c r="O115" s="128">
        <v>0</v>
      </c>
      <c r="P115" s="128">
        <f>P116</f>
        <v>-16362102</v>
      </c>
      <c r="Q115" s="29">
        <f t="shared" si="21"/>
        <v>0</v>
      </c>
      <c r="R115" s="5">
        <f t="shared" si="12"/>
        <v>0</v>
      </c>
      <c r="S115" s="5">
        <f t="shared" si="13"/>
        <v>0</v>
      </c>
      <c r="U115" s="5">
        <f t="shared" si="14"/>
        <v>0</v>
      </c>
      <c r="V115" s="5"/>
    </row>
    <row r="116" spans="1:22" s="3" customFormat="1" ht="12.75">
      <c r="A116" s="93"/>
      <c r="B116" s="39" t="s">
        <v>285</v>
      </c>
      <c r="C116" s="40"/>
      <c r="D116" s="40">
        <f>D115</f>
        <v>17419105</v>
      </c>
      <c r="E116" s="40"/>
      <c r="F116" s="40"/>
      <c r="G116" s="40">
        <f t="shared" si="22"/>
        <v>17419105</v>
      </c>
      <c r="H116" s="40">
        <f>-G116</f>
        <v>-17419105</v>
      </c>
      <c r="I116" s="125">
        <v>0</v>
      </c>
      <c r="J116" s="125">
        <v>0</v>
      </c>
      <c r="K116" s="125">
        <v>16362102</v>
      </c>
      <c r="L116" s="125">
        <v>0</v>
      </c>
      <c r="M116" s="125">
        <v>0</v>
      </c>
      <c r="N116" s="125">
        <f t="shared" si="16"/>
        <v>16362102</v>
      </c>
      <c r="O116" s="125">
        <v>0</v>
      </c>
      <c r="P116" s="125">
        <f>-N116</f>
        <v>-16362102</v>
      </c>
      <c r="Q116" s="40">
        <f t="shared" si="21"/>
        <v>0</v>
      </c>
      <c r="R116" s="5">
        <f t="shared" si="12"/>
        <v>0</v>
      </c>
      <c r="S116" s="5">
        <f t="shared" si="13"/>
        <v>0</v>
      </c>
      <c r="U116" s="5">
        <f t="shared" si="14"/>
        <v>0</v>
      </c>
      <c r="V116" s="5"/>
    </row>
    <row r="117" spans="1:22" s="3" customFormat="1" ht="25.5">
      <c r="A117" s="91" t="s">
        <v>135</v>
      </c>
      <c r="B117" s="34" t="s">
        <v>328</v>
      </c>
      <c r="C117" s="33"/>
      <c r="D117" s="33"/>
      <c r="E117" s="33"/>
      <c r="F117" s="33"/>
      <c r="G117" s="33">
        <f t="shared" si="22"/>
        <v>0</v>
      </c>
      <c r="H117" s="33"/>
      <c r="I117" s="128" t="s">
        <v>17</v>
      </c>
      <c r="J117" s="128">
        <v>0</v>
      </c>
      <c r="K117" s="128">
        <v>0</v>
      </c>
      <c r="L117" s="128">
        <v>0</v>
      </c>
      <c r="M117" s="128">
        <v>0</v>
      </c>
      <c r="N117" s="128">
        <f t="shared" si="16"/>
        <v>0</v>
      </c>
      <c r="O117" s="128"/>
      <c r="P117" s="128">
        <v>0</v>
      </c>
      <c r="Q117" s="29">
        <f t="shared" si="21"/>
        <v>0</v>
      </c>
      <c r="R117" s="5">
        <f t="shared" si="12"/>
        <v>0</v>
      </c>
      <c r="S117" s="5">
        <f t="shared" si="13"/>
        <v>0</v>
      </c>
      <c r="U117" s="5" t="e">
        <f t="shared" si="14"/>
        <v>#VALUE!</v>
      </c>
      <c r="V117" s="5"/>
    </row>
    <row r="118" spans="1:22" s="3" customFormat="1" ht="38.25">
      <c r="A118" s="91" t="s">
        <v>136</v>
      </c>
      <c r="B118" s="34" t="s">
        <v>329</v>
      </c>
      <c r="C118" s="33"/>
      <c r="D118" s="33"/>
      <c r="E118" s="33"/>
      <c r="F118" s="33"/>
      <c r="G118" s="33">
        <f t="shared" si="22"/>
        <v>0</v>
      </c>
      <c r="H118" s="33"/>
      <c r="I118" s="128" t="s">
        <v>17</v>
      </c>
      <c r="J118" s="128">
        <f>6313493</f>
        <v>6313493</v>
      </c>
      <c r="K118" s="128">
        <v>0</v>
      </c>
      <c r="L118" s="128">
        <v>0</v>
      </c>
      <c r="M118" s="128">
        <v>0</v>
      </c>
      <c r="N118" s="128">
        <f t="shared" si="16"/>
        <v>6313493</v>
      </c>
      <c r="O118" s="128">
        <v>0</v>
      </c>
      <c r="P118" s="128">
        <f>P119</f>
        <v>-6313493</v>
      </c>
      <c r="Q118" s="29">
        <f t="shared" si="21"/>
        <v>0</v>
      </c>
      <c r="R118" s="5">
        <f t="shared" si="12"/>
        <v>0</v>
      </c>
      <c r="S118" s="5">
        <f t="shared" si="13"/>
        <v>0</v>
      </c>
      <c r="U118" s="5" t="e">
        <f t="shared" si="14"/>
        <v>#VALUE!</v>
      </c>
      <c r="V118" s="5"/>
    </row>
    <row r="119" spans="1:22" s="3" customFormat="1" ht="12.75">
      <c r="A119" s="93"/>
      <c r="B119" s="39" t="s">
        <v>285</v>
      </c>
      <c r="C119" s="33"/>
      <c r="D119" s="33"/>
      <c r="E119" s="33"/>
      <c r="F119" s="33"/>
      <c r="G119" s="33"/>
      <c r="H119" s="33"/>
      <c r="I119" s="125">
        <v>0</v>
      </c>
      <c r="J119" s="125">
        <f>6152223+161270</f>
        <v>6313493</v>
      </c>
      <c r="K119" s="125">
        <v>0</v>
      </c>
      <c r="L119" s="125">
        <v>0</v>
      </c>
      <c r="M119" s="125">
        <v>0</v>
      </c>
      <c r="N119" s="125">
        <f>J119+K119+L119+M119</f>
        <v>6313493</v>
      </c>
      <c r="O119" s="125">
        <v>0</v>
      </c>
      <c r="P119" s="125">
        <f>-N119</f>
        <v>-6313493</v>
      </c>
      <c r="Q119" s="40">
        <f>N119+P119</f>
        <v>0</v>
      </c>
      <c r="R119" s="5">
        <f t="shared" si="12"/>
        <v>0</v>
      </c>
      <c r="S119" s="5">
        <f t="shared" si="13"/>
        <v>0</v>
      </c>
      <c r="U119" s="5">
        <f t="shared" si="14"/>
        <v>0</v>
      </c>
      <c r="V119" s="5"/>
    </row>
    <row r="120" spans="1:22" s="3" customFormat="1" ht="12.75">
      <c r="A120" s="91" t="s">
        <v>137</v>
      </c>
      <c r="B120" s="32" t="s">
        <v>143</v>
      </c>
      <c r="C120" s="33"/>
      <c r="D120" s="33"/>
      <c r="E120" s="33"/>
      <c r="F120" s="33"/>
      <c r="G120" s="33">
        <f t="shared" si="22"/>
        <v>0</v>
      </c>
      <c r="H120" s="33"/>
      <c r="I120" s="128" t="s">
        <v>17</v>
      </c>
      <c r="J120" s="128">
        <v>0</v>
      </c>
      <c r="K120" s="128">
        <v>3634</v>
      </c>
      <c r="L120" s="128">
        <v>0</v>
      </c>
      <c r="M120" s="128">
        <v>0</v>
      </c>
      <c r="N120" s="128">
        <f t="shared" si="16"/>
        <v>3634</v>
      </c>
      <c r="O120" s="128">
        <f>O121</f>
        <v>-3634</v>
      </c>
      <c r="P120" s="128">
        <v>0</v>
      </c>
      <c r="Q120" s="29">
        <f>N120+O120</f>
        <v>0</v>
      </c>
      <c r="R120" s="5">
        <f t="shared" si="12"/>
        <v>0</v>
      </c>
      <c r="S120" s="5">
        <f t="shared" si="13"/>
        <v>0</v>
      </c>
      <c r="U120" s="5" t="e">
        <f t="shared" si="14"/>
        <v>#VALUE!</v>
      </c>
      <c r="V120" s="5"/>
    </row>
    <row r="121" spans="1:22" s="3" customFormat="1" ht="12.75">
      <c r="A121" s="122"/>
      <c r="B121" s="117" t="s">
        <v>371</v>
      </c>
      <c r="C121" s="119"/>
      <c r="D121" s="119"/>
      <c r="E121" s="119"/>
      <c r="F121" s="119"/>
      <c r="G121" s="119"/>
      <c r="H121" s="119"/>
      <c r="I121" s="134" t="s">
        <v>17</v>
      </c>
      <c r="J121" s="134"/>
      <c r="K121" s="134">
        <v>3634</v>
      </c>
      <c r="L121" s="134"/>
      <c r="M121" s="134"/>
      <c r="N121" s="134">
        <f>K121</f>
        <v>3634</v>
      </c>
      <c r="O121" s="134">
        <f>-N121</f>
        <v>-3634</v>
      </c>
      <c r="P121" s="134">
        <v>0</v>
      </c>
      <c r="Q121" s="123">
        <f>N121+O121</f>
        <v>0</v>
      </c>
      <c r="R121" s="5">
        <f t="shared" si="12"/>
        <v>0</v>
      </c>
      <c r="S121" s="5">
        <f t="shared" si="13"/>
        <v>0</v>
      </c>
      <c r="U121" s="5" t="e">
        <f t="shared" si="14"/>
        <v>#VALUE!</v>
      </c>
      <c r="V121" s="5"/>
    </row>
    <row r="122" spans="1:22" s="3" customFormat="1" ht="25.5" hidden="1">
      <c r="A122" s="91" t="s">
        <v>138</v>
      </c>
      <c r="B122" s="34" t="s">
        <v>330</v>
      </c>
      <c r="C122" s="33"/>
      <c r="D122" s="33"/>
      <c r="E122" s="33"/>
      <c r="F122" s="33"/>
      <c r="G122" s="33">
        <f t="shared" si="22"/>
        <v>0</v>
      </c>
      <c r="H122" s="33"/>
      <c r="I122" s="128" t="s">
        <v>17</v>
      </c>
      <c r="J122" s="128">
        <v>0</v>
      </c>
      <c r="K122" s="128">
        <v>0</v>
      </c>
      <c r="L122" s="128">
        <v>0</v>
      </c>
      <c r="M122" s="128">
        <v>0</v>
      </c>
      <c r="N122" s="128">
        <f t="shared" si="16"/>
        <v>0</v>
      </c>
      <c r="O122" s="128"/>
      <c r="P122" s="128">
        <v>0</v>
      </c>
      <c r="Q122" s="29">
        <f t="shared" si="21"/>
        <v>0</v>
      </c>
      <c r="R122" s="5">
        <f t="shared" si="12"/>
        <v>0</v>
      </c>
      <c r="S122" s="5">
        <f t="shared" si="13"/>
        <v>0</v>
      </c>
      <c r="U122" s="5" t="e">
        <f t="shared" si="14"/>
        <v>#VALUE!</v>
      </c>
      <c r="V122" s="5"/>
    </row>
    <row r="123" spans="1:22" s="3" customFormat="1" ht="12.75" hidden="1">
      <c r="A123" s="93"/>
      <c r="B123" s="39"/>
      <c r="C123" s="40"/>
      <c r="D123" s="40"/>
      <c r="E123" s="40"/>
      <c r="F123" s="40"/>
      <c r="G123" s="40"/>
      <c r="H123" s="40"/>
      <c r="I123" s="125"/>
      <c r="J123" s="125"/>
      <c r="K123" s="125"/>
      <c r="L123" s="125"/>
      <c r="M123" s="125"/>
      <c r="N123" s="125">
        <f t="shared" si="16"/>
        <v>0</v>
      </c>
      <c r="O123" s="125"/>
      <c r="P123" s="125"/>
      <c r="Q123" s="40"/>
      <c r="R123" s="5">
        <f t="shared" si="12"/>
        <v>0</v>
      </c>
      <c r="S123" s="5">
        <f t="shared" si="13"/>
        <v>0</v>
      </c>
      <c r="U123" s="5">
        <f t="shared" si="14"/>
        <v>0</v>
      </c>
      <c r="V123" s="5"/>
    </row>
    <row r="124" spans="1:22" s="3" customFormat="1" ht="25.5" hidden="1">
      <c r="A124" s="91" t="s">
        <v>139</v>
      </c>
      <c r="B124" s="34" t="s">
        <v>331</v>
      </c>
      <c r="C124" s="33"/>
      <c r="D124" s="33"/>
      <c r="E124" s="33"/>
      <c r="F124" s="33"/>
      <c r="G124" s="33">
        <f aca="true" t="shared" si="24" ref="G124:G144">C124+D124+E124+F124</f>
        <v>0</v>
      </c>
      <c r="H124" s="33"/>
      <c r="I124" s="128" t="s">
        <v>17</v>
      </c>
      <c r="J124" s="128">
        <v>0</v>
      </c>
      <c r="K124" s="128">
        <v>0</v>
      </c>
      <c r="L124" s="128">
        <v>0</v>
      </c>
      <c r="M124" s="128">
        <v>0</v>
      </c>
      <c r="N124" s="128">
        <f t="shared" si="16"/>
        <v>0</v>
      </c>
      <c r="O124" s="128"/>
      <c r="P124" s="128">
        <v>0</v>
      </c>
      <c r="Q124" s="29">
        <f>N124+P124</f>
        <v>0</v>
      </c>
      <c r="R124" s="5">
        <f t="shared" si="12"/>
        <v>0</v>
      </c>
      <c r="S124" s="5">
        <f t="shared" si="13"/>
        <v>0</v>
      </c>
      <c r="U124" s="5" t="e">
        <f t="shared" si="14"/>
        <v>#VALUE!</v>
      </c>
      <c r="V124" s="5"/>
    </row>
    <row r="125" spans="1:22" s="3" customFormat="1" ht="12.75" hidden="1">
      <c r="A125" s="91"/>
      <c r="B125" s="34"/>
      <c r="C125" s="33"/>
      <c r="D125" s="33"/>
      <c r="E125" s="33"/>
      <c r="F125" s="33"/>
      <c r="G125" s="33">
        <f t="shared" si="24"/>
        <v>0</v>
      </c>
      <c r="H125" s="33"/>
      <c r="I125" s="128"/>
      <c r="J125" s="128"/>
      <c r="K125" s="128"/>
      <c r="L125" s="128"/>
      <c r="M125" s="128"/>
      <c r="N125" s="128">
        <f t="shared" si="16"/>
        <v>0</v>
      </c>
      <c r="O125" s="128"/>
      <c r="P125" s="128"/>
      <c r="Q125" s="29"/>
      <c r="R125" s="5">
        <f t="shared" si="12"/>
        <v>0</v>
      </c>
      <c r="S125" s="5">
        <f t="shared" si="13"/>
        <v>0</v>
      </c>
      <c r="U125" s="5">
        <f t="shared" si="14"/>
        <v>0</v>
      </c>
      <c r="V125" s="5"/>
    </row>
    <row r="126" spans="1:22" s="3" customFormat="1" ht="38.25" hidden="1">
      <c r="A126" s="91" t="s">
        <v>140</v>
      </c>
      <c r="B126" s="34" t="s">
        <v>332</v>
      </c>
      <c r="C126" s="33"/>
      <c r="D126" s="33"/>
      <c r="E126" s="33"/>
      <c r="F126" s="33"/>
      <c r="G126" s="33">
        <f t="shared" si="24"/>
        <v>0</v>
      </c>
      <c r="H126" s="33"/>
      <c r="I126" s="128" t="s">
        <v>17</v>
      </c>
      <c r="J126" s="128">
        <v>0</v>
      </c>
      <c r="K126" s="128">
        <v>0</v>
      </c>
      <c r="L126" s="128">
        <v>0</v>
      </c>
      <c r="M126" s="128">
        <v>0</v>
      </c>
      <c r="N126" s="128">
        <f t="shared" si="16"/>
        <v>0</v>
      </c>
      <c r="O126" s="128"/>
      <c r="P126" s="128">
        <v>0</v>
      </c>
      <c r="Q126" s="29">
        <f>N126+P126</f>
        <v>0</v>
      </c>
      <c r="R126" s="5">
        <f t="shared" si="12"/>
        <v>0</v>
      </c>
      <c r="S126" s="5">
        <f t="shared" si="13"/>
        <v>0</v>
      </c>
      <c r="U126" s="5" t="e">
        <f t="shared" si="14"/>
        <v>#VALUE!</v>
      </c>
      <c r="V126" s="5"/>
    </row>
    <row r="127" spans="1:22" s="3" customFormat="1" ht="12.75" hidden="1">
      <c r="A127" s="91"/>
      <c r="B127" s="34"/>
      <c r="C127" s="33"/>
      <c r="D127" s="33"/>
      <c r="E127" s="33"/>
      <c r="F127" s="33"/>
      <c r="G127" s="33">
        <f t="shared" si="24"/>
        <v>0</v>
      </c>
      <c r="H127" s="33"/>
      <c r="I127" s="128"/>
      <c r="J127" s="128"/>
      <c r="K127" s="128"/>
      <c r="L127" s="128"/>
      <c r="M127" s="128"/>
      <c r="N127" s="128">
        <f t="shared" si="16"/>
        <v>0</v>
      </c>
      <c r="O127" s="128"/>
      <c r="P127" s="128"/>
      <c r="Q127" s="29"/>
      <c r="R127" s="5">
        <f t="shared" si="12"/>
        <v>0</v>
      </c>
      <c r="S127" s="5">
        <f t="shared" si="13"/>
        <v>0</v>
      </c>
      <c r="U127" s="5">
        <f t="shared" si="14"/>
        <v>0</v>
      </c>
      <c r="V127" s="5"/>
    </row>
    <row r="128" spans="1:22" s="3" customFormat="1" ht="25.5" hidden="1">
      <c r="A128" s="91" t="s">
        <v>141</v>
      </c>
      <c r="B128" s="34" t="s">
        <v>333</v>
      </c>
      <c r="C128" s="33"/>
      <c r="D128" s="33"/>
      <c r="E128" s="33"/>
      <c r="F128" s="33"/>
      <c r="G128" s="33">
        <f t="shared" si="24"/>
        <v>0</v>
      </c>
      <c r="H128" s="33"/>
      <c r="I128" s="128" t="s">
        <v>17</v>
      </c>
      <c r="J128" s="128">
        <v>0</v>
      </c>
      <c r="K128" s="128">
        <v>0</v>
      </c>
      <c r="L128" s="128">
        <v>0</v>
      </c>
      <c r="M128" s="128">
        <v>0</v>
      </c>
      <c r="N128" s="128">
        <f t="shared" si="16"/>
        <v>0</v>
      </c>
      <c r="O128" s="128"/>
      <c r="P128" s="128">
        <v>0</v>
      </c>
      <c r="Q128" s="29">
        <f>N128+P128</f>
        <v>0</v>
      </c>
      <c r="R128" s="5">
        <f t="shared" si="12"/>
        <v>0</v>
      </c>
      <c r="S128" s="5">
        <f t="shared" si="13"/>
        <v>0</v>
      </c>
      <c r="U128" s="5" t="e">
        <f t="shared" si="14"/>
        <v>#VALUE!</v>
      </c>
      <c r="V128" s="5"/>
    </row>
    <row r="129" spans="1:22" s="3" customFormat="1" ht="12.75" hidden="1">
      <c r="A129" s="91"/>
      <c r="B129" s="32"/>
      <c r="C129" s="33"/>
      <c r="D129" s="33"/>
      <c r="E129" s="33"/>
      <c r="F129" s="33"/>
      <c r="G129" s="33">
        <f t="shared" si="24"/>
        <v>0</v>
      </c>
      <c r="H129" s="33"/>
      <c r="I129" s="128"/>
      <c r="J129" s="128"/>
      <c r="K129" s="128"/>
      <c r="L129" s="128"/>
      <c r="M129" s="128"/>
      <c r="N129" s="128">
        <f t="shared" si="16"/>
        <v>0</v>
      </c>
      <c r="O129" s="128"/>
      <c r="P129" s="128"/>
      <c r="Q129" s="29"/>
      <c r="R129" s="5">
        <f t="shared" si="12"/>
        <v>0</v>
      </c>
      <c r="S129" s="5">
        <f t="shared" si="13"/>
        <v>0</v>
      </c>
      <c r="U129" s="5">
        <f t="shared" si="14"/>
        <v>0</v>
      </c>
      <c r="V129" s="5"/>
    </row>
    <row r="130" spans="1:22" s="3" customFormat="1" ht="13.5">
      <c r="A130" s="90" t="s">
        <v>46</v>
      </c>
      <c r="B130" s="30" t="s">
        <v>47</v>
      </c>
      <c r="C130" s="31">
        <v>954309</v>
      </c>
      <c r="D130" s="31"/>
      <c r="E130" s="31"/>
      <c r="F130" s="31"/>
      <c r="G130" s="31">
        <f t="shared" si="24"/>
        <v>954309</v>
      </c>
      <c r="H130" s="31"/>
      <c r="I130" s="132">
        <f>G130+H130</f>
        <v>954309</v>
      </c>
      <c r="J130" s="132">
        <f>J135</f>
        <v>938102</v>
      </c>
      <c r="K130" s="132">
        <f>K131+K132+K133+K134+K135+K136</f>
        <v>0</v>
      </c>
      <c r="L130" s="132">
        <f>L131+L132+L133+L134+L135+L136</f>
        <v>0</v>
      </c>
      <c r="M130" s="132">
        <f>M131+M132+M133+M134+M135+M136</f>
        <v>0</v>
      </c>
      <c r="N130" s="132">
        <f t="shared" si="16"/>
        <v>938102</v>
      </c>
      <c r="O130" s="132">
        <v>0</v>
      </c>
      <c r="P130" s="132">
        <v>0</v>
      </c>
      <c r="Q130" s="27">
        <f aca="true" t="shared" si="25" ref="Q130:Q144">N130+P130</f>
        <v>938102</v>
      </c>
      <c r="R130" s="5">
        <f t="shared" si="12"/>
        <v>938102</v>
      </c>
      <c r="S130" s="5">
        <f t="shared" si="13"/>
        <v>0</v>
      </c>
      <c r="U130" s="5">
        <f t="shared" si="14"/>
        <v>0</v>
      </c>
      <c r="V130" s="5"/>
    </row>
    <row r="131" spans="1:22" s="3" customFormat="1" ht="12.75" hidden="1">
      <c r="A131" s="91" t="s">
        <v>144</v>
      </c>
      <c r="B131" s="32" t="s">
        <v>150</v>
      </c>
      <c r="C131" s="33"/>
      <c r="D131" s="33"/>
      <c r="E131" s="33"/>
      <c r="F131" s="33"/>
      <c r="G131" s="33">
        <f t="shared" si="24"/>
        <v>0</v>
      </c>
      <c r="H131" s="33"/>
      <c r="I131" s="128" t="s">
        <v>17</v>
      </c>
      <c r="J131" s="128">
        <v>0</v>
      </c>
      <c r="K131" s="128">
        <v>0</v>
      </c>
      <c r="L131" s="128">
        <v>0</v>
      </c>
      <c r="M131" s="128">
        <v>0</v>
      </c>
      <c r="N131" s="128">
        <f t="shared" si="16"/>
        <v>0</v>
      </c>
      <c r="O131" s="128"/>
      <c r="P131" s="128">
        <v>0</v>
      </c>
      <c r="Q131" s="29">
        <f t="shared" si="25"/>
        <v>0</v>
      </c>
      <c r="R131" s="5">
        <f t="shared" si="12"/>
        <v>0</v>
      </c>
      <c r="S131" s="5">
        <f t="shared" si="13"/>
        <v>0</v>
      </c>
      <c r="U131" s="5" t="e">
        <f t="shared" si="14"/>
        <v>#VALUE!</v>
      </c>
      <c r="V131" s="5"/>
    </row>
    <row r="132" spans="1:22" s="3" customFormat="1" ht="12.75" hidden="1">
      <c r="A132" s="91" t="s">
        <v>145</v>
      </c>
      <c r="B132" s="32" t="s">
        <v>151</v>
      </c>
      <c r="C132" s="33"/>
      <c r="D132" s="33"/>
      <c r="E132" s="33"/>
      <c r="F132" s="33"/>
      <c r="G132" s="33">
        <f t="shared" si="24"/>
        <v>0</v>
      </c>
      <c r="H132" s="33"/>
      <c r="I132" s="128" t="s">
        <v>17</v>
      </c>
      <c r="J132" s="128">
        <v>0</v>
      </c>
      <c r="K132" s="128">
        <v>0</v>
      </c>
      <c r="L132" s="128">
        <v>0</v>
      </c>
      <c r="M132" s="128">
        <v>0</v>
      </c>
      <c r="N132" s="128">
        <f t="shared" si="16"/>
        <v>0</v>
      </c>
      <c r="O132" s="128"/>
      <c r="P132" s="128">
        <v>0</v>
      </c>
      <c r="Q132" s="29">
        <f t="shared" si="25"/>
        <v>0</v>
      </c>
      <c r="R132" s="5">
        <f t="shared" si="12"/>
        <v>0</v>
      </c>
      <c r="S132" s="5">
        <f t="shared" si="13"/>
        <v>0</v>
      </c>
      <c r="U132" s="5" t="e">
        <f t="shared" si="14"/>
        <v>#VALUE!</v>
      </c>
      <c r="V132" s="5"/>
    </row>
    <row r="133" spans="1:22" s="3" customFormat="1" ht="12.75" hidden="1">
      <c r="A133" s="91" t="s">
        <v>146</v>
      </c>
      <c r="B133" s="32" t="s">
        <v>152</v>
      </c>
      <c r="C133" s="33"/>
      <c r="D133" s="33"/>
      <c r="E133" s="33"/>
      <c r="F133" s="33"/>
      <c r="G133" s="33">
        <f t="shared" si="24"/>
        <v>0</v>
      </c>
      <c r="H133" s="33"/>
      <c r="I133" s="29" t="s">
        <v>17</v>
      </c>
      <c r="J133" s="29">
        <v>0</v>
      </c>
      <c r="K133" s="29">
        <v>0</v>
      </c>
      <c r="L133" s="29">
        <v>0</v>
      </c>
      <c r="M133" s="29">
        <v>0</v>
      </c>
      <c r="N133" s="29">
        <f t="shared" si="16"/>
        <v>0</v>
      </c>
      <c r="O133" s="29"/>
      <c r="P133" s="29">
        <v>0</v>
      </c>
      <c r="Q133" s="29">
        <f t="shared" si="25"/>
        <v>0</v>
      </c>
      <c r="R133" s="5">
        <f t="shared" si="12"/>
        <v>0</v>
      </c>
      <c r="S133" s="5">
        <f t="shared" si="13"/>
        <v>0</v>
      </c>
      <c r="U133" s="5" t="e">
        <f t="shared" si="14"/>
        <v>#VALUE!</v>
      </c>
      <c r="V133" s="5"/>
    </row>
    <row r="134" spans="1:22" s="3" customFormat="1" ht="12.75" hidden="1">
      <c r="A134" s="91" t="s">
        <v>147</v>
      </c>
      <c r="B134" s="32" t="s">
        <v>153</v>
      </c>
      <c r="C134" s="33"/>
      <c r="D134" s="33"/>
      <c r="E134" s="33"/>
      <c r="F134" s="33"/>
      <c r="G134" s="33">
        <f t="shared" si="24"/>
        <v>0</v>
      </c>
      <c r="H134" s="33"/>
      <c r="I134" s="29" t="s">
        <v>17</v>
      </c>
      <c r="J134" s="29">
        <v>0</v>
      </c>
      <c r="K134" s="29">
        <v>0</v>
      </c>
      <c r="L134" s="29">
        <v>0</v>
      </c>
      <c r="M134" s="29">
        <v>0</v>
      </c>
      <c r="N134" s="29">
        <f t="shared" si="16"/>
        <v>0</v>
      </c>
      <c r="O134" s="29"/>
      <c r="P134" s="29">
        <v>0</v>
      </c>
      <c r="Q134" s="29">
        <f t="shared" si="25"/>
        <v>0</v>
      </c>
      <c r="R134" s="5">
        <f t="shared" si="12"/>
        <v>0</v>
      </c>
      <c r="S134" s="5">
        <f t="shared" si="13"/>
        <v>0</v>
      </c>
      <c r="U134" s="5" t="e">
        <f t="shared" si="14"/>
        <v>#VALUE!</v>
      </c>
      <c r="V134" s="5"/>
    </row>
    <row r="135" spans="1:22" s="3" customFormat="1" ht="12.75">
      <c r="A135" s="91" t="s">
        <v>148</v>
      </c>
      <c r="B135" s="32" t="s">
        <v>154</v>
      </c>
      <c r="C135" s="33"/>
      <c r="D135" s="33"/>
      <c r="E135" s="33"/>
      <c r="F135" s="33"/>
      <c r="G135" s="33">
        <f t="shared" si="24"/>
        <v>0</v>
      </c>
      <c r="H135" s="33"/>
      <c r="I135" s="29" t="s">
        <v>17</v>
      </c>
      <c r="J135" s="29">
        <v>938102</v>
      </c>
      <c r="K135" s="29">
        <v>0</v>
      </c>
      <c r="L135" s="29">
        <v>0</v>
      </c>
      <c r="M135" s="29">
        <v>0</v>
      </c>
      <c r="N135" s="29">
        <f t="shared" si="16"/>
        <v>938102</v>
      </c>
      <c r="O135" s="29">
        <v>0</v>
      </c>
      <c r="P135" s="29">
        <v>0</v>
      </c>
      <c r="Q135" s="29">
        <f t="shared" si="25"/>
        <v>938102</v>
      </c>
      <c r="R135" s="5">
        <f t="shared" si="12"/>
        <v>938102</v>
      </c>
      <c r="S135" s="5">
        <f t="shared" si="13"/>
        <v>0</v>
      </c>
      <c r="U135" s="5" t="e">
        <f t="shared" si="14"/>
        <v>#VALUE!</v>
      </c>
      <c r="V135" s="5"/>
    </row>
    <row r="136" spans="1:22" s="3" customFormat="1" ht="13.5" customHeight="1" hidden="1">
      <c r="A136" s="91" t="s">
        <v>149</v>
      </c>
      <c r="B136" s="32" t="s">
        <v>155</v>
      </c>
      <c r="C136" s="33"/>
      <c r="D136" s="33"/>
      <c r="E136" s="33"/>
      <c r="F136" s="33"/>
      <c r="G136" s="33">
        <f t="shared" si="24"/>
        <v>0</v>
      </c>
      <c r="H136" s="33"/>
      <c r="I136" s="29" t="s">
        <v>17</v>
      </c>
      <c r="J136" s="29">
        <v>0</v>
      </c>
      <c r="K136" s="29">
        <v>0</v>
      </c>
      <c r="L136" s="29">
        <v>0</v>
      </c>
      <c r="M136" s="29">
        <v>0</v>
      </c>
      <c r="N136" s="29">
        <f t="shared" si="16"/>
        <v>0</v>
      </c>
      <c r="O136" s="29"/>
      <c r="P136" s="29">
        <v>0</v>
      </c>
      <c r="Q136" s="29">
        <f t="shared" si="25"/>
        <v>0</v>
      </c>
      <c r="R136" s="5">
        <f t="shared" si="12"/>
        <v>0</v>
      </c>
      <c r="S136" s="5">
        <f t="shared" si="13"/>
        <v>0</v>
      </c>
      <c r="U136" s="5" t="e">
        <f t="shared" si="14"/>
        <v>#VALUE!</v>
      </c>
      <c r="V136" s="5"/>
    </row>
    <row r="137" spans="1:22" s="3" customFormat="1" ht="12.75">
      <c r="A137" s="24" t="s">
        <v>247</v>
      </c>
      <c r="B137" s="41" t="s">
        <v>248</v>
      </c>
      <c r="C137" s="42"/>
      <c r="D137" s="42"/>
      <c r="E137" s="25"/>
      <c r="F137" s="25"/>
      <c r="G137" s="33">
        <f t="shared" si="24"/>
        <v>0</v>
      </c>
      <c r="H137" s="23"/>
      <c r="I137" s="25" t="s">
        <v>17</v>
      </c>
      <c r="J137" s="25">
        <f>J138</f>
        <v>0</v>
      </c>
      <c r="K137" s="25">
        <f>K138</f>
        <v>0</v>
      </c>
      <c r="L137" s="25">
        <f>L138</f>
        <v>3651630</v>
      </c>
      <c r="M137" s="25">
        <f>M138</f>
        <v>0</v>
      </c>
      <c r="N137" s="25">
        <f>N138</f>
        <v>3651630</v>
      </c>
      <c r="O137" s="25">
        <v>0</v>
      </c>
      <c r="P137" s="25">
        <v>0</v>
      </c>
      <c r="Q137" s="25">
        <f t="shared" si="25"/>
        <v>3651630</v>
      </c>
      <c r="R137" s="5">
        <f t="shared" si="12"/>
        <v>3651630</v>
      </c>
      <c r="S137" s="5">
        <f t="shared" si="13"/>
        <v>0</v>
      </c>
      <c r="U137" s="5" t="e">
        <f t="shared" si="14"/>
        <v>#VALUE!</v>
      </c>
      <c r="V137" s="5"/>
    </row>
    <row r="138" spans="1:22" s="3" customFormat="1" ht="12.75">
      <c r="A138" s="24" t="s">
        <v>48</v>
      </c>
      <c r="B138" s="41" t="s">
        <v>29</v>
      </c>
      <c r="C138" s="25">
        <f>C139+C140+C141+C142+C143+C144</f>
        <v>0</v>
      </c>
      <c r="D138" s="42"/>
      <c r="E138" s="25"/>
      <c r="F138" s="25"/>
      <c r="G138" s="25">
        <f t="shared" si="24"/>
        <v>0</v>
      </c>
      <c r="H138" s="23"/>
      <c r="I138" s="25" t="s">
        <v>17</v>
      </c>
      <c r="J138" s="25">
        <f>J139+J140+J141+J142+J143+J144</f>
        <v>0</v>
      </c>
      <c r="K138" s="25">
        <f>K139+K140+K141+K142+K143+K144</f>
        <v>0</v>
      </c>
      <c r="L138" s="25">
        <f>L139+L140+L141+L142+L143+L144</f>
        <v>3651630</v>
      </c>
      <c r="M138" s="25">
        <f>M139+M140+M141+M142+M143+M144</f>
        <v>0</v>
      </c>
      <c r="N138" s="25">
        <f>N139+N140+N141+N142+N143+N144</f>
        <v>3651630</v>
      </c>
      <c r="O138" s="25">
        <v>0</v>
      </c>
      <c r="P138" s="25">
        <v>0</v>
      </c>
      <c r="Q138" s="25">
        <f t="shared" si="25"/>
        <v>3651630</v>
      </c>
      <c r="R138" s="5">
        <f t="shared" si="12"/>
        <v>3651630</v>
      </c>
      <c r="S138" s="5">
        <f t="shared" si="13"/>
        <v>0</v>
      </c>
      <c r="U138" s="5" t="e">
        <f t="shared" si="14"/>
        <v>#VALUE!</v>
      </c>
      <c r="V138" s="5"/>
    </row>
    <row r="139" spans="1:22" s="3" customFormat="1" ht="25.5">
      <c r="A139" s="91" t="s">
        <v>182</v>
      </c>
      <c r="B139" s="35" t="s">
        <v>188</v>
      </c>
      <c r="C139" s="43"/>
      <c r="D139" s="43"/>
      <c r="E139" s="29"/>
      <c r="F139" s="29"/>
      <c r="G139" s="29">
        <f t="shared" si="24"/>
        <v>0</v>
      </c>
      <c r="H139" s="33"/>
      <c r="I139" s="29" t="s">
        <v>17</v>
      </c>
      <c r="J139" s="29">
        <v>0</v>
      </c>
      <c r="K139" s="29">
        <v>0</v>
      </c>
      <c r="L139" s="29">
        <v>55562</v>
      </c>
      <c r="M139" s="29">
        <v>0</v>
      </c>
      <c r="N139" s="29">
        <f t="shared" si="16"/>
        <v>55562</v>
      </c>
      <c r="O139" s="29">
        <v>0</v>
      </c>
      <c r="P139" s="29">
        <v>0</v>
      </c>
      <c r="Q139" s="29">
        <f t="shared" si="25"/>
        <v>55562</v>
      </c>
      <c r="R139" s="5">
        <f t="shared" si="12"/>
        <v>55562</v>
      </c>
      <c r="S139" s="5">
        <f t="shared" si="13"/>
        <v>0</v>
      </c>
      <c r="U139" s="5" t="e">
        <f t="shared" si="14"/>
        <v>#VALUE!</v>
      </c>
      <c r="V139" s="5"/>
    </row>
    <row r="140" spans="1:22" s="3" customFormat="1" ht="12.75" hidden="1">
      <c r="A140" s="91" t="s">
        <v>183</v>
      </c>
      <c r="B140" s="35" t="s">
        <v>189</v>
      </c>
      <c r="C140" s="43"/>
      <c r="D140" s="43"/>
      <c r="E140" s="29"/>
      <c r="F140" s="29"/>
      <c r="G140" s="33">
        <f t="shared" si="24"/>
        <v>0</v>
      </c>
      <c r="H140" s="33"/>
      <c r="I140" s="29" t="s">
        <v>17</v>
      </c>
      <c r="J140" s="29">
        <v>0</v>
      </c>
      <c r="K140" s="29">
        <v>0</v>
      </c>
      <c r="L140" s="29">
        <v>0</v>
      </c>
      <c r="M140" s="29">
        <v>0</v>
      </c>
      <c r="N140" s="29">
        <f t="shared" si="16"/>
        <v>0</v>
      </c>
      <c r="O140" s="29">
        <v>0</v>
      </c>
      <c r="P140" s="29">
        <v>0</v>
      </c>
      <c r="Q140" s="29">
        <f t="shared" si="25"/>
        <v>0</v>
      </c>
      <c r="R140" s="5">
        <f t="shared" si="12"/>
        <v>0</v>
      </c>
      <c r="S140" s="5">
        <f t="shared" si="13"/>
        <v>0</v>
      </c>
      <c r="U140" s="5" t="e">
        <f t="shared" si="14"/>
        <v>#VALUE!</v>
      </c>
      <c r="V140" s="5"/>
    </row>
    <row r="141" spans="1:22" s="3" customFormat="1" ht="25.5">
      <c r="A141" s="91" t="s">
        <v>184</v>
      </c>
      <c r="B141" s="35" t="s">
        <v>190</v>
      </c>
      <c r="C141" s="43"/>
      <c r="D141" s="43"/>
      <c r="E141" s="29"/>
      <c r="F141" s="29"/>
      <c r="G141" s="33">
        <f t="shared" si="24"/>
        <v>0</v>
      </c>
      <c r="H141" s="33"/>
      <c r="I141" s="29" t="s">
        <v>17</v>
      </c>
      <c r="J141" s="29">
        <v>0</v>
      </c>
      <c r="K141" s="29">
        <v>0</v>
      </c>
      <c r="L141" s="29">
        <v>20122</v>
      </c>
      <c r="M141" s="29">
        <v>0</v>
      </c>
      <c r="N141" s="29">
        <f t="shared" si="16"/>
        <v>20122</v>
      </c>
      <c r="O141" s="29">
        <v>0</v>
      </c>
      <c r="P141" s="29">
        <v>0</v>
      </c>
      <c r="Q141" s="29">
        <f t="shared" si="25"/>
        <v>20122</v>
      </c>
      <c r="R141" s="5">
        <f t="shared" si="12"/>
        <v>20122</v>
      </c>
      <c r="S141" s="5">
        <f t="shared" si="13"/>
        <v>0</v>
      </c>
      <c r="U141" s="5" t="e">
        <f t="shared" si="14"/>
        <v>#VALUE!</v>
      </c>
      <c r="V141" s="5"/>
    </row>
    <row r="142" spans="1:22" s="3" customFormat="1" ht="25.5">
      <c r="A142" s="91" t="s">
        <v>185</v>
      </c>
      <c r="B142" s="35" t="s">
        <v>191</v>
      </c>
      <c r="C142" s="43"/>
      <c r="D142" s="43"/>
      <c r="E142" s="29"/>
      <c r="F142" s="29"/>
      <c r="G142" s="33">
        <f t="shared" si="24"/>
        <v>0</v>
      </c>
      <c r="H142" s="33"/>
      <c r="I142" s="29" t="s">
        <v>17</v>
      </c>
      <c r="J142" s="29">
        <v>0</v>
      </c>
      <c r="K142" s="29">
        <v>0</v>
      </c>
      <c r="L142" s="29">
        <v>3153896</v>
      </c>
      <c r="M142" s="29">
        <v>0</v>
      </c>
      <c r="N142" s="29">
        <f t="shared" si="16"/>
        <v>3153896</v>
      </c>
      <c r="O142" s="29">
        <v>0</v>
      </c>
      <c r="P142" s="29">
        <v>0</v>
      </c>
      <c r="Q142" s="29">
        <f t="shared" si="25"/>
        <v>3153896</v>
      </c>
      <c r="R142" s="5">
        <f aca="true" t="shared" si="26" ref="R142:R205">J142+K142+L142+M142+O142+P142</f>
        <v>3153896</v>
      </c>
      <c r="S142" s="5">
        <f aca="true" t="shared" si="27" ref="S142:S205">Q142-R142</f>
        <v>0</v>
      </c>
      <c r="U142" s="5" t="e">
        <f aca="true" t="shared" si="28" ref="U142:U205">C142+D142+E142+F142+H142-I142</f>
        <v>#VALUE!</v>
      </c>
      <c r="V142" s="5"/>
    </row>
    <row r="143" spans="1:22" s="3" customFormat="1" ht="25.5">
      <c r="A143" s="91" t="s">
        <v>186</v>
      </c>
      <c r="B143" s="35" t="s">
        <v>192</v>
      </c>
      <c r="C143" s="43"/>
      <c r="D143" s="43"/>
      <c r="E143" s="29"/>
      <c r="F143" s="29"/>
      <c r="G143" s="33">
        <f t="shared" si="24"/>
        <v>0</v>
      </c>
      <c r="H143" s="33"/>
      <c r="I143" s="29" t="s">
        <v>17</v>
      </c>
      <c r="J143" s="29">
        <v>0</v>
      </c>
      <c r="K143" s="29">
        <v>0</v>
      </c>
      <c r="L143" s="29">
        <v>422050</v>
      </c>
      <c r="M143" s="29">
        <v>0</v>
      </c>
      <c r="N143" s="29">
        <f t="shared" si="16"/>
        <v>422050</v>
      </c>
      <c r="O143" s="29">
        <v>0</v>
      </c>
      <c r="P143" s="29">
        <v>0</v>
      </c>
      <c r="Q143" s="29">
        <f t="shared" si="25"/>
        <v>422050</v>
      </c>
      <c r="R143" s="5">
        <f t="shared" si="26"/>
        <v>422050</v>
      </c>
      <c r="S143" s="5">
        <f t="shared" si="27"/>
        <v>0</v>
      </c>
      <c r="U143" s="5" t="e">
        <f t="shared" si="28"/>
        <v>#VALUE!</v>
      </c>
      <c r="V143" s="5"/>
    </row>
    <row r="144" spans="1:22" s="3" customFormat="1" ht="12.75" hidden="1">
      <c r="A144" s="91" t="s">
        <v>187</v>
      </c>
      <c r="B144" s="35" t="s">
        <v>193</v>
      </c>
      <c r="C144" s="43"/>
      <c r="D144" s="43"/>
      <c r="E144" s="29"/>
      <c r="F144" s="29"/>
      <c r="G144" s="33">
        <f t="shared" si="24"/>
        <v>0</v>
      </c>
      <c r="H144" s="33"/>
      <c r="I144" s="29" t="s">
        <v>17</v>
      </c>
      <c r="J144" s="29">
        <v>0</v>
      </c>
      <c r="K144" s="29">
        <v>0</v>
      </c>
      <c r="L144" s="29">
        <v>0</v>
      </c>
      <c r="M144" s="29">
        <v>0</v>
      </c>
      <c r="N144" s="29">
        <f t="shared" si="16"/>
        <v>0</v>
      </c>
      <c r="O144" s="29">
        <v>0</v>
      </c>
      <c r="P144" s="29">
        <v>0</v>
      </c>
      <c r="Q144" s="29">
        <f t="shared" si="25"/>
        <v>0</v>
      </c>
      <c r="R144" s="5">
        <f t="shared" si="26"/>
        <v>0</v>
      </c>
      <c r="S144" s="5">
        <f t="shared" si="27"/>
        <v>0</v>
      </c>
      <c r="U144" s="5" t="e">
        <f t="shared" si="28"/>
        <v>#VALUE!</v>
      </c>
      <c r="V144" s="5"/>
    </row>
    <row r="145" spans="1:22" s="3" customFormat="1" ht="25.5">
      <c r="A145" s="86"/>
      <c r="B145" s="47" t="s">
        <v>256</v>
      </c>
      <c r="C145" s="48">
        <f aca="true" t="shared" si="29" ref="C145:Q145">C146+C150+C152+C155+C159+C162+C164+C166+C169+C173</f>
        <v>3385614516</v>
      </c>
      <c r="D145" s="48">
        <f t="shared" si="29"/>
        <v>1543421417</v>
      </c>
      <c r="E145" s="48">
        <f t="shared" si="29"/>
        <v>0</v>
      </c>
      <c r="F145" s="48">
        <f t="shared" si="29"/>
        <v>208171883</v>
      </c>
      <c r="G145" s="48">
        <f t="shared" si="29"/>
        <v>5137207816</v>
      </c>
      <c r="H145" s="48">
        <f>H146+H150+H152+H155+H159+H162+H164+H166+H169+H173</f>
        <v>-235546110</v>
      </c>
      <c r="I145" s="48">
        <f t="shared" si="29"/>
        <v>4901661706</v>
      </c>
      <c r="J145" s="53">
        <f t="shared" si="29"/>
        <v>3198769410</v>
      </c>
      <c r="K145" s="53">
        <f t="shared" si="29"/>
        <v>1513868739</v>
      </c>
      <c r="L145" s="53">
        <f t="shared" si="29"/>
        <v>4746278</v>
      </c>
      <c r="M145" s="53">
        <f t="shared" si="29"/>
        <v>186364776</v>
      </c>
      <c r="N145" s="53">
        <f>N146+N150+N152+N155+N159+N162+N164+N166+N169+N173</f>
        <v>4903749203</v>
      </c>
      <c r="O145" s="53">
        <f>O146+O150+O152+O155+O159+O162+O164+O166+O169+O173</f>
        <v>51904</v>
      </c>
      <c r="P145" s="53">
        <f t="shared" si="29"/>
        <v>-243742555</v>
      </c>
      <c r="Q145" s="53">
        <f t="shared" si="29"/>
        <v>4660058552</v>
      </c>
      <c r="R145" s="5">
        <f t="shared" si="26"/>
        <v>4660058552</v>
      </c>
      <c r="S145" s="5">
        <f t="shared" si="27"/>
        <v>0</v>
      </c>
      <c r="U145" s="5">
        <f t="shared" si="28"/>
        <v>0</v>
      </c>
      <c r="V145" s="5"/>
    </row>
    <row r="146" spans="1:22" s="3" customFormat="1" ht="12.75">
      <c r="A146" s="94" t="s">
        <v>257</v>
      </c>
      <c r="B146" s="45" t="s">
        <v>30</v>
      </c>
      <c r="C146" s="33">
        <v>655683537</v>
      </c>
      <c r="D146" s="33"/>
      <c r="E146" s="33"/>
      <c r="F146" s="33">
        <v>37856672</v>
      </c>
      <c r="G146" s="33">
        <f>C146+D146+E146+F146</f>
        <v>693540209</v>
      </c>
      <c r="H146" s="103">
        <f>H147+H148</f>
        <v>-76809089</v>
      </c>
      <c r="I146" s="128">
        <f>G146+H146</f>
        <v>616731120</v>
      </c>
      <c r="J146" s="128">
        <v>622207701</v>
      </c>
      <c r="K146" s="128">
        <v>0</v>
      </c>
      <c r="L146" s="128">
        <v>337932</v>
      </c>
      <c r="M146" s="128">
        <v>35182019</v>
      </c>
      <c r="N146" s="128">
        <f>J146+K146+L146+M146</f>
        <v>657727652</v>
      </c>
      <c r="O146" s="128">
        <v>0</v>
      </c>
      <c r="P146" s="128">
        <f>P147+P148+P149</f>
        <v>-76800726</v>
      </c>
      <c r="Q146" s="128">
        <f>N146+O146+P146</f>
        <v>580926926</v>
      </c>
      <c r="R146" s="5">
        <f t="shared" si="26"/>
        <v>580926926</v>
      </c>
      <c r="S146" s="5">
        <f t="shared" si="27"/>
        <v>0</v>
      </c>
      <c r="U146" s="5">
        <f t="shared" si="28"/>
        <v>0</v>
      </c>
      <c r="V146" s="5"/>
    </row>
    <row r="147" spans="1:22" s="3" customFormat="1" ht="12.75">
      <c r="A147" s="95"/>
      <c r="B147" s="39" t="s">
        <v>285</v>
      </c>
      <c r="C147" s="40">
        <f>10186189+8000</f>
        <v>10194189</v>
      </c>
      <c r="D147" s="40"/>
      <c r="E147" s="40"/>
      <c r="F147" s="40"/>
      <c r="G147" s="40">
        <f>C147+D147+E147+F147</f>
        <v>10194189</v>
      </c>
      <c r="H147" s="125">
        <f>-G147</f>
        <v>-10194189</v>
      </c>
      <c r="I147" s="129">
        <f>G147+H147</f>
        <v>0</v>
      </c>
      <c r="J147" s="129">
        <f>5959+10114990</f>
        <v>10120949</v>
      </c>
      <c r="K147" s="129">
        <v>0</v>
      </c>
      <c r="L147" s="129">
        <v>0</v>
      </c>
      <c r="M147" s="129">
        <f>10791+22489</f>
        <v>33280</v>
      </c>
      <c r="N147" s="129">
        <f t="shared" si="16"/>
        <v>10154229</v>
      </c>
      <c r="O147" s="129">
        <v>0</v>
      </c>
      <c r="P147" s="129">
        <f>-N147</f>
        <v>-10154229</v>
      </c>
      <c r="Q147" s="129">
        <f aca="true" t="shared" si="30" ref="Q147:Q176">N147+O147+P147</f>
        <v>0</v>
      </c>
      <c r="R147" s="5">
        <f t="shared" si="26"/>
        <v>0</v>
      </c>
      <c r="S147" s="5">
        <f t="shared" si="27"/>
        <v>0</v>
      </c>
      <c r="U147" s="5">
        <f t="shared" si="28"/>
        <v>0</v>
      </c>
      <c r="V147" s="5"/>
    </row>
    <row r="148" spans="1:22" s="3" customFormat="1" ht="12.75">
      <c r="A148" s="92"/>
      <c r="B148" s="72" t="s">
        <v>335</v>
      </c>
      <c r="C148" s="73">
        <f>66609170+5730</f>
        <v>66614900</v>
      </c>
      <c r="D148" s="73"/>
      <c r="E148" s="73"/>
      <c r="F148" s="73"/>
      <c r="G148" s="74">
        <f>C148+D148+E148+F148</f>
        <v>66614900</v>
      </c>
      <c r="H148" s="130">
        <f>-G148</f>
        <v>-66614900</v>
      </c>
      <c r="I148" s="131">
        <f>G148+H148</f>
        <v>0</v>
      </c>
      <c r="J148" s="131">
        <f>66609170+2664+34663</f>
        <v>66646497</v>
      </c>
      <c r="K148" s="131">
        <v>0</v>
      </c>
      <c r="L148" s="131">
        <v>0</v>
      </c>
      <c r="M148" s="131">
        <v>0</v>
      </c>
      <c r="N148" s="131">
        <f>J148+K148+L148+M148</f>
        <v>66646497</v>
      </c>
      <c r="O148" s="131">
        <v>0</v>
      </c>
      <c r="P148" s="131">
        <f>-J148</f>
        <v>-66646497</v>
      </c>
      <c r="Q148" s="131">
        <f t="shared" si="30"/>
        <v>0</v>
      </c>
      <c r="R148" s="5">
        <f t="shared" si="26"/>
        <v>0</v>
      </c>
      <c r="S148" s="5">
        <f t="shared" si="27"/>
        <v>0</v>
      </c>
      <c r="U148" s="5">
        <f t="shared" si="28"/>
        <v>0</v>
      </c>
      <c r="V148" s="5"/>
    </row>
    <row r="149" spans="1:22" s="3" customFormat="1" ht="12.75" hidden="1">
      <c r="A149" s="96"/>
      <c r="B149" s="76" t="s">
        <v>336</v>
      </c>
      <c r="C149" s="77"/>
      <c r="D149" s="77"/>
      <c r="E149" s="77"/>
      <c r="F149" s="77"/>
      <c r="G149" s="78"/>
      <c r="H149" s="126"/>
      <c r="I149" s="127">
        <v>0</v>
      </c>
      <c r="J149" s="127">
        <v>0</v>
      </c>
      <c r="K149" s="127">
        <v>0</v>
      </c>
      <c r="L149" s="127">
        <v>0</v>
      </c>
      <c r="M149" s="127">
        <v>0</v>
      </c>
      <c r="N149" s="127">
        <f>J149+K149+L149+M149</f>
        <v>0</v>
      </c>
      <c r="O149" s="127">
        <v>0</v>
      </c>
      <c r="P149" s="127">
        <f>J149</f>
        <v>0</v>
      </c>
      <c r="Q149" s="127">
        <f t="shared" si="30"/>
        <v>0</v>
      </c>
      <c r="R149" s="5">
        <f t="shared" si="26"/>
        <v>0</v>
      </c>
      <c r="S149" s="5">
        <f t="shared" si="27"/>
        <v>0</v>
      </c>
      <c r="U149" s="5">
        <f t="shared" si="28"/>
        <v>0</v>
      </c>
      <c r="V149" s="5"/>
    </row>
    <row r="150" spans="1:22" s="3" customFormat="1" ht="12.75">
      <c r="A150" s="94" t="s">
        <v>258</v>
      </c>
      <c r="B150" s="28" t="s">
        <v>31</v>
      </c>
      <c r="C150" s="33">
        <v>139432031</v>
      </c>
      <c r="D150" s="33"/>
      <c r="E150" s="33"/>
      <c r="F150" s="33"/>
      <c r="G150" s="33">
        <f>C150+D150+E150+F150</f>
        <v>139432031</v>
      </c>
      <c r="H150" s="103">
        <v>0</v>
      </c>
      <c r="I150" s="128">
        <f>G150+H150</f>
        <v>139432031</v>
      </c>
      <c r="J150" s="128">
        <v>131299114</v>
      </c>
      <c r="K150" s="128">
        <v>0</v>
      </c>
      <c r="L150" s="128">
        <v>501</v>
      </c>
      <c r="M150" s="128">
        <v>0</v>
      </c>
      <c r="N150" s="128">
        <f t="shared" si="16"/>
        <v>131299615</v>
      </c>
      <c r="O150" s="128">
        <v>0</v>
      </c>
      <c r="P150" s="128">
        <f>P151</f>
        <v>-302</v>
      </c>
      <c r="Q150" s="128">
        <f t="shared" si="30"/>
        <v>131299313</v>
      </c>
      <c r="R150" s="5">
        <f t="shared" si="26"/>
        <v>131299313</v>
      </c>
      <c r="S150" s="5">
        <f t="shared" si="27"/>
        <v>0</v>
      </c>
      <c r="U150" s="5">
        <f t="shared" si="28"/>
        <v>0</v>
      </c>
      <c r="V150" s="5"/>
    </row>
    <row r="151" spans="1:22" s="3" customFormat="1" ht="12.75">
      <c r="A151" s="95"/>
      <c r="B151" s="39" t="s">
        <v>285</v>
      </c>
      <c r="C151" s="40"/>
      <c r="D151" s="40"/>
      <c r="E151" s="40"/>
      <c r="F151" s="40"/>
      <c r="G151" s="40">
        <f>C151+D151+E151+F151</f>
        <v>0</v>
      </c>
      <c r="H151" s="40">
        <v>0</v>
      </c>
      <c r="I151" s="129">
        <v>0</v>
      </c>
      <c r="J151" s="129">
        <v>302</v>
      </c>
      <c r="K151" s="129">
        <v>0</v>
      </c>
      <c r="L151" s="129">
        <v>0</v>
      </c>
      <c r="M151" s="129">
        <v>0</v>
      </c>
      <c r="N151" s="129">
        <f t="shared" si="16"/>
        <v>302</v>
      </c>
      <c r="O151" s="129">
        <v>0</v>
      </c>
      <c r="P151" s="129">
        <f>-J151</f>
        <v>-302</v>
      </c>
      <c r="Q151" s="129">
        <f t="shared" si="30"/>
        <v>0</v>
      </c>
      <c r="R151" s="5">
        <f t="shared" si="26"/>
        <v>0</v>
      </c>
      <c r="S151" s="5">
        <f t="shared" si="27"/>
        <v>0</v>
      </c>
      <c r="U151" s="5">
        <f t="shared" si="28"/>
        <v>0</v>
      </c>
      <c r="V151" s="5"/>
    </row>
    <row r="152" spans="1:22" s="3" customFormat="1" ht="12.75">
      <c r="A152" s="94" t="s">
        <v>259</v>
      </c>
      <c r="B152" s="46" t="s">
        <v>260</v>
      </c>
      <c r="C152" s="33">
        <v>241639451</v>
      </c>
      <c r="D152" s="33"/>
      <c r="E152" s="33"/>
      <c r="F152" s="33"/>
      <c r="G152" s="33">
        <f>C152+D152+E152+F152</f>
        <v>241639451</v>
      </c>
      <c r="H152" s="103">
        <f>H154+H153</f>
        <v>-15999</v>
      </c>
      <c r="I152" s="128">
        <f>G152+H152</f>
        <v>241623452</v>
      </c>
      <c r="J152" s="128">
        <v>233514724</v>
      </c>
      <c r="K152" s="128">
        <v>0</v>
      </c>
      <c r="L152" s="128">
        <v>203338</v>
      </c>
      <c r="M152" s="128">
        <v>0</v>
      </c>
      <c r="N152" s="128">
        <f t="shared" si="16"/>
        <v>233718062</v>
      </c>
      <c r="O152" s="128">
        <v>0</v>
      </c>
      <c r="P152" s="128">
        <f>P153</f>
        <v>-26944</v>
      </c>
      <c r="Q152" s="128">
        <f t="shared" si="30"/>
        <v>233691118</v>
      </c>
      <c r="R152" s="5">
        <f t="shared" si="26"/>
        <v>233691118</v>
      </c>
      <c r="S152" s="5">
        <f t="shared" si="27"/>
        <v>0</v>
      </c>
      <c r="U152" s="5">
        <f t="shared" si="28"/>
        <v>0</v>
      </c>
      <c r="V152" s="5"/>
    </row>
    <row r="153" spans="1:22" s="3" customFormat="1" ht="12.75">
      <c r="A153" s="95"/>
      <c r="B153" s="39" t="s">
        <v>285</v>
      </c>
      <c r="C153" s="40">
        <v>15999</v>
      </c>
      <c r="D153" s="40"/>
      <c r="E153" s="40"/>
      <c r="F153" s="40"/>
      <c r="G153" s="40">
        <f>C153+D153+E153+F153</f>
        <v>15999</v>
      </c>
      <c r="H153" s="125">
        <f>-G153</f>
        <v>-15999</v>
      </c>
      <c r="I153" s="129">
        <v>0</v>
      </c>
      <c r="J153" s="129">
        <f>15999+10945</f>
        <v>26944</v>
      </c>
      <c r="K153" s="129">
        <v>0</v>
      </c>
      <c r="L153" s="129">
        <v>0</v>
      </c>
      <c r="M153" s="129">
        <v>0</v>
      </c>
      <c r="N153" s="129">
        <f>J153</f>
        <v>26944</v>
      </c>
      <c r="O153" s="129">
        <v>0</v>
      </c>
      <c r="P153" s="129">
        <f>-N153</f>
        <v>-26944</v>
      </c>
      <c r="Q153" s="129">
        <f t="shared" si="30"/>
        <v>0</v>
      </c>
      <c r="R153" s="5">
        <f t="shared" si="26"/>
        <v>0</v>
      </c>
      <c r="S153" s="5">
        <f t="shared" si="27"/>
        <v>0</v>
      </c>
      <c r="U153" s="5">
        <f t="shared" si="28"/>
        <v>0</v>
      </c>
      <c r="V153" s="5"/>
    </row>
    <row r="154" spans="1:22" s="3" customFormat="1" ht="12.75" hidden="1">
      <c r="A154" s="96"/>
      <c r="B154" s="76" t="s">
        <v>336</v>
      </c>
      <c r="C154" s="77">
        <v>0</v>
      </c>
      <c r="D154" s="77"/>
      <c r="E154" s="77"/>
      <c r="F154" s="77"/>
      <c r="G154" s="78">
        <f>C154</f>
        <v>0</v>
      </c>
      <c r="H154" s="126">
        <f>G154</f>
        <v>0</v>
      </c>
      <c r="I154" s="127">
        <f>H154</f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f>J154+K154+L154+M154</f>
        <v>0</v>
      </c>
      <c r="O154" s="127">
        <v>0</v>
      </c>
      <c r="P154" s="127">
        <f>J154</f>
        <v>0</v>
      </c>
      <c r="Q154" s="127">
        <f t="shared" si="30"/>
        <v>0</v>
      </c>
      <c r="R154" s="5">
        <f t="shared" si="26"/>
        <v>0</v>
      </c>
      <c r="S154" s="5">
        <f t="shared" si="27"/>
        <v>0</v>
      </c>
      <c r="U154" s="5">
        <f t="shared" si="28"/>
        <v>0</v>
      </c>
      <c r="V154" s="5"/>
    </row>
    <row r="155" spans="1:22" s="3" customFormat="1" ht="12.75">
      <c r="A155" s="94" t="s">
        <v>261</v>
      </c>
      <c r="B155" s="28" t="s">
        <v>262</v>
      </c>
      <c r="C155" s="33">
        <v>914915547</v>
      </c>
      <c r="D155" s="33"/>
      <c r="E155" s="33"/>
      <c r="F155" s="33">
        <v>19313012</v>
      </c>
      <c r="G155" s="33">
        <f>C155+D155+E155+F155</f>
        <v>934228559</v>
      </c>
      <c r="H155" s="103">
        <f>H156+H157+H158</f>
        <v>-22504282</v>
      </c>
      <c r="I155" s="128">
        <f>G155+H155</f>
        <v>911724277</v>
      </c>
      <c r="J155" s="128">
        <v>873432833</v>
      </c>
      <c r="K155" s="128">
        <v>0</v>
      </c>
      <c r="L155" s="128">
        <v>2491972</v>
      </c>
      <c r="M155" s="128">
        <v>18548877</v>
      </c>
      <c r="N155" s="128">
        <f t="shared" si="16"/>
        <v>894473682</v>
      </c>
      <c r="O155" s="128">
        <f>-O158</f>
        <v>39083</v>
      </c>
      <c r="P155" s="128">
        <f>P156+P157+P158</f>
        <v>-22370397</v>
      </c>
      <c r="Q155" s="128">
        <f t="shared" si="30"/>
        <v>872142368</v>
      </c>
      <c r="R155" s="5">
        <f t="shared" si="26"/>
        <v>872142368</v>
      </c>
      <c r="S155" s="5">
        <f t="shared" si="27"/>
        <v>0</v>
      </c>
      <c r="U155" s="5">
        <f t="shared" si="28"/>
        <v>0</v>
      </c>
      <c r="V155" s="5"/>
    </row>
    <row r="156" spans="1:22" s="3" customFormat="1" ht="12.75">
      <c r="A156" s="95"/>
      <c r="B156" s="39" t="s">
        <v>285</v>
      </c>
      <c r="C156" s="40">
        <f>20840848+1489924</f>
        <v>22330772</v>
      </c>
      <c r="D156" s="40"/>
      <c r="E156" s="40"/>
      <c r="F156" s="40"/>
      <c r="G156" s="40">
        <f>C156+D156+E156+F156</f>
        <v>22330772</v>
      </c>
      <c r="H156" s="125">
        <f>-G156</f>
        <v>-22330772</v>
      </c>
      <c r="I156" s="129">
        <v>0</v>
      </c>
      <c r="J156" s="129">
        <f>20539885+1489924</f>
        <v>22029809</v>
      </c>
      <c r="K156" s="129">
        <v>0</v>
      </c>
      <c r="L156" s="129">
        <v>0</v>
      </c>
      <c r="M156" s="129">
        <f>4861+161270+948</f>
        <v>167079</v>
      </c>
      <c r="N156" s="129">
        <f>J156+K156+L156+M156</f>
        <v>22196888</v>
      </c>
      <c r="O156" s="129">
        <v>0</v>
      </c>
      <c r="P156" s="129">
        <f>-N156</f>
        <v>-22196888</v>
      </c>
      <c r="Q156" s="129">
        <f t="shared" si="30"/>
        <v>0</v>
      </c>
      <c r="R156" s="5">
        <f t="shared" si="26"/>
        <v>0</v>
      </c>
      <c r="S156" s="5">
        <f t="shared" si="27"/>
        <v>0</v>
      </c>
      <c r="U156" s="5">
        <f t="shared" si="28"/>
        <v>0</v>
      </c>
      <c r="V156" s="5"/>
    </row>
    <row r="157" spans="1:22" s="3" customFormat="1" ht="12.75">
      <c r="A157" s="92"/>
      <c r="B157" s="72" t="s">
        <v>335</v>
      </c>
      <c r="C157" s="73">
        <v>173510</v>
      </c>
      <c r="D157" s="73"/>
      <c r="E157" s="73"/>
      <c r="F157" s="73"/>
      <c r="G157" s="74">
        <f>C157+D157+E157+F157</f>
        <v>173510</v>
      </c>
      <c r="H157" s="130">
        <f>-G157</f>
        <v>-173510</v>
      </c>
      <c r="I157" s="131">
        <f>G157+H157</f>
        <v>0</v>
      </c>
      <c r="J157" s="131">
        <v>173509</v>
      </c>
      <c r="K157" s="131">
        <v>0</v>
      </c>
      <c r="L157" s="131">
        <v>0</v>
      </c>
      <c r="M157" s="131">
        <v>0</v>
      </c>
      <c r="N157" s="131">
        <f>J157+K157+L157+M157</f>
        <v>173509</v>
      </c>
      <c r="O157" s="131">
        <v>0</v>
      </c>
      <c r="P157" s="131">
        <f>-J157</f>
        <v>-173509</v>
      </c>
      <c r="Q157" s="131">
        <f t="shared" si="30"/>
        <v>0</v>
      </c>
      <c r="R157" s="5">
        <f t="shared" si="26"/>
        <v>0</v>
      </c>
      <c r="S157" s="5">
        <f t="shared" si="27"/>
        <v>0</v>
      </c>
      <c r="U157" s="5">
        <f t="shared" si="28"/>
        <v>0</v>
      </c>
      <c r="V157" s="5"/>
    </row>
    <row r="158" spans="1:22" s="3" customFormat="1" ht="12.75">
      <c r="A158" s="96"/>
      <c r="B158" s="76" t="s">
        <v>336</v>
      </c>
      <c r="C158" s="77"/>
      <c r="D158" s="77"/>
      <c r="E158" s="77"/>
      <c r="F158" s="77"/>
      <c r="G158" s="78"/>
      <c r="H158" s="126"/>
      <c r="I158" s="127">
        <v>0</v>
      </c>
      <c r="J158" s="127">
        <v>39083</v>
      </c>
      <c r="K158" s="127">
        <v>0</v>
      </c>
      <c r="L158" s="127">
        <v>0</v>
      </c>
      <c r="M158" s="127">
        <v>0</v>
      </c>
      <c r="N158" s="127">
        <f>J158+K158+L158+M158</f>
        <v>39083</v>
      </c>
      <c r="O158" s="127">
        <f>-N158</f>
        <v>-39083</v>
      </c>
      <c r="P158" s="127">
        <v>0</v>
      </c>
      <c r="Q158" s="127">
        <f t="shared" si="30"/>
        <v>0</v>
      </c>
      <c r="R158" s="5">
        <f t="shared" si="26"/>
        <v>0</v>
      </c>
      <c r="S158" s="5">
        <f t="shared" si="27"/>
        <v>0</v>
      </c>
      <c r="U158" s="5">
        <f t="shared" si="28"/>
        <v>0</v>
      </c>
      <c r="V158" s="5"/>
    </row>
    <row r="159" spans="1:22" s="3" customFormat="1" ht="12.75">
      <c r="A159" s="94" t="s">
        <v>263</v>
      </c>
      <c r="B159" s="28" t="s">
        <v>264</v>
      </c>
      <c r="C159" s="33">
        <v>175642960</v>
      </c>
      <c r="D159" s="33"/>
      <c r="E159" s="33"/>
      <c r="F159" s="33">
        <v>532753</v>
      </c>
      <c r="G159" s="33">
        <f aca="true" t="shared" si="31" ref="G159:G167">C159+D159+E159+F159</f>
        <v>176175713</v>
      </c>
      <c r="H159" s="103">
        <f>H160+H161</f>
        <v>-2591063</v>
      </c>
      <c r="I159" s="128">
        <f>G159+H159</f>
        <v>173584650</v>
      </c>
      <c r="J159" s="128">
        <v>108320339</v>
      </c>
      <c r="K159" s="128">
        <v>0</v>
      </c>
      <c r="L159" s="128">
        <v>17755</v>
      </c>
      <c r="M159" s="128">
        <v>532753</v>
      </c>
      <c r="N159" s="128">
        <f t="shared" si="16"/>
        <v>108870847</v>
      </c>
      <c r="O159" s="128">
        <f>-O161</f>
        <v>12821</v>
      </c>
      <c r="P159" s="128">
        <f>P160+P161</f>
        <v>-143180</v>
      </c>
      <c r="Q159" s="128">
        <f t="shared" si="30"/>
        <v>108740488</v>
      </c>
      <c r="R159" s="5">
        <f t="shared" si="26"/>
        <v>108740488</v>
      </c>
      <c r="S159" s="5">
        <f t="shared" si="27"/>
        <v>0</v>
      </c>
      <c r="U159" s="5">
        <f t="shared" si="28"/>
        <v>0</v>
      </c>
      <c r="V159" s="5"/>
    </row>
    <row r="160" spans="1:22" s="3" customFormat="1" ht="12.75">
      <c r="A160" s="95"/>
      <c r="B160" s="39" t="s">
        <v>285</v>
      </c>
      <c r="C160" s="40">
        <v>2603884</v>
      </c>
      <c r="D160" s="40"/>
      <c r="E160" s="40"/>
      <c r="F160" s="40"/>
      <c r="G160" s="40">
        <f t="shared" si="31"/>
        <v>2603884</v>
      </c>
      <c r="H160" s="125">
        <f>-G160</f>
        <v>-2603884</v>
      </c>
      <c r="I160" s="129">
        <f>G160+H160</f>
        <v>0</v>
      </c>
      <c r="J160" s="129">
        <f>137178+6002</f>
        <v>143180</v>
      </c>
      <c r="K160" s="129">
        <v>0</v>
      </c>
      <c r="L160" s="129">
        <v>0</v>
      </c>
      <c r="M160" s="129">
        <v>0</v>
      </c>
      <c r="N160" s="129">
        <f t="shared" si="16"/>
        <v>143180</v>
      </c>
      <c r="O160" s="129">
        <v>0</v>
      </c>
      <c r="P160" s="129">
        <f>-J160</f>
        <v>-143180</v>
      </c>
      <c r="Q160" s="129">
        <f t="shared" si="30"/>
        <v>0</v>
      </c>
      <c r="R160" s="5">
        <f t="shared" si="26"/>
        <v>0</v>
      </c>
      <c r="S160" s="5">
        <f t="shared" si="27"/>
        <v>0</v>
      </c>
      <c r="U160" s="5">
        <f t="shared" si="28"/>
        <v>0</v>
      </c>
      <c r="V160" s="5"/>
    </row>
    <row r="161" spans="1:22" s="3" customFormat="1" ht="12.75">
      <c r="A161" s="96"/>
      <c r="B161" s="76" t="s">
        <v>336</v>
      </c>
      <c r="C161" s="77">
        <v>12821</v>
      </c>
      <c r="D161" s="77"/>
      <c r="E161" s="77"/>
      <c r="F161" s="77"/>
      <c r="G161" s="77">
        <f t="shared" si="31"/>
        <v>12821</v>
      </c>
      <c r="H161" s="126">
        <f>G161</f>
        <v>12821</v>
      </c>
      <c r="I161" s="127">
        <v>0</v>
      </c>
      <c r="J161" s="127">
        <v>12821</v>
      </c>
      <c r="K161" s="127">
        <v>0</v>
      </c>
      <c r="L161" s="127">
        <v>0</v>
      </c>
      <c r="M161" s="127">
        <v>0</v>
      </c>
      <c r="N161" s="127">
        <f>J161+K161+L161+M161</f>
        <v>12821</v>
      </c>
      <c r="O161" s="127">
        <f>-N161</f>
        <v>-12821</v>
      </c>
      <c r="P161" s="127">
        <v>0</v>
      </c>
      <c r="Q161" s="127">
        <f t="shared" si="30"/>
        <v>0</v>
      </c>
      <c r="R161" s="5">
        <f t="shared" si="26"/>
        <v>0</v>
      </c>
      <c r="S161" s="5">
        <f t="shared" si="27"/>
        <v>0</v>
      </c>
      <c r="U161" s="5">
        <f>C161+D161+E161+F161-H161-I161</f>
        <v>0</v>
      </c>
      <c r="V161" s="5"/>
    </row>
    <row r="162" spans="1:22" s="3" customFormat="1" ht="12.75">
      <c r="A162" s="94" t="s">
        <v>265</v>
      </c>
      <c r="B162" s="28" t="s">
        <v>266</v>
      </c>
      <c r="C162" s="33">
        <v>8411778</v>
      </c>
      <c r="D162" s="33"/>
      <c r="E162" s="33"/>
      <c r="F162" s="33">
        <v>1190537</v>
      </c>
      <c r="G162" s="33">
        <f t="shared" si="31"/>
        <v>9602315</v>
      </c>
      <c r="H162" s="103">
        <f>H163</f>
        <v>-693665</v>
      </c>
      <c r="I162" s="128">
        <f>G162+H162</f>
        <v>8908650</v>
      </c>
      <c r="J162" s="128">
        <v>7698544</v>
      </c>
      <c r="K162" s="128">
        <v>0</v>
      </c>
      <c r="L162" s="128">
        <v>99423</v>
      </c>
      <c r="M162" s="128">
        <v>1190529</v>
      </c>
      <c r="N162" s="128">
        <f t="shared" si="16"/>
        <v>8988496</v>
      </c>
      <c r="O162" s="128">
        <v>0</v>
      </c>
      <c r="P162" s="128">
        <f>P163</f>
        <v>-694362</v>
      </c>
      <c r="Q162" s="128">
        <f t="shared" si="30"/>
        <v>8294134</v>
      </c>
      <c r="R162" s="5">
        <f t="shared" si="26"/>
        <v>8294134</v>
      </c>
      <c r="S162" s="5">
        <f t="shared" si="27"/>
        <v>0</v>
      </c>
      <c r="U162" s="5">
        <f t="shared" si="28"/>
        <v>0</v>
      </c>
      <c r="V162" s="5"/>
    </row>
    <row r="163" spans="1:22" s="3" customFormat="1" ht="12.75">
      <c r="A163" s="95"/>
      <c r="B163" s="39" t="s">
        <v>285</v>
      </c>
      <c r="C163" s="40">
        <v>693665</v>
      </c>
      <c r="D163" s="40"/>
      <c r="E163" s="40"/>
      <c r="F163" s="40"/>
      <c r="G163" s="40">
        <f t="shared" si="31"/>
        <v>693665</v>
      </c>
      <c r="H163" s="125">
        <f>-G163</f>
        <v>-693665</v>
      </c>
      <c r="I163" s="129">
        <v>0</v>
      </c>
      <c r="J163" s="129">
        <v>693665</v>
      </c>
      <c r="K163" s="129">
        <v>0</v>
      </c>
      <c r="L163" s="129">
        <v>697</v>
      </c>
      <c r="M163" s="129">
        <v>0</v>
      </c>
      <c r="N163" s="129">
        <f>J163+K163+L163+M163</f>
        <v>694362</v>
      </c>
      <c r="O163" s="129">
        <v>0</v>
      </c>
      <c r="P163" s="129">
        <f>-N163</f>
        <v>-694362</v>
      </c>
      <c r="Q163" s="129">
        <f t="shared" si="30"/>
        <v>0</v>
      </c>
      <c r="R163" s="5">
        <f t="shared" si="26"/>
        <v>0</v>
      </c>
      <c r="S163" s="5">
        <f t="shared" si="27"/>
        <v>0</v>
      </c>
      <c r="U163" s="5">
        <f t="shared" si="28"/>
        <v>0</v>
      </c>
      <c r="V163" s="5"/>
    </row>
    <row r="164" spans="1:22" s="3" customFormat="1" ht="12.75">
      <c r="A164" s="94" t="s">
        <v>267</v>
      </c>
      <c r="B164" s="28" t="s">
        <v>268</v>
      </c>
      <c r="C164" s="33">
        <v>476206724</v>
      </c>
      <c r="D164" s="33"/>
      <c r="E164" s="33"/>
      <c r="F164" s="33">
        <v>0</v>
      </c>
      <c r="G164" s="33">
        <f t="shared" si="31"/>
        <v>476206724</v>
      </c>
      <c r="H164" s="103">
        <f>H165</f>
        <v>-6535</v>
      </c>
      <c r="I164" s="128">
        <f>G164+H164</f>
        <v>476200189</v>
      </c>
      <c r="J164" s="128">
        <v>471771443</v>
      </c>
      <c r="K164" s="128">
        <v>0</v>
      </c>
      <c r="L164" s="128">
        <v>82809</v>
      </c>
      <c r="M164" s="128">
        <v>0</v>
      </c>
      <c r="N164" s="128">
        <f t="shared" si="16"/>
        <v>471854252</v>
      </c>
      <c r="O164" s="128">
        <v>0</v>
      </c>
      <c r="P164" s="128">
        <f>P165</f>
        <v>-105125</v>
      </c>
      <c r="Q164" s="128">
        <f t="shared" si="30"/>
        <v>471749127</v>
      </c>
      <c r="R164" s="5">
        <f t="shared" si="26"/>
        <v>471749127</v>
      </c>
      <c r="S164" s="5">
        <f t="shared" si="27"/>
        <v>0</v>
      </c>
      <c r="U164" s="5">
        <f t="shared" si="28"/>
        <v>0</v>
      </c>
      <c r="V164" s="5"/>
    </row>
    <row r="165" spans="1:22" s="3" customFormat="1" ht="12.75">
      <c r="A165" s="95"/>
      <c r="B165" s="39" t="s">
        <v>285</v>
      </c>
      <c r="C165" s="40">
        <v>6535</v>
      </c>
      <c r="D165" s="40"/>
      <c r="E165" s="40"/>
      <c r="F165" s="40"/>
      <c r="G165" s="40">
        <f t="shared" si="31"/>
        <v>6535</v>
      </c>
      <c r="H165" s="125">
        <f>-G165</f>
        <v>-6535</v>
      </c>
      <c r="I165" s="129">
        <v>0</v>
      </c>
      <c r="J165" s="129">
        <f>6535+98590</f>
        <v>105125</v>
      </c>
      <c r="K165" s="129">
        <v>0</v>
      </c>
      <c r="L165" s="129">
        <v>0</v>
      </c>
      <c r="M165" s="129">
        <v>0</v>
      </c>
      <c r="N165" s="129">
        <f t="shared" si="16"/>
        <v>105125</v>
      </c>
      <c r="O165" s="129">
        <v>0</v>
      </c>
      <c r="P165" s="129">
        <f>-J165</f>
        <v>-105125</v>
      </c>
      <c r="Q165" s="129">
        <f t="shared" si="30"/>
        <v>0</v>
      </c>
      <c r="R165" s="5">
        <f t="shared" si="26"/>
        <v>0</v>
      </c>
      <c r="S165" s="5">
        <f t="shared" si="27"/>
        <v>0</v>
      </c>
      <c r="U165" s="5">
        <f t="shared" si="28"/>
        <v>0</v>
      </c>
      <c r="V165" s="5"/>
    </row>
    <row r="166" spans="1:22" s="3" customFormat="1" ht="12.75">
      <c r="A166" s="94" t="s">
        <v>269</v>
      </c>
      <c r="B166" s="28" t="s">
        <v>270</v>
      </c>
      <c r="C166" s="33">
        <v>85493739</v>
      </c>
      <c r="D166" s="33"/>
      <c r="E166" s="33"/>
      <c r="F166" s="33">
        <v>73308</v>
      </c>
      <c r="G166" s="33">
        <f t="shared" si="31"/>
        <v>85567047</v>
      </c>
      <c r="H166" s="103">
        <f>H167</f>
        <v>-307200</v>
      </c>
      <c r="I166" s="128">
        <f>G166+H166</f>
        <v>85259847</v>
      </c>
      <c r="J166" s="128">
        <v>84465287</v>
      </c>
      <c r="K166" s="128">
        <v>0</v>
      </c>
      <c r="L166" s="128">
        <v>735925</v>
      </c>
      <c r="M166" s="128">
        <v>70379</v>
      </c>
      <c r="N166" s="128">
        <f t="shared" si="16"/>
        <v>85271591</v>
      </c>
      <c r="O166" s="128">
        <v>0</v>
      </c>
      <c r="P166" s="128">
        <f>P167+P168</f>
        <v>-307154</v>
      </c>
      <c r="Q166" s="128">
        <f t="shared" si="30"/>
        <v>84964437</v>
      </c>
      <c r="R166" s="5">
        <f t="shared" si="26"/>
        <v>84964437</v>
      </c>
      <c r="S166" s="5">
        <f t="shared" si="27"/>
        <v>0</v>
      </c>
      <c r="U166" s="5">
        <f t="shared" si="28"/>
        <v>0</v>
      </c>
      <c r="V166" s="5"/>
    </row>
    <row r="167" spans="1:22" s="3" customFormat="1" ht="12.75">
      <c r="A167" s="95"/>
      <c r="B167" s="39" t="s">
        <v>285</v>
      </c>
      <c r="C167" s="40">
        <v>307200</v>
      </c>
      <c r="D167" s="40"/>
      <c r="E167" s="40"/>
      <c r="F167" s="40"/>
      <c r="G167" s="40">
        <f t="shared" si="31"/>
        <v>307200</v>
      </c>
      <c r="H167" s="125">
        <f>-G167</f>
        <v>-307200</v>
      </c>
      <c r="I167" s="129">
        <v>0</v>
      </c>
      <c r="J167" s="129">
        <v>307154</v>
      </c>
      <c r="K167" s="129">
        <v>0</v>
      </c>
      <c r="L167" s="129">
        <v>0</v>
      </c>
      <c r="M167" s="129">
        <v>0</v>
      </c>
      <c r="N167" s="129">
        <f aca="true" t="shared" si="32" ref="N167:N176">J167+K167+L167+M167</f>
        <v>307154</v>
      </c>
      <c r="O167" s="129">
        <v>0</v>
      </c>
      <c r="P167" s="129">
        <f>-J167</f>
        <v>-307154</v>
      </c>
      <c r="Q167" s="129">
        <f t="shared" si="30"/>
        <v>0</v>
      </c>
      <c r="R167" s="5">
        <f t="shared" si="26"/>
        <v>0</v>
      </c>
      <c r="S167" s="5">
        <f t="shared" si="27"/>
        <v>0</v>
      </c>
      <c r="U167" s="5">
        <f t="shared" si="28"/>
        <v>0</v>
      </c>
      <c r="V167" s="5"/>
    </row>
    <row r="168" spans="1:22" s="3" customFormat="1" ht="12.75" hidden="1">
      <c r="A168" s="96"/>
      <c r="B168" s="76" t="s">
        <v>336</v>
      </c>
      <c r="C168" s="77"/>
      <c r="D168" s="77"/>
      <c r="E168" s="77"/>
      <c r="F168" s="77"/>
      <c r="G168" s="78"/>
      <c r="H168" s="126"/>
      <c r="I168" s="127">
        <v>0</v>
      </c>
      <c r="J168" s="127">
        <v>0</v>
      </c>
      <c r="K168" s="127">
        <v>0</v>
      </c>
      <c r="L168" s="127">
        <v>0</v>
      </c>
      <c r="M168" s="127">
        <v>0</v>
      </c>
      <c r="N168" s="127">
        <f t="shared" si="32"/>
        <v>0</v>
      </c>
      <c r="O168" s="127">
        <v>0</v>
      </c>
      <c r="P168" s="127">
        <f>J168</f>
        <v>0</v>
      </c>
      <c r="Q168" s="127">
        <f t="shared" si="30"/>
        <v>0</v>
      </c>
      <c r="R168" s="5">
        <f t="shared" si="26"/>
        <v>0</v>
      </c>
      <c r="S168" s="5">
        <f t="shared" si="27"/>
        <v>0</v>
      </c>
      <c r="U168" s="5">
        <f t="shared" si="28"/>
        <v>0</v>
      </c>
      <c r="V168" s="5"/>
    </row>
    <row r="169" spans="1:22" s="3" customFormat="1" ht="12.75">
      <c r="A169" s="94" t="s">
        <v>271</v>
      </c>
      <c r="B169" s="28" t="s">
        <v>32</v>
      </c>
      <c r="C169" s="33">
        <v>489279178</v>
      </c>
      <c r="D169" s="33"/>
      <c r="E169" s="33"/>
      <c r="F169" s="33">
        <v>148804474</v>
      </c>
      <c r="G169" s="33">
        <f>C169+D169+E169+F169</f>
        <v>638083652</v>
      </c>
      <c r="H169" s="103">
        <f>H170+H171+H172</f>
        <v>-108690821</v>
      </c>
      <c r="I169" s="128">
        <f>G169+H169</f>
        <v>529392831</v>
      </c>
      <c r="J169" s="128">
        <v>475317257</v>
      </c>
      <c r="K169" s="128">
        <v>0</v>
      </c>
      <c r="L169" s="128">
        <v>735496</v>
      </c>
      <c r="M169" s="128">
        <v>130446193</v>
      </c>
      <c r="N169" s="128">
        <f t="shared" si="32"/>
        <v>606498946</v>
      </c>
      <c r="O169" s="128">
        <v>0</v>
      </c>
      <c r="P169" s="128">
        <f>P170+P171+P172</f>
        <v>-120264532</v>
      </c>
      <c r="Q169" s="128">
        <f t="shared" si="30"/>
        <v>486234414</v>
      </c>
      <c r="R169" s="5">
        <f t="shared" si="26"/>
        <v>486234414</v>
      </c>
      <c r="S169" s="5">
        <f t="shared" si="27"/>
        <v>0</v>
      </c>
      <c r="U169" s="5">
        <f t="shared" si="28"/>
        <v>0</v>
      </c>
      <c r="V169" s="5"/>
    </row>
    <row r="170" spans="1:22" s="3" customFormat="1" ht="12.75">
      <c r="A170" s="95"/>
      <c r="B170" s="39" t="s">
        <v>285</v>
      </c>
      <c r="C170" s="40">
        <f>121803253-13436000</f>
        <v>108367253</v>
      </c>
      <c r="D170" s="40"/>
      <c r="E170" s="40"/>
      <c r="F170" s="40"/>
      <c r="G170" s="40">
        <f>C170+D170+E170+F170</f>
        <v>108367253</v>
      </c>
      <c r="H170" s="125">
        <f>-G170</f>
        <v>-108367253</v>
      </c>
      <c r="I170" s="129">
        <v>0</v>
      </c>
      <c r="J170" s="129">
        <f>120048080+13028+5400</f>
        <v>120066508</v>
      </c>
      <c r="K170" s="129">
        <v>0</v>
      </c>
      <c r="L170" s="129">
        <v>0</v>
      </c>
      <c r="M170" s="129">
        <f>25826+17312</f>
        <v>43138</v>
      </c>
      <c r="N170" s="129">
        <f t="shared" si="32"/>
        <v>120109646</v>
      </c>
      <c r="O170" s="129">
        <v>0</v>
      </c>
      <c r="P170" s="129">
        <f>-N170</f>
        <v>-120109646</v>
      </c>
      <c r="Q170" s="129">
        <f t="shared" si="30"/>
        <v>0</v>
      </c>
      <c r="R170" s="5">
        <f t="shared" si="26"/>
        <v>0</v>
      </c>
      <c r="S170" s="5">
        <f t="shared" si="27"/>
        <v>0</v>
      </c>
      <c r="U170" s="5">
        <f t="shared" si="28"/>
        <v>0</v>
      </c>
      <c r="V170" s="5"/>
    </row>
    <row r="171" spans="1:22" s="3" customFormat="1" ht="12.75">
      <c r="A171" s="92"/>
      <c r="B171" s="72" t="s">
        <v>335</v>
      </c>
      <c r="C171" s="73">
        <v>378370</v>
      </c>
      <c r="D171" s="73"/>
      <c r="E171" s="73"/>
      <c r="F171" s="73">
        <v>669</v>
      </c>
      <c r="G171" s="74">
        <f>C171+D171+E171+F171</f>
        <v>379039</v>
      </c>
      <c r="H171" s="130">
        <f>-G171</f>
        <v>-379039</v>
      </c>
      <c r="I171" s="131">
        <v>0</v>
      </c>
      <c r="J171" s="131">
        <f>154217</f>
        <v>154217</v>
      </c>
      <c r="K171" s="131">
        <v>0</v>
      </c>
      <c r="L171" s="131">
        <v>0</v>
      </c>
      <c r="M171" s="131">
        <f>669</f>
        <v>669</v>
      </c>
      <c r="N171" s="131">
        <f>J171+K171+L171+M171</f>
        <v>154886</v>
      </c>
      <c r="O171" s="131">
        <v>0</v>
      </c>
      <c r="P171" s="131">
        <f>-N171</f>
        <v>-154886</v>
      </c>
      <c r="Q171" s="131">
        <f t="shared" si="30"/>
        <v>0</v>
      </c>
      <c r="R171" s="5">
        <f t="shared" si="26"/>
        <v>0</v>
      </c>
      <c r="S171" s="5">
        <f t="shared" si="27"/>
        <v>0</v>
      </c>
      <c r="U171" s="5">
        <f t="shared" si="28"/>
        <v>0</v>
      </c>
      <c r="V171" s="5"/>
    </row>
    <row r="172" spans="1:22" s="3" customFormat="1" ht="12.75" hidden="1">
      <c r="A172" s="96"/>
      <c r="B172" s="76" t="s">
        <v>336</v>
      </c>
      <c r="C172" s="77">
        <v>55471</v>
      </c>
      <c r="D172" s="77"/>
      <c r="E172" s="77"/>
      <c r="F172" s="77"/>
      <c r="G172" s="78">
        <f>C172</f>
        <v>55471</v>
      </c>
      <c r="H172" s="126">
        <f>G172</f>
        <v>55471</v>
      </c>
      <c r="I172" s="127">
        <v>0</v>
      </c>
      <c r="J172" s="127">
        <v>0</v>
      </c>
      <c r="K172" s="127">
        <v>0</v>
      </c>
      <c r="L172" s="127">
        <v>0</v>
      </c>
      <c r="M172" s="127">
        <v>0</v>
      </c>
      <c r="N172" s="127">
        <f t="shared" si="32"/>
        <v>0</v>
      </c>
      <c r="O172" s="127">
        <v>0</v>
      </c>
      <c r="P172" s="127">
        <f>J172</f>
        <v>0</v>
      </c>
      <c r="Q172" s="127">
        <f t="shared" si="30"/>
        <v>0</v>
      </c>
      <c r="R172" s="5">
        <f t="shared" si="26"/>
        <v>0</v>
      </c>
      <c r="S172" s="5">
        <f t="shared" si="27"/>
        <v>0</v>
      </c>
      <c r="U172" s="5">
        <f>C172+D172+E172+F172-H172-I172</f>
        <v>0</v>
      </c>
      <c r="V172" s="5"/>
    </row>
    <row r="173" spans="1:22" s="3" customFormat="1" ht="12.75">
      <c r="A173" s="94" t="s">
        <v>272</v>
      </c>
      <c r="B173" s="28" t="s">
        <v>273</v>
      </c>
      <c r="C173" s="33">
        <v>198909571</v>
      </c>
      <c r="D173" s="33">
        <v>1543421417</v>
      </c>
      <c r="E173" s="33"/>
      <c r="F173" s="33">
        <v>401127</v>
      </c>
      <c r="G173" s="33">
        <f>C173+D173+E173+F173</f>
        <v>1742732115</v>
      </c>
      <c r="H173" s="103">
        <f>H174+H175</f>
        <v>-23927456</v>
      </c>
      <c r="I173" s="128">
        <f>G173+H173</f>
        <v>1718804659</v>
      </c>
      <c r="J173" s="128">
        <v>190742168</v>
      </c>
      <c r="K173" s="128">
        <v>1513868739</v>
      </c>
      <c r="L173" s="128">
        <v>41127</v>
      </c>
      <c r="M173" s="128">
        <v>394026</v>
      </c>
      <c r="N173" s="128">
        <f t="shared" si="32"/>
        <v>1705046060</v>
      </c>
      <c r="O173" s="128">
        <v>0</v>
      </c>
      <c r="P173" s="128">
        <f>P174+P175+P176</f>
        <v>-23029833</v>
      </c>
      <c r="Q173" s="128">
        <f t="shared" si="30"/>
        <v>1682016227</v>
      </c>
      <c r="R173" s="5">
        <f t="shared" si="26"/>
        <v>1682016227</v>
      </c>
      <c r="S173" s="5">
        <f t="shared" si="27"/>
        <v>0</v>
      </c>
      <c r="U173" s="5">
        <f t="shared" si="28"/>
        <v>0</v>
      </c>
      <c r="V173" s="5"/>
    </row>
    <row r="174" spans="1:22" s="3" customFormat="1" ht="12.75">
      <c r="A174" s="95"/>
      <c r="B174" s="39" t="s">
        <v>285</v>
      </c>
      <c r="C174" s="40">
        <v>17411105</v>
      </c>
      <c r="D174" s="40">
        <v>6508198</v>
      </c>
      <c r="E174" s="40"/>
      <c r="F174" s="40"/>
      <c r="G174" s="40">
        <f>C174+D174</f>
        <v>23919303</v>
      </c>
      <c r="H174" s="125">
        <f>-G174</f>
        <v>-23919303</v>
      </c>
      <c r="I174" s="129">
        <v>0</v>
      </c>
      <c r="J174" s="129">
        <f>16356143+456652</f>
        <v>16812795</v>
      </c>
      <c r="K174" s="129">
        <f>6152223+56538</f>
        <v>6208761</v>
      </c>
      <c r="L174" s="129">
        <v>0</v>
      </c>
      <c r="M174" s="129">
        <v>0</v>
      </c>
      <c r="N174" s="129">
        <f t="shared" si="32"/>
        <v>23021556</v>
      </c>
      <c r="O174" s="129">
        <v>0</v>
      </c>
      <c r="P174" s="129">
        <f>-N174</f>
        <v>-23021556</v>
      </c>
      <c r="Q174" s="129">
        <f t="shared" si="30"/>
        <v>0</v>
      </c>
      <c r="R174" s="5">
        <f t="shared" si="26"/>
        <v>0</v>
      </c>
      <c r="S174" s="5">
        <f t="shared" si="27"/>
        <v>0</v>
      </c>
      <c r="U174" s="5">
        <f t="shared" si="28"/>
        <v>0</v>
      </c>
      <c r="V174" s="5"/>
    </row>
    <row r="175" spans="1:22" s="3" customFormat="1" ht="12.75">
      <c r="A175" s="92"/>
      <c r="B175" s="72" t="s">
        <v>335</v>
      </c>
      <c r="C175" s="73">
        <v>1057</v>
      </c>
      <c r="D175" s="73">
        <v>7096</v>
      </c>
      <c r="E175" s="73"/>
      <c r="F175" s="73"/>
      <c r="G175" s="74">
        <f>C175+D175+E175+F175</f>
        <v>8153</v>
      </c>
      <c r="H175" s="130">
        <f>-G175</f>
        <v>-8153</v>
      </c>
      <c r="I175" s="131">
        <v>0</v>
      </c>
      <c r="J175" s="131">
        <v>1057</v>
      </c>
      <c r="K175" s="131">
        <f>125+7095</f>
        <v>7220</v>
      </c>
      <c r="L175" s="131">
        <v>0</v>
      </c>
      <c r="M175" s="131">
        <v>0</v>
      </c>
      <c r="N175" s="131">
        <f t="shared" si="32"/>
        <v>8277</v>
      </c>
      <c r="O175" s="131">
        <v>0</v>
      </c>
      <c r="P175" s="131">
        <f>-N175</f>
        <v>-8277</v>
      </c>
      <c r="Q175" s="131">
        <f t="shared" si="30"/>
        <v>0</v>
      </c>
      <c r="R175" s="5">
        <f t="shared" si="26"/>
        <v>0</v>
      </c>
      <c r="S175" s="5">
        <f t="shared" si="27"/>
        <v>0</v>
      </c>
      <c r="U175" s="5">
        <f t="shared" si="28"/>
        <v>0</v>
      </c>
      <c r="V175" s="5"/>
    </row>
    <row r="176" spans="1:22" s="3" customFormat="1" ht="12.75" hidden="1">
      <c r="A176" s="96"/>
      <c r="B176" s="76" t="s">
        <v>336</v>
      </c>
      <c r="C176" s="77"/>
      <c r="D176" s="77"/>
      <c r="E176" s="77"/>
      <c r="F176" s="77"/>
      <c r="G176" s="78"/>
      <c r="H176" s="126"/>
      <c r="I176" s="127">
        <v>0</v>
      </c>
      <c r="J176" s="127">
        <v>0</v>
      </c>
      <c r="K176" s="127">
        <v>0</v>
      </c>
      <c r="L176" s="127">
        <v>0</v>
      </c>
      <c r="M176" s="127">
        <v>0</v>
      </c>
      <c r="N176" s="127">
        <f t="shared" si="32"/>
        <v>0</v>
      </c>
      <c r="O176" s="127">
        <v>0</v>
      </c>
      <c r="P176" s="127">
        <f>J176</f>
        <v>0</v>
      </c>
      <c r="Q176" s="128">
        <f t="shared" si="30"/>
        <v>0</v>
      </c>
      <c r="R176" s="5">
        <f t="shared" si="26"/>
        <v>0</v>
      </c>
      <c r="S176" s="5">
        <f t="shared" si="27"/>
        <v>0</v>
      </c>
      <c r="U176" s="5">
        <f t="shared" si="28"/>
        <v>0</v>
      </c>
      <c r="V176" s="5"/>
    </row>
    <row r="177" spans="1:22" s="3" customFormat="1" ht="26.25" customHeight="1">
      <c r="A177" s="86"/>
      <c r="B177" s="47" t="s">
        <v>255</v>
      </c>
      <c r="C177" s="48">
        <f>C178+C241+C253</f>
        <v>3385614516</v>
      </c>
      <c r="D177" s="48">
        <f>D178+D241+D253</f>
        <v>1543421417</v>
      </c>
      <c r="E177" s="48">
        <f>E178+E241+E253</f>
        <v>0</v>
      </c>
      <c r="F177" s="48">
        <f>F178+F241+F253</f>
        <v>208171883</v>
      </c>
      <c r="G177" s="48">
        <f>C177+D177+E177+F177</f>
        <v>5137207816</v>
      </c>
      <c r="H177" s="48">
        <f>H178+H241</f>
        <v>-235546110</v>
      </c>
      <c r="I177" s="48">
        <f>G177+H177</f>
        <v>4901661706</v>
      </c>
      <c r="J177" s="48">
        <f aca="true" t="shared" si="33" ref="J177:P177">J178+J241+J253</f>
        <v>3198769410</v>
      </c>
      <c r="K177" s="48">
        <f t="shared" si="33"/>
        <v>1513868739</v>
      </c>
      <c r="L177" s="48">
        <f>L178+L241+L253</f>
        <v>4746278</v>
      </c>
      <c r="M177" s="48">
        <f t="shared" si="33"/>
        <v>186364776</v>
      </c>
      <c r="N177" s="48">
        <f t="shared" si="33"/>
        <v>4903749203</v>
      </c>
      <c r="O177" s="48">
        <f t="shared" si="33"/>
        <v>51904</v>
      </c>
      <c r="P177" s="48">
        <f t="shared" si="33"/>
        <v>-243742555</v>
      </c>
      <c r="Q177" s="48">
        <f>Q178+Q241+Q253</f>
        <v>4660058552</v>
      </c>
      <c r="R177" s="5">
        <f t="shared" si="26"/>
        <v>4660058552</v>
      </c>
      <c r="S177" s="5">
        <f t="shared" si="27"/>
        <v>0</v>
      </c>
      <c r="T177" s="5"/>
      <c r="U177" s="5">
        <f t="shared" si="28"/>
        <v>0</v>
      </c>
      <c r="V177" s="5"/>
    </row>
    <row r="178" spans="1:22" s="3" customFormat="1" ht="12.75">
      <c r="A178" s="24" t="s">
        <v>196</v>
      </c>
      <c r="B178" s="44" t="s">
        <v>33</v>
      </c>
      <c r="C178" s="23">
        <f>C179+C209+C203+C230+C227</f>
        <v>3141505094</v>
      </c>
      <c r="D178" s="23">
        <f>D179+D203+D209+D227+D230</f>
        <v>1543409904</v>
      </c>
      <c r="E178" s="23">
        <f>E179+E203+E209+E227</f>
        <v>0</v>
      </c>
      <c r="F178" s="23">
        <f>F179+F203+F209+F227+F230</f>
        <v>189621228</v>
      </c>
      <c r="G178" s="23">
        <f>C178+D178+E178+F178</f>
        <v>4874536226</v>
      </c>
      <c r="H178" s="23">
        <f>H179+H210+H203+H220+H230</f>
        <v>-235546110</v>
      </c>
      <c r="I178" s="23">
        <f>G178+H178</f>
        <v>4638990116</v>
      </c>
      <c r="J178" s="23">
        <f aca="true" t="shared" si="34" ref="J178:Q178">J179+J209+J203+J230+J227</f>
        <v>2978977669</v>
      </c>
      <c r="K178" s="23">
        <f t="shared" si="34"/>
        <v>1513857228</v>
      </c>
      <c r="L178" s="23">
        <f t="shared" si="34"/>
        <v>4083291</v>
      </c>
      <c r="M178" s="23">
        <f t="shared" si="34"/>
        <v>179908912</v>
      </c>
      <c r="N178" s="23">
        <f t="shared" si="34"/>
        <v>4676827100</v>
      </c>
      <c r="O178" s="23">
        <f t="shared" si="34"/>
        <v>51264</v>
      </c>
      <c r="P178" s="23">
        <f t="shared" si="34"/>
        <v>-243742555</v>
      </c>
      <c r="Q178" s="23">
        <f t="shared" si="34"/>
        <v>4433135809</v>
      </c>
      <c r="R178" s="5">
        <f t="shared" si="26"/>
        <v>4433135809</v>
      </c>
      <c r="S178" s="5">
        <f t="shared" si="27"/>
        <v>0</v>
      </c>
      <c r="T178" s="5"/>
      <c r="U178" s="5">
        <f t="shared" si="28"/>
        <v>0</v>
      </c>
      <c r="V178" s="5"/>
    </row>
    <row r="179" spans="1:22" s="3" customFormat="1" ht="13.5">
      <c r="A179" s="90" t="s">
        <v>218</v>
      </c>
      <c r="B179" s="36" t="s">
        <v>34</v>
      </c>
      <c r="C179" s="31">
        <f>C180+C185</f>
        <v>846107178</v>
      </c>
      <c r="D179" s="31">
        <f>D180+D185</f>
        <v>8932864</v>
      </c>
      <c r="E179" s="31">
        <f>E180+E185</f>
        <v>0</v>
      </c>
      <c r="F179" s="31">
        <f>F180+F185</f>
        <v>156655611</v>
      </c>
      <c r="G179" s="31">
        <f>G180+G185+E179+F179</f>
        <v>1168351264</v>
      </c>
      <c r="H179" s="31">
        <f aca="true" t="shared" si="35" ref="H179:P179">H180+H185</f>
        <v>-1421632</v>
      </c>
      <c r="I179" s="31">
        <f t="shared" si="35"/>
        <v>1010274021</v>
      </c>
      <c r="J179" s="31">
        <f t="shared" si="35"/>
        <v>815069914</v>
      </c>
      <c r="K179" s="31">
        <f t="shared" si="35"/>
        <v>8863949</v>
      </c>
      <c r="L179" s="31">
        <f t="shared" si="35"/>
        <v>3944283</v>
      </c>
      <c r="M179" s="31">
        <f t="shared" si="35"/>
        <v>146883588</v>
      </c>
      <c r="N179" s="31">
        <f t="shared" si="35"/>
        <v>974761734</v>
      </c>
      <c r="O179" s="31">
        <f t="shared" si="35"/>
        <v>57676</v>
      </c>
      <c r="P179" s="31">
        <f t="shared" si="35"/>
        <v>-1624316</v>
      </c>
      <c r="Q179" s="31">
        <f>Q180+Q185</f>
        <v>973195094</v>
      </c>
      <c r="R179" s="5">
        <f t="shared" si="26"/>
        <v>973195094</v>
      </c>
      <c r="S179" s="5">
        <f t="shared" si="27"/>
        <v>0</v>
      </c>
      <c r="T179" s="5"/>
      <c r="U179" s="5">
        <f t="shared" si="28"/>
        <v>0</v>
      </c>
      <c r="V179" s="5"/>
    </row>
    <row r="180" spans="1:22" s="3" customFormat="1" ht="12.75">
      <c r="A180" s="91">
        <v>1000</v>
      </c>
      <c r="B180" s="34" t="s">
        <v>284</v>
      </c>
      <c r="C180" s="33">
        <v>464873984</v>
      </c>
      <c r="D180" s="33">
        <v>6319774</v>
      </c>
      <c r="E180" s="33"/>
      <c r="F180" s="33">
        <v>108974727</v>
      </c>
      <c r="G180" s="33">
        <f>C180+D180+E180+F180</f>
        <v>580168485</v>
      </c>
      <c r="H180" s="33">
        <f>H181+H183</f>
        <v>8915</v>
      </c>
      <c r="I180" s="33">
        <f>G180+H180</f>
        <v>580177400</v>
      </c>
      <c r="J180" s="33">
        <f>J181+J183</f>
        <v>454856055</v>
      </c>
      <c r="K180" s="33">
        <f>K181+K183</f>
        <v>6319774</v>
      </c>
      <c r="L180" s="33">
        <f>L181+L183</f>
        <v>503446</v>
      </c>
      <c r="M180" s="33">
        <f>M181+M183</f>
        <v>103747252</v>
      </c>
      <c r="N180" s="33">
        <f aca="true" t="shared" si="36" ref="N180:N202">J180+K180+L180+M180</f>
        <v>565426527</v>
      </c>
      <c r="O180" s="33">
        <f>O181+O183</f>
        <v>36802</v>
      </c>
      <c r="P180" s="33">
        <f>P181+P183</f>
        <v>0</v>
      </c>
      <c r="Q180" s="33">
        <f>N180+O180+P180</f>
        <v>565463329</v>
      </c>
      <c r="R180" s="5">
        <f t="shared" si="26"/>
        <v>565463329</v>
      </c>
      <c r="S180" s="5">
        <f t="shared" si="27"/>
        <v>0</v>
      </c>
      <c r="T180" s="5"/>
      <c r="U180" s="5">
        <f t="shared" si="28"/>
        <v>0</v>
      </c>
      <c r="V180" s="5"/>
    </row>
    <row r="181" spans="1:22" s="3" customFormat="1" ht="12.75">
      <c r="A181" s="91">
        <v>1100</v>
      </c>
      <c r="B181" s="34" t="s">
        <v>310</v>
      </c>
      <c r="C181" s="33">
        <v>345537596</v>
      </c>
      <c r="D181" s="33">
        <v>4993404</v>
      </c>
      <c r="E181" s="33"/>
      <c r="F181" s="33">
        <v>88194064</v>
      </c>
      <c r="G181" s="33">
        <f>C181+D181+E181+F181</f>
        <v>438725064</v>
      </c>
      <c r="H181" s="33">
        <f>H182</f>
        <v>7184</v>
      </c>
      <c r="I181" s="33">
        <f>G181+H181</f>
        <v>438732248</v>
      </c>
      <c r="J181" s="33">
        <v>338172682</v>
      </c>
      <c r="K181" s="33">
        <v>4993404</v>
      </c>
      <c r="L181" s="33">
        <v>415803</v>
      </c>
      <c r="M181" s="33">
        <v>84492320</v>
      </c>
      <c r="N181" s="33">
        <f t="shared" si="36"/>
        <v>428074209</v>
      </c>
      <c r="O181" s="33">
        <f>O182</f>
        <v>32426</v>
      </c>
      <c r="P181" s="33">
        <f>P182</f>
        <v>0</v>
      </c>
      <c r="Q181" s="33">
        <f aca="true" t="shared" si="37" ref="Q181:Q244">N181+O181+P181</f>
        <v>428106635</v>
      </c>
      <c r="R181" s="5">
        <f t="shared" si="26"/>
        <v>428106635</v>
      </c>
      <c r="S181" s="5">
        <f t="shared" si="27"/>
        <v>0</v>
      </c>
      <c r="T181" s="5"/>
      <c r="U181" s="5">
        <f t="shared" si="28"/>
        <v>0</v>
      </c>
      <c r="V181" s="5"/>
    </row>
    <row r="182" spans="1:22" s="3" customFormat="1" ht="12.75">
      <c r="A182" s="96"/>
      <c r="B182" s="76" t="s">
        <v>336</v>
      </c>
      <c r="C182" s="77">
        <v>7184</v>
      </c>
      <c r="D182" s="77"/>
      <c r="E182" s="77"/>
      <c r="F182" s="77"/>
      <c r="G182" s="77">
        <f>C182</f>
        <v>7184</v>
      </c>
      <c r="H182" s="77">
        <f>G182</f>
        <v>7184</v>
      </c>
      <c r="I182" s="79">
        <v>0</v>
      </c>
      <c r="J182" s="79">
        <v>32426</v>
      </c>
      <c r="K182" s="79">
        <v>0</v>
      </c>
      <c r="L182" s="79">
        <v>0</v>
      </c>
      <c r="M182" s="79">
        <v>0</v>
      </c>
      <c r="N182" s="79">
        <f t="shared" si="36"/>
        <v>32426</v>
      </c>
      <c r="O182" s="79">
        <f>N182</f>
        <v>32426</v>
      </c>
      <c r="P182" s="79">
        <v>0</v>
      </c>
      <c r="Q182" s="79">
        <f t="shared" si="37"/>
        <v>64852</v>
      </c>
      <c r="R182" s="5">
        <f t="shared" si="26"/>
        <v>64852</v>
      </c>
      <c r="S182" s="5">
        <f t="shared" si="27"/>
        <v>0</v>
      </c>
      <c r="T182" s="5"/>
      <c r="U182" s="5">
        <f>C182+D182+E182+F182-H182-I182</f>
        <v>0</v>
      </c>
      <c r="V182" s="5"/>
    </row>
    <row r="183" spans="1:22" s="3" customFormat="1" ht="38.25">
      <c r="A183" s="91">
        <v>1200</v>
      </c>
      <c r="B183" s="34" t="s">
        <v>297</v>
      </c>
      <c r="C183" s="33">
        <v>0</v>
      </c>
      <c r="D183" s="33">
        <v>0</v>
      </c>
      <c r="E183" s="33"/>
      <c r="F183" s="33">
        <v>0</v>
      </c>
      <c r="G183" s="33">
        <f>C183+D183+E183+F183</f>
        <v>0</v>
      </c>
      <c r="H183" s="33">
        <f>H184</f>
        <v>1731</v>
      </c>
      <c r="I183" s="33">
        <f>G183+H183</f>
        <v>1731</v>
      </c>
      <c r="J183" s="33">
        <v>116683373</v>
      </c>
      <c r="K183" s="33">
        <v>1326370</v>
      </c>
      <c r="L183" s="33">
        <v>87643</v>
      </c>
      <c r="M183" s="33">
        <v>19254932</v>
      </c>
      <c r="N183" s="33">
        <f t="shared" si="36"/>
        <v>137352318</v>
      </c>
      <c r="O183" s="33">
        <f>O184</f>
        <v>4376</v>
      </c>
      <c r="P183" s="33">
        <f>P184</f>
        <v>0</v>
      </c>
      <c r="Q183" s="33">
        <f t="shared" si="37"/>
        <v>137356694</v>
      </c>
      <c r="R183" s="5">
        <f t="shared" si="26"/>
        <v>137356694</v>
      </c>
      <c r="S183" s="5">
        <f t="shared" si="27"/>
        <v>0</v>
      </c>
      <c r="T183" s="5"/>
      <c r="U183" s="5">
        <f t="shared" si="28"/>
        <v>0</v>
      </c>
      <c r="V183" s="5"/>
    </row>
    <row r="184" spans="1:22" s="3" customFormat="1" ht="12.75">
      <c r="A184" s="96"/>
      <c r="B184" s="76" t="s">
        <v>336</v>
      </c>
      <c r="C184" s="77">
        <v>1731</v>
      </c>
      <c r="D184" s="77"/>
      <c r="E184" s="77"/>
      <c r="F184" s="77"/>
      <c r="G184" s="77">
        <f>C184</f>
        <v>1731</v>
      </c>
      <c r="H184" s="77">
        <f>G184</f>
        <v>1731</v>
      </c>
      <c r="I184" s="79">
        <v>0</v>
      </c>
      <c r="J184" s="79">
        <v>4376</v>
      </c>
      <c r="K184" s="79">
        <v>0</v>
      </c>
      <c r="L184" s="79">
        <v>0</v>
      </c>
      <c r="M184" s="79">
        <v>0</v>
      </c>
      <c r="N184" s="79">
        <f t="shared" si="36"/>
        <v>4376</v>
      </c>
      <c r="O184" s="79">
        <f>N184</f>
        <v>4376</v>
      </c>
      <c r="P184" s="79">
        <v>0</v>
      </c>
      <c r="Q184" s="79">
        <f t="shared" si="37"/>
        <v>8752</v>
      </c>
      <c r="R184" s="5">
        <f t="shared" si="26"/>
        <v>8752</v>
      </c>
      <c r="S184" s="5">
        <f t="shared" si="27"/>
        <v>0</v>
      </c>
      <c r="T184" s="5"/>
      <c r="U184" s="5">
        <f>C184+D184+E184+F184-H184-I184</f>
        <v>0</v>
      </c>
      <c r="V184" s="5"/>
    </row>
    <row r="185" spans="1:22" s="3" customFormat="1" ht="12.75">
      <c r="A185" s="91">
        <v>2000</v>
      </c>
      <c r="B185" s="34" t="s">
        <v>49</v>
      </c>
      <c r="C185" s="33">
        <v>381233194</v>
      </c>
      <c r="D185" s="33">
        <v>2613090</v>
      </c>
      <c r="E185" s="33"/>
      <c r="F185" s="33">
        <v>47680884</v>
      </c>
      <c r="G185" s="33">
        <f>C185+D185+E185+F185</f>
        <v>431527168</v>
      </c>
      <c r="H185" s="33">
        <f>H186+H189+H194+H197+H198+H200</f>
        <v>-1430547</v>
      </c>
      <c r="I185" s="33">
        <f>G185+H185</f>
        <v>430096621</v>
      </c>
      <c r="J185" s="33">
        <f>J186+J189+J194+J197+J198+J200</f>
        <v>360213859</v>
      </c>
      <c r="K185" s="33">
        <f>K186+K189+K194+K197+K198+K200</f>
        <v>2544175</v>
      </c>
      <c r="L185" s="33">
        <f>L186+L189+L194+L197+L198+L200</f>
        <v>3440837</v>
      </c>
      <c r="M185" s="33">
        <f>M186+M189+M194+M197+M198+M200</f>
        <v>43136336</v>
      </c>
      <c r="N185" s="33">
        <f>J185+K185+L185+M185</f>
        <v>409335207</v>
      </c>
      <c r="O185" s="33">
        <f>O186+O189+O194+O197+O198+O200</f>
        <v>20874</v>
      </c>
      <c r="P185" s="33">
        <f>P186+P189+P194+P197+P198+P200</f>
        <v>-1624316</v>
      </c>
      <c r="Q185" s="33">
        <f t="shared" si="37"/>
        <v>407731765</v>
      </c>
      <c r="R185" s="5">
        <f t="shared" si="26"/>
        <v>407731765</v>
      </c>
      <c r="S185" s="5">
        <f t="shared" si="27"/>
        <v>0</v>
      </c>
      <c r="T185" s="5"/>
      <c r="U185" s="5">
        <f t="shared" si="28"/>
        <v>0</v>
      </c>
      <c r="V185" s="5"/>
    </row>
    <row r="186" spans="1:22" s="3" customFormat="1" ht="12.75">
      <c r="A186" s="91">
        <v>2100</v>
      </c>
      <c r="B186" s="34" t="s">
        <v>229</v>
      </c>
      <c r="C186" s="33"/>
      <c r="D186" s="33"/>
      <c r="E186" s="33"/>
      <c r="F186" s="33"/>
      <c r="G186" s="33">
        <f>C186+D186+E186+F186</f>
        <v>0</v>
      </c>
      <c r="H186" s="33">
        <f>H188</f>
        <v>0</v>
      </c>
      <c r="I186" s="33">
        <f aca="true" t="shared" si="38" ref="I186:I231">G186+H186</f>
        <v>0</v>
      </c>
      <c r="J186" s="33">
        <v>6663982</v>
      </c>
      <c r="K186" s="33">
        <v>10107</v>
      </c>
      <c r="L186" s="33">
        <v>370328</v>
      </c>
      <c r="M186" s="33">
        <v>3514452</v>
      </c>
      <c r="N186" s="33">
        <f t="shared" si="36"/>
        <v>10558869</v>
      </c>
      <c r="O186" s="33">
        <f>O188</f>
        <v>1252</v>
      </c>
      <c r="P186" s="33">
        <f>P187</f>
        <v>-401</v>
      </c>
      <c r="Q186" s="33">
        <f t="shared" si="37"/>
        <v>10559720</v>
      </c>
      <c r="R186" s="5">
        <f t="shared" si="26"/>
        <v>10559720</v>
      </c>
      <c r="S186" s="5">
        <f t="shared" si="27"/>
        <v>0</v>
      </c>
      <c r="T186" s="5"/>
      <c r="U186" s="5">
        <f t="shared" si="28"/>
        <v>0</v>
      </c>
      <c r="V186" s="5"/>
    </row>
    <row r="187" spans="1:22" s="3" customFormat="1" ht="12.75">
      <c r="A187" s="93"/>
      <c r="B187" s="39" t="s">
        <v>285</v>
      </c>
      <c r="C187" s="33"/>
      <c r="D187" s="33"/>
      <c r="E187" s="33"/>
      <c r="F187" s="33"/>
      <c r="G187" s="33"/>
      <c r="H187" s="33"/>
      <c r="I187" s="125">
        <v>0</v>
      </c>
      <c r="J187" s="125">
        <v>401</v>
      </c>
      <c r="K187" s="125">
        <v>0</v>
      </c>
      <c r="L187" s="125">
        <v>0</v>
      </c>
      <c r="M187" s="125">
        <v>0</v>
      </c>
      <c r="N187" s="125">
        <f>J187+K187+L187+M187</f>
        <v>401</v>
      </c>
      <c r="O187" s="125">
        <v>0</v>
      </c>
      <c r="P187" s="125">
        <f>-N187</f>
        <v>-401</v>
      </c>
      <c r="Q187" s="125">
        <f t="shared" si="37"/>
        <v>0</v>
      </c>
      <c r="R187" s="5">
        <f t="shared" si="26"/>
        <v>0</v>
      </c>
      <c r="S187" s="5">
        <f t="shared" si="27"/>
        <v>0</v>
      </c>
      <c r="T187" s="5"/>
      <c r="U187" s="5">
        <f t="shared" si="28"/>
        <v>0</v>
      </c>
      <c r="V187" s="5"/>
    </row>
    <row r="188" spans="1:22" s="3" customFormat="1" ht="12.75">
      <c r="A188" s="96"/>
      <c r="B188" s="76" t="s">
        <v>336</v>
      </c>
      <c r="C188" s="77">
        <v>0</v>
      </c>
      <c r="D188" s="77"/>
      <c r="E188" s="77"/>
      <c r="F188" s="77"/>
      <c r="G188" s="77">
        <f>C188</f>
        <v>0</v>
      </c>
      <c r="H188" s="77">
        <f>G188</f>
        <v>0</v>
      </c>
      <c r="I188" s="79">
        <v>0</v>
      </c>
      <c r="J188" s="79">
        <v>1252</v>
      </c>
      <c r="K188" s="79">
        <v>0</v>
      </c>
      <c r="L188" s="79">
        <v>0</v>
      </c>
      <c r="M188" s="79">
        <v>0</v>
      </c>
      <c r="N188" s="79">
        <f t="shared" si="36"/>
        <v>1252</v>
      </c>
      <c r="O188" s="79">
        <f>N188</f>
        <v>1252</v>
      </c>
      <c r="P188" s="79">
        <v>0</v>
      </c>
      <c r="Q188" s="79">
        <f t="shared" si="37"/>
        <v>2504</v>
      </c>
      <c r="R188" s="5">
        <f t="shared" si="26"/>
        <v>2504</v>
      </c>
      <c r="S188" s="5">
        <f t="shared" si="27"/>
        <v>0</v>
      </c>
      <c r="T188" s="5"/>
      <c r="U188" s="5">
        <f t="shared" si="28"/>
        <v>0</v>
      </c>
      <c r="V188" s="5"/>
    </row>
    <row r="189" spans="1:22" s="3" customFormat="1" ht="12.75">
      <c r="A189" s="91">
        <v>2200</v>
      </c>
      <c r="B189" s="34" t="s">
        <v>230</v>
      </c>
      <c r="C189" s="33"/>
      <c r="D189" s="33"/>
      <c r="E189" s="33"/>
      <c r="F189" s="33"/>
      <c r="G189" s="33">
        <f>C189+D189+E189+F189</f>
        <v>0</v>
      </c>
      <c r="H189" s="33">
        <f>H192+H191</f>
        <v>-1430862</v>
      </c>
      <c r="I189" s="33">
        <v>0</v>
      </c>
      <c r="J189" s="33">
        <v>274337991</v>
      </c>
      <c r="K189" s="33">
        <v>2303119</v>
      </c>
      <c r="L189" s="33">
        <v>868237</v>
      </c>
      <c r="M189" s="33">
        <v>31163237</v>
      </c>
      <c r="N189" s="33">
        <f t="shared" si="36"/>
        <v>308672584</v>
      </c>
      <c r="O189" s="33">
        <f>O190+O192</f>
        <v>19186</v>
      </c>
      <c r="P189" s="33">
        <f>P190+P192+P193+P191</f>
        <v>-1601113</v>
      </c>
      <c r="Q189" s="33">
        <f t="shared" si="37"/>
        <v>307090657</v>
      </c>
      <c r="R189" s="5">
        <f t="shared" si="26"/>
        <v>307090657</v>
      </c>
      <c r="S189" s="5">
        <f t="shared" si="27"/>
        <v>0</v>
      </c>
      <c r="T189" s="5"/>
      <c r="U189" s="5">
        <f t="shared" si="28"/>
        <v>-1430862</v>
      </c>
      <c r="V189" s="5"/>
    </row>
    <row r="190" spans="1:22" s="121" customFormat="1" ht="12.75">
      <c r="A190" s="122"/>
      <c r="B190" s="117" t="s">
        <v>374</v>
      </c>
      <c r="C190" s="119">
        <v>0</v>
      </c>
      <c r="D190" s="119"/>
      <c r="E190" s="119"/>
      <c r="F190" s="119"/>
      <c r="G190" s="119">
        <f>C190+D190+E190+F190</f>
        <v>0</v>
      </c>
      <c r="H190" s="119"/>
      <c r="I190" s="119">
        <v>0</v>
      </c>
      <c r="J190" s="123">
        <v>0</v>
      </c>
      <c r="K190" s="123"/>
      <c r="L190" s="123">
        <v>-6412</v>
      </c>
      <c r="M190" s="123"/>
      <c r="N190" s="123">
        <f>L190</f>
        <v>-6412</v>
      </c>
      <c r="O190" s="123">
        <f>-N190</f>
        <v>6412</v>
      </c>
      <c r="P190" s="123">
        <v>0</v>
      </c>
      <c r="Q190" s="123">
        <f t="shared" si="37"/>
        <v>0</v>
      </c>
      <c r="R190" s="5">
        <f t="shared" si="26"/>
        <v>0</v>
      </c>
      <c r="S190" s="5">
        <f t="shared" si="27"/>
        <v>0</v>
      </c>
      <c r="T190" s="5"/>
      <c r="U190" s="5">
        <f t="shared" si="28"/>
        <v>0</v>
      </c>
      <c r="V190" s="5"/>
    </row>
    <row r="191" spans="1:22" s="3" customFormat="1" ht="12.75">
      <c r="A191" s="93"/>
      <c r="B191" s="39" t="s">
        <v>285</v>
      </c>
      <c r="C191" s="40">
        <v>1489924</v>
      </c>
      <c r="D191" s="40"/>
      <c r="E191" s="40"/>
      <c r="F191" s="40"/>
      <c r="G191" s="40">
        <f>C191+D191+E191</f>
        <v>1489924</v>
      </c>
      <c r="H191" s="141">
        <f>-G191</f>
        <v>-1489924</v>
      </c>
      <c r="I191" s="125">
        <v>0</v>
      </c>
      <c r="J191" s="125">
        <f>1489924+111064</f>
        <v>1600988</v>
      </c>
      <c r="K191" s="125">
        <v>0</v>
      </c>
      <c r="L191" s="125">
        <v>0</v>
      </c>
      <c r="M191" s="125">
        <v>0</v>
      </c>
      <c r="N191" s="125">
        <f>J191+K191+L191+M191</f>
        <v>1600988</v>
      </c>
      <c r="O191" s="125">
        <v>0</v>
      </c>
      <c r="P191" s="125">
        <f>-N191</f>
        <v>-1600988</v>
      </c>
      <c r="Q191" s="125">
        <f t="shared" si="37"/>
        <v>0</v>
      </c>
      <c r="R191" s="5">
        <f t="shared" si="26"/>
        <v>0</v>
      </c>
      <c r="S191" s="5">
        <f t="shared" si="27"/>
        <v>0</v>
      </c>
      <c r="T191" s="5"/>
      <c r="U191" s="5">
        <f t="shared" si="28"/>
        <v>0</v>
      </c>
      <c r="V191" s="5"/>
    </row>
    <row r="192" spans="1:22" s="3" customFormat="1" ht="12.75">
      <c r="A192" s="96"/>
      <c r="B192" s="76" t="s">
        <v>336</v>
      </c>
      <c r="C192" s="77">
        <v>59062</v>
      </c>
      <c r="D192" s="77"/>
      <c r="E192" s="77"/>
      <c r="F192" s="77"/>
      <c r="G192" s="77">
        <f>C192</f>
        <v>59062</v>
      </c>
      <c r="H192" s="77">
        <f>G192</f>
        <v>59062</v>
      </c>
      <c r="I192" s="127">
        <v>0</v>
      </c>
      <c r="J192" s="127">
        <v>12774</v>
      </c>
      <c r="K192" s="127">
        <v>0</v>
      </c>
      <c r="L192" s="127">
        <v>0</v>
      </c>
      <c r="M192" s="127">
        <v>0</v>
      </c>
      <c r="N192" s="127">
        <f t="shared" si="36"/>
        <v>12774</v>
      </c>
      <c r="O192" s="127">
        <f>N192</f>
        <v>12774</v>
      </c>
      <c r="P192" s="127">
        <v>0</v>
      </c>
      <c r="Q192" s="127">
        <f t="shared" si="37"/>
        <v>25548</v>
      </c>
      <c r="R192" s="5">
        <f t="shared" si="26"/>
        <v>25548</v>
      </c>
      <c r="S192" s="5">
        <f t="shared" si="27"/>
        <v>0</v>
      </c>
      <c r="T192" s="5"/>
      <c r="U192" s="5">
        <f>C192+D192+E192+F192-H192-I192</f>
        <v>0</v>
      </c>
      <c r="V192" s="5"/>
    </row>
    <row r="193" spans="1:22" s="3" customFormat="1" ht="12.75">
      <c r="A193" s="92"/>
      <c r="B193" s="72" t="s">
        <v>335</v>
      </c>
      <c r="C193" s="73">
        <v>0</v>
      </c>
      <c r="D193" s="73">
        <v>0</v>
      </c>
      <c r="E193" s="73"/>
      <c r="F193" s="73">
        <v>0</v>
      </c>
      <c r="G193" s="74">
        <f>C193+D193+E193+F193</f>
        <v>0</v>
      </c>
      <c r="H193" s="73">
        <f>-G193</f>
        <v>0</v>
      </c>
      <c r="I193" s="75">
        <v>0</v>
      </c>
      <c r="J193" s="75">
        <v>0</v>
      </c>
      <c r="K193" s="75">
        <v>125</v>
      </c>
      <c r="L193" s="75">
        <v>0</v>
      </c>
      <c r="M193" s="75">
        <v>0</v>
      </c>
      <c r="N193" s="75">
        <f>J193+K193+L193+M193</f>
        <v>125</v>
      </c>
      <c r="O193" s="75">
        <v>0</v>
      </c>
      <c r="P193" s="75">
        <f>-N193</f>
        <v>-125</v>
      </c>
      <c r="Q193" s="75">
        <f t="shared" si="37"/>
        <v>0</v>
      </c>
      <c r="R193" s="5">
        <f t="shared" si="26"/>
        <v>0</v>
      </c>
      <c r="S193" s="5">
        <f t="shared" si="27"/>
        <v>0</v>
      </c>
      <c r="T193" s="5"/>
      <c r="U193" s="5">
        <f t="shared" si="28"/>
        <v>0</v>
      </c>
      <c r="V193" s="5"/>
    </row>
    <row r="194" spans="1:22" s="3" customFormat="1" ht="25.5">
      <c r="A194" s="91">
        <v>2300</v>
      </c>
      <c r="B194" s="34" t="s">
        <v>231</v>
      </c>
      <c r="C194" s="33"/>
      <c r="D194" s="33"/>
      <c r="E194" s="33"/>
      <c r="F194" s="33"/>
      <c r="G194" s="33">
        <f>C194+D194+E194+F194</f>
        <v>0</v>
      </c>
      <c r="H194" s="33">
        <f>H196</f>
        <v>315</v>
      </c>
      <c r="I194" s="33">
        <v>0</v>
      </c>
      <c r="J194" s="33">
        <v>70414581</v>
      </c>
      <c r="K194" s="33">
        <v>227838</v>
      </c>
      <c r="L194" s="33">
        <v>1697857</v>
      </c>
      <c r="M194" s="33">
        <v>6090688</v>
      </c>
      <c r="N194" s="33">
        <f t="shared" si="36"/>
        <v>78430964</v>
      </c>
      <c r="O194" s="33">
        <f>O196</f>
        <v>436</v>
      </c>
      <c r="P194" s="33">
        <f>P195</f>
        <v>-13444</v>
      </c>
      <c r="Q194" s="33">
        <f t="shared" si="37"/>
        <v>78417956</v>
      </c>
      <c r="R194" s="5">
        <f t="shared" si="26"/>
        <v>78417956</v>
      </c>
      <c r="S194" s="5">
        <f t="shared" si="27"/>
        <v>0</v>
      </c>
      <c r="T194" s="5"/>
      <c r="U194" s="5">
        <f t="shared" si="28"/>
        <v>315</v>
      </c>
      <c r="V194" s="5"/>
    </row>
    <row r="195" spans="1:22" s="3" customFormat="1" ht="12.75">
      <c r="A195" s="93"/>
      <c r="B195" s="39" t="s">
        <v>285</v>
      </c>
      <c r="C195" s="33"/>
      <c r="D195" s="33"/>
      <c r="E195" s="33"/>
      <c r="F195" s="33"/>
      <c r="G195" s="33"/>
      <c r="H195" s="33"/>
      <c r="I195" s="125">
        <v>0</v>
      </c>
      <c r="J195" s="125">
        <f>8044+5400</f>
        <v>13444</v>
      </c>
      <c r="K195" s="125">
        <v>0</v>
      </c>
      <c r="L195" s="125">
        <v>0</v>
      </c>
      <c r="M195" s="125">
        <v>0</v>
      </c>
      <c r="N195" s="125">
        <f>J195+K195+L195+M195</f>
        <v>13444</v>
      </c>
      <c r="O195" s="125">
        <v>0</v>
      </c>
      <c r="P195" s="125">
        <f>-N195</f>
        <v>-13444</v>
      </c>
      <c r="Q195" s="125">
        <f t="shared" si="37"/>
        <v>0</v>
      </c>
      <c r="R195" s="5">
        <f t="shared" si="26"/>
        <v>0</v>
      </c>
      <c r="S195" s="5">
        <f t="shared" si="27"/>
        <v>0</v>
      </c>
      <c r="T195" s="5"/>
      <c r="U195" s="5">
        <f t="shared" si="28"/>
        <v>0</v>
      </c>
      <c r="V195" s="5"/>
    </row>
    <row r="196" spans="1:22" s="3" customFormat="1" ht="12.75">
      <c r="A196" s="96"/>
      <c r="B196" s="76" t="s">
        <v>336</v>
      </c>
      <c r="C196" s="77">
        <v>315</v>
      </c>
      <c r="D196" s="77"/>
      <c r="E196" s="77"/>
      <c r="F196" s="77"/>
      <c r="G196" s="77">
        <f>C196</f>
        <v>315</v>
      </c>
      <c r="H196" s="77">
        <f>G196</f>
        <v>315</v>
      </c>
      <c r="I196" s="79">
        <v>0</v>
      </c>
      <c r="J196" s="79">
        <v>436</v>
      </c>
      <c r="K196" s="79">
        <v>0</v>
      </c>
      <c r="L196" s="79">
        <v>0</v>
      </c>
      <c r="M196" s="79">
        <v>0</v>
      </c>
      <c r="N196" s="79">
        <f t="shared" si="36"/>
        <v>436</v>
      </c>
      <c r="O196" s="79">
        <f>N196</f>
        <v>436</v>
      </c>
      <c r="P196" s="79">
        <v>0</v>
      </c>
      <c r="Q196" s="79">
        <f t="shared" si="37"/>
        <v>872</v>
      </c>
      <c r="R196" s="5">
        <f t="shared" si="26"/>
        <v>872</v>
      </c>
      <c r="S196" s="5">
        <f t="shared" si="27"/>
        <v>0</v>
      </c>
      <c r="T196" s="5"/>
      <c r="U196" s="5">
        <f>C196+D196+E196+F196-H196-I196</f>
        <v>0</v>
      </c>
      <c r="V196" s="5"/>
    </row>
    <row r="197" spans="1:22" s="3" customFormat="1" ht="12.75">
      <c r="A197" s="91">
        <v>2400</v>
      </c>
      <c r="B197" s="34" t="s">
        <v>311</v>
      </c>
      <c r="C197" s="33"/>
      <c r="D197" s="33"/>
      <c r="E197" s="33"/>
      <c r="F197" s="33"/>
      <c r="G197" s="33">
        <f>C197+D197+E197+F197</f>
        <v>0</v>
      </c>
      <c r="H197" s="33"/>
      <c r="I197" s="33">
        <f t="shared" si="38"/>
        <v>0</v>
      </c>
      <c r="J197" s="33">
        <v>96053</v>
      </c>
      <c r="K197" s="33">
        <v>0</v>
      </c>
      <c r="L197" s="33">
        <v>2292</v>
      </c>
      <c r="M197" s="33">
        <v>198859</v>
      </c>
      <c r="N197" s="33">
        <f t="shared" si="36"/>
        <v>297204</v>
      </c>
      <c r="O197" s="33">
        <v>0</v>
      </c>
      <c r="P197" s="33">
        <v>0</v>
      </c>
      <c r="Q197" s="33">
        <f t="shared" si="37"/>
        <v>297204</v>
      </c>
      <c r="R197" s="5">
        <f t="shared" si="26"/>
        <v>297204</v>
      </c>
      <c r="S197" s="5">
        <f t="shared" si="27"/>
        <v>0</v>
      </c>
      <c r="T197" s="5"/>
      <c r="U197" s="5">
        <f t="shared" si="28"/>
        <v>0</v>
      </c>
      <c r="V197" s="5"/>
    </row>
    <row r="198" spans="1:22" s="3" customFormat="1" ht="12.75">
      <c r="A198" s="91">
        <v>2500</v>
      </c>
      <c r="B198" s="34" t="s">
        <v>232</v>
      </c>
      <c r="C198" s="33"/>
      <c r="D198" s="33"/>
      <c r="E198" s="33"/>
      <c r="F198" s="33"/>
      <c r="G198" s="33">
        <f>C198+D198+E198+F198</f>
        <v>0</v>
      </c>
      <c r="H198" s="33">
        <f>H199</f>
        <v>0</v>
      </c>
      <c r="I198" s="33">
        <f t="shared" si="38"/>
        <v>0</v>
      </c>
      <c r="J198" s="33">
        <v>3814824</v>
      </c>
      <c r="K198" s="33">
        <v>3111</v>
      </c>
      <c r="L198" s="33">
        <v>6853</v>
      </c>
      <c r="M198" s="33">
        <v>2169100</v>
      </c>
      <c r="N198" s="33">
        <f t="shared" si="36"/>
        <v>5993888</v>
      </c>
      <c r="O198" s="33">
        <v>0</v>
      </c>
      <c r="P198" s="33">
        <f>P199</f>
        <v>0</v>
      </c>
      <c r="Q198" s="33">
        <f t="shared" si="37"/>
        <v>5993888</v>
      </c>
      <c r="R198" s="5">
        <f t="shared" si="26"/>
        <v>5993888</v>
      </c>
      <c r="S198" s="5">
        <f t="shared" si="27"/>
        <v>0</v>
      </c>
      <c r="T198" s="5"/>
      <c r="U198" s="5">
        <f t="shared" si="28"/>
        <v>0</v>
      </c>
      <c r="V198" s="5"/>
    </row>
    <row r="199" spans="1:22" s="3" customFormat="1" ht="12.75" hidden="1">
      <c r="A199" s="96"/>
      <c r="B199" s="76" t="s">
        <v>336</v>
      </c>
      <c r="C199" s="77">
        <v>0</v>
      </c>
      <c r="D199" s="77"/>
      <c r="E199" s="77"/>
      <c r="F199" s="77"/>
      <c r="G199" s="77">
        <f>C199</f>
        <v>0</v>
      </c>
      <c r="H199" s="77">
        <f>G199</f>
        <v>0</v>
      </c>
      <c r="I199" s="79">
        <f>H199</f>
        <v>0</v>
      </c>
      <c r="J199" s="79">
        <v>0</v>
      </c>
      <c r="K199" s="79">
        <v>0</v>
      </c>
      <c r="L199" s="79">
        <v>0</v>
      </c>
      <c r="M199" s="79">
        <v>0</v>
      </c>
      <c r="N199" s="79">
        <f t="shared" si="36"/>
        <v>0</v>
      </c>
      <c r="O199" s="79">
        <v>0</v>
      </c>
      <c r="P199" s="79">
        <f>J199</f>
        <v>0</v>
      </c>
      <c r="Q199" s="79">
        <f t="shared" si="37"/>
        <v>0</v>
      </c>
      <c r="R199" s="5">
        <f t="shared" si="26"/>
        <v>0</v>
      </c>
      <c r="S199" s="5">
        <f t="shared" si="27"/>
        <v>0</v>
      </c>
      <c r="T199" s="5"/>
      <c r="U199" s="5">
        <f t="shared" si="28"/>
        <v>0</v>
      </c>
      <c r="V199" s="5"/>
    </row>
    <row r="200" spans="1:22" s="3" customFormat="1" ht="39" customHeight="1">
      <c r="A200" s="91">
        <v>2800</v>
      </c>
      <c r="B200" s="34" t="s">
        <v>233</v>
      </c>
      <c r="C200" s="33"/>
      <c r="D200" s="33"/>
      <c r="E200" s="33"/>
      <c r="F200" s="33"/>
      <c r="G200" s="33">
        <f>C200+D200+E200+F200</f>
        <v>0</v>
      </c>
      <c r="H200" s="33">
        <f>H202</f>
        <v>0</v>
      </c>
      <c r="I200" s="33">
        <f t="shared" si="38"/>
        <v>0</v>
      </c>
      <c r="J200" s="33">
        <v>4886428</v>
      </c>
      <c r="K200" s="33">
        <v>0</v>
      </c>
      <c r="L200" s="33">
        <v>495270</v>
      </c>
      <c r="M200" s="33">
        <v>0</v>
      </c>
      <c r="N200" s="33">
        <f t="shared" si="36"/>
        <v>5381698</v>
      </c>
      <c r="O200" s="33">
        <v>0</v>
      </c>
      <c r="P200" s="33">
        <f>P201</f>
        <v>-9358</v>
      </c>
      <c r="Q200" s="33">
        <f t="shared" si="37"/>
        <v>5372340</v>
      </c>
      <c r="R200" s="5">
        <f t="shared" si="26"/>
        <v>5372340</v>
      </c>
      <c r="S200" s="5">
        <f t="shared" si="27"/>
        <v>0</v>
      </c>
      <c r="T200" s="5"/>
      <c r="U200" s="5">
        <f t="shared" si="28"/>
        <v>0</v>
      </c>
      <c r="V200" s="5"/>
    </row>
    <row r="201" spans="1:22" s="3" customFormat="1" ht="12.75">
      <c r="A201" s="93"/>
      <c r="B201" s="39" t="s">
        <v>285</v>
      </c>
      <c r="C201" s="40"/>
      <c r="D201" s="40"/>
      <c r="E201" s="40"/>
      <c r="F201" s="40"/>
      <c r="G201" s="40"/>
      <c r="H201" s="40"/>
      <c r="I201" s="125">
        <v>0</v>
      </c>
      <c r="J201" s="125">
        <v>9358</v>
      </c>
      <c r="K201" s="125">
        <v>0</v>
      </c>
      <c r="L201" s="125">
        <v>0</v>
      </c>
      <c r="M201" s="125">
        <v>0</v>
      </c>
      <c r="N201" s="125">
        <f>J201+K201+L201+M201</f>
        <v>9358</v>
      </c>
      <c r="O201" s="125">
        <v>0</v>
      </c>
      <c r="P201" s="125">
        <f>-N201</f>
        <v>-9358</v>
      </c>
      <c r="Q201" s="125">
        <f t="shared" si="37"/>
        <v>0</v>
      </c>
      <c r="R201" s="5">
        <f t="shared" si="26"/>
        <v>0</v>
      </c>
      <c r="S201" s="5">
        <f t="shared" si="27"/>
        <v>0</v>
      </c>
      <c r="T201" s="5"/>
      <c r="U201" s="5">
        <f t="shared" si="28"/>
        <v>0</v>
      </c>
      <c r="V201" s="5"/>
    </row>
    <row r="202" spans="1:22" s="3" customFormat="1" ht="12.75" hidden="1">
      <c r="A202" s="96"/>
      <c r="B202" s="76" t="s">
        <v>336</v>
      </c>
      <c r="C202" s="77">
        <v>0</v>
      </c>
      <c r="D202" s="77"/>
      <c r="E202" s="77"/>
      <c r="F202" s="77"/>
      <c r="G202" s="77">
        <f>C202</f>
        <v>0</v>
      </c>
      <c r="H202" s="77">
        <f>G202</f>
        <v>0</v>
      </c>
      <c r="I202" s="79">
        <f>H202</f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f t="shared" si="36"/>
        <v>0</v>
      </c>
      <c r="O202" s="79">
        <v>0</v>
      </c>
      <c r="P202" s="79">
        <f>J202</f>
        <v>0</v>
      </c>
      <c r="Q202" s="79">
        <f t="shared" si="37"/>
        <v>0</v>
      </c>
      <c r="R202" s="5">
        <f t="shared" si="26"/>
        <v>0</v>
      </c>
      <c r="S202" s="5">
        <f t="shared" si="27"/>
        <v>0</v>
      </c>
      <c r="T202" s="5"/>
      <c r="U202" s="5">
        <f t="shared" si="28"/>
        <v>0</v>
      </c>
      <c r="V202" s="5"/>
    </row>
    <row r="203" spans="1:22" s="3" customFormat="1" ht="13.5">
      <c r="A203" s="90" t="s">
        <v>219</v>
      </c>
      <c r="B203" s="36" t="s">
        <v>50</v>
      </c>
      <c r="C203" s="31">
        <v>241609476</v>
      </c>
      <c r="D203" s="31">
        <v>7096</v>
      </c>
      <c r="E203" s="31">
        <v>0</v>
      </c>
      <c r="F203" s="31">
        <v>4380</v>
      </c>
      <c r="G203" s="31">
        <f>C203+D203+E203+F203</f>
        <v>241620952</v>
      </c>
      <c r="H203" s="31">
        <f>H208</f>
        <v>-67175602</v>
      </c>
      <c r="I203" s="31">
        <f t="shared" si="38"/>
        <v>174445350</v>
      </c>
      <c r="J203" s="31">
        <f aca="true" t="shared" si="39" ref="J203:O203">J204+J206+J207</f>
        <v>237206300</v>
      </c>
      <c r="K203" s="31">
        <f t="shared" si="39"/>
        <v>7095</v>
      </c>
      <c r="L203" s="31">
        <f t="shared" si="39"/>
        <v>0</v>
      </c>
      <c r="M203" s="31">
        <f t="shared" si="39"/>
        <v>21603</v>
      </c>
      <c r="N203" s="31">
        <f t="shared" si="39"/>
        <v>237234998</v>
      </c>
      <c r="O203" s="31">
        <f t="shared" si="39"/>
        <v>0</v>
      </c>
      <c r="P203" s="31">
        <f>P204+P206+P207</f>
        <v>-66983044</v>
      </c>
      <c r="Q203" s="31">
        <f t="shared" si="37"/>
        <v>170251954</v>
      </c>
      <c r="R203" s="5">
        <f t="shared" si="26"/>
        <v>170251954</v>
      </c>
      <c r="S203" s="5">
        <f t="shared" si="27"/>
        <v>0</v>
      </c>
      <c r="T203" s="5"/>
      <c r="U203" s="5">
        <f t="shared" si="28"/>
        <v>0</v>
      </c>
      <c r="V203" s="5"/>
    </row>
    <row r="204" spans="1:22" s="3" customFormat="1" ht="25.5">
      <c r="A204" s="91">
        <v>4100</v>
      </c>
      <c r="B204" s="34" t="s">
        <v>236</v>
      </c>
      <c r="C204" s="33"/>
      <c r="D204" s="33"/>
      <c r="E204" s="33"/>
      <c r="F204" s="33"/>
      <c r="G204" s="23"/>
      <c r="H204" s="33"/>
      <c r="I204" s="33">
        <f t="shared" si="38"/>
        <v>0</v>
      </c>
      <c r="J204" s="33">
        <v>104110052</v>
      </c>
      <c r="K204" s="33">
        <v>0</v>
      </c>
      <c r="L204" s="33">
        <v>0</v>
      </c>
      <c r="M204" s="33">
        <v>17892</v>
      </c>
      <c r="N204" s="33">
        <f>J204+K204+L204+M204</f>
        <v>104127944</v>
      </c>
      <c r="O204" s="33">
        <v>0</v>
      </c>
      <c r="P204" s="33">
        <f>P205</f>
        <v>0</v>
      </c>
      <c r="Q204" s="33">
        <f t="shared" si="37"/>
        <v>104127944</v>
      </c>
      <c r="R204" s="5">
        <f t="shared" si="26"/>
        <v>104127944</v>
      </c>
      <c r="S204" s="5">
        <f t="shared" si="27"/>
        <v>0</v>
      </c>
      <c r="T204" s="5"/>
      <c r="U204" s="5">
        <f t="shared" si="28"/>
        <v>0</v>
      </c>
      <c r="V204" s="5"/>
    </row>
    <row r="205" spans="1:22" s="3" customFormat="1" ht="12.75" hidden="1">
      <c r="A205" s="92"/>
      <c r="B205" s="72" t="s">
        <v>335</v>
      </c>
      <c r="C205" s="73">
        <v>0</v>
      </c>
      <c r="D205" s="73">
        <v>0</v>
      </c>
      <c r="E205" s="73"/>
      <c r="F205" s="73">
        <v>0</v>
      </c>
      <c r="G205" s="74">
        <v>0</v>
      </c>
      <c r="H205" s="73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f>J205+K205+L205+M205</f>
        <v>0</v>
      </c>
      <c r="O205" s="75">
        <v>0</v>
      </c>
      <c r="P205" s="75">
        <f>-N205</f>
        <v>0</v>
      </c>
      <c r="Q205" s="75">
        <f t="shared" si="37"/>
        <v>0</v>
      </c>
      <c r="R205" s="5">
        <f t="shared" si="26"/>
        <v>0</v>
      </c>
      <c r="S205" s="5">
        <f t="shared" si="27"/>
        <v>0</v>
      </c>
      <c r="T205" s="5"/>
      <c r="U205" s="5">
        <f t="shared" si="28"/>
        <v>0</v>
      </c>
      <c r="V205" s="5"/>
    </row>
    <row r="206" spans="1:22" s="3" customFormat="1" ht="12.75">
      <c r="A206" s="91">
        <v>4200</v>
      </c>
      <c r="B206" s="34" t="s">
        <v>237</v>
      </c>
      <c r="C206" s="33"/>
      <c r="D206" s="33"/>
      <c r="E206" s="33"/>
      <c r="F206" s="33"/>
      <c r="G206" s="23"/>
      <c r="H206" s="33"/>
      <c r="I206" s="33">
        <f t="shared" si="38"/>
        <v>0</v>
      </c>
      <c r="J206" s="33">
        <v>65095918</v>
      </c>
      <c r="K206" s="33">
        <v>0</v>
      </c>
      <c r="L206" s="33">
        <v>0</v>
      </c>
      <c r="M206" s="33">
        <v>3711</v>
      </c>
      <c r="N206" s="33">
        <f>J206+K206+L206+M206</f>
        <v>65099629</v>
      </c>
      <c r="O206" s="33">
        <v>0</v>
      </c>
      <c r="P206" s="33">
        <v>0</v>
      </c>
      <c r="Q206" s="33">
        <f t="shared" si="37"/>
        <v>65099629</v>
      </c>
      <c r="R206" s="5">
        <f aca="true" t="shared" si="40" ref="R206:R269">J206+K206+L206+M206+O206+P206</f>
        <v>65099629</v>
      </c>
      <c r="S206" s="5">
        <f aca="true" t="shared" si="41" ref="S206:S269">Q206-R206</f>
        <v>0</v>
      </c>
      <c r="T206" s="5"/>
      <c r="U206" s="5">
        <f aca="true" t="shared" si="42" ref="U206:U263">C206+D206+E206+F206+H206-I206</f>
        <v>0</v>
      </c>
      <c r="V206" s="5"/>
    </row>
    <row r="207" spans="1:22" s="3" customFormat="1" ht="13.5" customHeight="1">
      <c r="A207" s="91">
        <v>4300</v>
      </c>
      <c r="B207" s="34" t="s">
        <v>238</v>
      </c>
      <c r="C207" s="33"/>
      <c r="D207" s="33"/>
      <c r="E207" s="33"/>
      <c r="F207" s="33"/>
      <c r="G207" s="23"/>
      <c r="H207" s="33"/>
      <c r="I207" s="33">
        <f t="shared" si="38"/>
        <v>0</v>
      </c>
      <c r="J207" s="33">
        <v>68000330</v>
      </c>
      <c r="K207" s="33">
        <v>7095</v>
      </c>
      <c r="L207" s="33">
        <v>0</v>
      </c>
      <c r="M207" s="33">
        <v>0</v>
      </c>
      <c r="N207" s="33">
        <f>J207+K207+L207+M207</f>
        <v>68007425</v>
      </c>
      <c r="O207" s="33">
        <v>0</v>
      </c>
      <c r="P207" s="33">
        <f>P208</f>
        <v>-66983044</v>
      </c>
      <c r="Q207" s="33">
        <f t="shared" si="37"/>
        <v>1024381</v>
      </c>
      <c r="R207" s="5">
        <f t="shared" si="40"/>
        <v>1024381</v>
      </c>
      <c r="S207" s="5">
        <f t="shared" si="41"/>
        <v>0</v>
      </c>
      <c r="T207" s="5"/>
      <c r="U207" s="5">
        <f t="shared" si="42"/>
        <v>0</v>
      </c>
      <c r="V207" s="5"/>
    </row>
    <row r="208" spans="1:22" s="3" customFormat="1" ht="12.75">
      <c r="A208" s="92"/>
      <c r="B208" s="72" t="s">
        <v>335</v>
      </c>
      <c r="C208" s="73">
        <f>378370+174567+66609170+5730</f>
        <v>67167837</v>
      </c>
      <c r="D208" s="73">
        <v>7096</v>
      </c>
      <c r="E208" s="73"/>
      <c r="F208" s="73">
        <v>669</v>
      </c>
      <c r="G208" s="74">
        <f>C208+D208+E208+F208</f>
        <v>67175602</v>
      </c>
      <c r="H208" s="73">
        <f>-G208</f>
        <v>-67175602</v>
      </c>
      <c r="I208" s="75">
        <v>0</v>
      </c>
      <c r="J208" s="75">
        <f>154217+174566+66609170+34663+2664</f>
        <v>66975280</v>
      </c>
      <c r="K208" s="75">
        <f>7095</f>
        <v>7095</v>
      </c>
      <c r="L208" s="75">
        <v>0</v>
      </c>
      <c r="M208" s="75">
        <v>669</v>
      </c>
      <c r="N208" s="75">
        <f>J208+K208+L208+M208</f>
        <v>66983044</v>
      </c>
      <c r="O208" s="75">
        <v>0</v>
      </c>
      <c r="P208" s="75">
        <f>-N208</f>
        <v>-66983044</v>
      </c>
      <c r="Q208" s="75">
        <f t="shared" si="37"/>
        <v>0</v>
      </c>
      <c r="R208" s="5">
        <f t="shared" si="40"/>
        <v>0</v>
      </c>
      <c r="S208" s="5">
        <f t="shared" si="41"/>
        <v>0</v>
      </c>
      <c r="T208" s="5"/>
      <c r="U208" s="5">
        <f t="shared" si="42"/>
        <v>0</v>
      </c>
      <c r="V208" s="5"/>
    </row>
    <row r="209" spans="1:22" s="3" customFormat="1" ht="13.5">
      <c r="A209" s="90" t="s">
        <v>227</v>
      </c>
      <c r="B209" s="36" t="s">
        <v>228</v>
      </c>
      <c r="C209" s="31">
        <v>1308248732</v>
      </c>
      <c r="D209" s="31">
        <f>D210+D220</f>
        <v>1527267903</v>
      </c>
      <c r="E209" s="31">
        <f>E210+E220</f>
        <v>0</v>
      </c>
      <c r="F209" s="31">
        <f>F210+F220</f>
        <v>31443591</v>
      </c>
      <c r="G209" s="31">
        <f aca="true" t="shared" si="43" ref="G209:G226">C209+D209+E209+F209</f>
        <v>2866960226</v>
      </c>
      <c r="H209" s="31">
        <f>H210+H220</f>
        <v>0</v>
      </c>
      <c r="I209" s="31">
        <f t="shared" si="38"/>
        <v>2866960226</v>
      </c>
      <c r="J209" s="31">
        <f aca="true" t="shared" si="44" ref="J209:O209">J210+J220</f>
        <v>1229496078</v>
      </c>
      <c r="K209" s="31">
        <f t="shared" si="44"/>
        <v>1498146437</v>
      </c>
      <c r="L209" s="31">
        <f t="shared" si="44"/>
        <v>118767</v>
      </c>
      <c r="M209" s="31">
        <f t="shared" si="44"/>
        <v>31507478</v>
      </c>
      <c r="N209" s="31">
        <f t="shared" si="44"/>
        <v>2759268760</v>
      </c>
      <c r="O209" s="31">
        <f t="shared" si="44"/>
        <v>13132</v>
      </c>
      <c r="P209" s="31">
        <f>P210+P220</f>
        <v>-498130</v>
      </c>
      <c r="Q209" s="31">
        <f t="shared" si="37"/>
        <v>2758783762</v>
      </c>
      <c r="R209" s="5">
        <f t="shared" si="40"/>
        <v>2758783762</v>
      </c>
      <c r="S209" s="5">
        <f t="shared" si="41"/>
        <v>0</v>
      </c>
      <c r="T209" s="5"/>
      <c r="U209" s="5">
        <f t="shared" si="42"/>
        <v>0</v>
      </c>
      <c r="V209" s="5"/>
    </row>
    <row r="210" spans="1:22" s="3" customFormat="1" ht="12.75">
      <c r="A210" s="91" t="s">
        <v>220</v>
      </c>
      <c r="B210" s="34" t="s">
        <v>35</v>
      </c>
      <c r="C210" s="33">
        <v>1155646030</v>
      </c>
      <c r="D210" s="33">
        <v>5405823</v>
      </c>
      <c r="E210" s="33"/>
      <c r="F210" s="33">
        <v>14972108</v>
      </c>
      <c r="G210" s="33">
        <f t="shared" si="43"/>
        <v>1176023961</v>
      </c>
      <c r="H210" s="33"/>
      <c r="I210" s="33">
        <f t="shared" si="38"/>
        <v>1176023961</v>
      </c>
      <c r="J210" s="33">
        <f>J211+J212+J215+J216+J219</f>
        <v>1080856584</v>
      </c>
      <c r="K210" s="33">
        <f>K211+K212+K215+K216+K219</f>
        <v>5405780</v>
      </c>
      <c r="L210" s="33">
        <f>L211+L212+L215+L216+L219</f>
        <v>99803</v>
      </c>
      <c r="M210" s="33">
        <f>M211+M212+M215+M216+M219</f>
        <v>14990730</v>
      </c>
      <c r="N210" s="33">
        <f aca="true" t="shared" si="45" ref="N210:N226">J210+K210+L210+M210</f>
        <v>1101352897</v>
      </c>
      <c r="O210" s="33">
        <f>O211+O212+O215+O216+O219</f>
        <v>13132</v>
      </c>
      <c r="P210" s="33">
        <f>P211+P212+P215+P216+P219</f>
        <v>-41478</v>
      </c>
      <c r="Q210" s="33">
        <f t="shared" si="37"/>
        <v>1101324551</v>
      </c>
      <c r="R210" s="5">
        <f t="shared" si="40"/>
        <v>1101324551</v>
      </c>
      <c r="S210" s="5">
        <f t="shared" si="41"/>
        <v>0</v>
      </c>
      <c r="T210" s="5"/>
      <c r="U210" s="5">
        <f t="shared" si="42"/>
        <v>0</v>
      </c>
      <c r="V210" s="5"/>
    </row>
    <row r="211" spans="1:22" s="3" customFormat="1" ht="12.75">
      <c r="A211" s="91">
        <v>3100</v>
      </c>
      <c r="B211" s="34" t="s">
        <v>234</v>
      </c>
      <c r="C211" s="33"/>
      <c r="D211" s="33"/>
      <c r="E211" s="33"/>
      <c r="F211" s="33"/>
      <c r="G211" s="33">
        <f t="shared" si="43"/>
        <v>0</v>
      </c>
      <c r="H211" s="33"/>
      <c r="I211" s="33">
        <f t="shared" si="38"/>
        <v>0</v>
      </c>
      <c r="J211" s="33">
        <v>24173651</v>
      </c>
      <c r="K211" s="33">
        <v>0</v>
      </c>
      <c r="L211" s="33">
        <v>0</v>
      </c>
      <c r="M211" s="33">
        <v>0</v>
      </c>
      <c r="N211" s="33">
        <f t="shared" si="45"/>
        <v>24173651</v>
      </c>
      <c r="O211" s="33">
        <v>0</v>
      </c>
      <c r="P211" s="33">
        <v>0</v>
      </c>
      <c r="Q211" s="33">
        <f t="shared" si="37"/>
        <v>24173651</v>
      </c>
      <c r="R211" s="5">
        <f t="shared" si="40"/>
        <v>24173651</v>
      </c>
      <c r="S211" s="5">
        <f t="shared" si="41"/>
        <v>0</v>
      </c>
      <c r="T211" s="5"/>
      <c r="U211" s="5">
        <f t="shared" si="42"/>
        <v>0</v>
      </c>
      <c r="V211" s="5"/>
    </row>
    <row r="212" spans="1:22" s="3" customFormat="1" ht="38.25">
      <c r="A212" s="91">
        <v>3200</v>
      </c>
      <c r="B212" s="34" t="s">
        <v>312</v>
      </c>
      <c r="C212" s="33"/>
      <c r="D212" s="33"/>
      <c r="E212" s="33"/>
      <c r="F212" s="33"/>
      <c r="G212" s="33">
        <f t="shared" si="43"/>
        <v>0</v>
      </c>
      <c r="H212" s="33"/>
      <c r="I212" s="33">
        <f t="shared" si="38"/>
        <v>0</v>
      </c>
      <c r="J212" s="33">
        <v>1008050082</v>
      </c>
      <c r="K212" s="33">
        <v>5405780</v>
      </c>
      <c r="L212" s="33">
        <v>0</v>
      </c>
      <c r="M212" s="33">
        <v>582815</v>
      </c>
      <c r="N212" s="33">
        <f>J212+K212+L212+M212</f>
        <v>1014038677</v>
      </c>
      <c r="O212" s="33">
        <f>O213</f>
        <v>13132</v>
      </c>
      <c r="P212" s="33">
        <f>P214</f>
        <v>-41478</v>
      </c>
      <c r="Q212" s="33">
        <f t="shared" si="37"/>
        <v>1014010331</v>
      </c>
      <c r="R212" s="5">
        <f t="shared" si="40"/>
        <v>1014010331</v>
      </c>
      <c r="S212" s="5">
        <f t="shared" si="41"/>
        <v>0</v>
      </c>
      <c r="T212" s="5"/>
      <c r="U212" s="5">
        <f t="shared" si="42"/>
        <v>0</v>
      </c>
      <c r="V212" s="5"/>
    </row>
    <row r="213" spans="1:22" s="121" customFormat="1" ht="12.75">
      <c r="A213" s="122"/>
      <c r="B213" s="117" t="s">
        <v>374</v>
      </c>
      <c r="C213" s="119">
        <v>0</v>
      </c>
      <c r="D213" s="119"/>
      <c r="E213" s="119"/>
      <c r="F213" s="119"/>
      <c r="G213" s="119">
        <f t="shared" si="43"/>
        <v>0</v>
      </c>
      <c r="H213" s="119"/>
      <c r="I213" s="119"/>
      <c r="J213" s="123">
        <v>0</v>
      </c>
      <c r="K213" s="123"/>
      <c r="L213" s="123">
        <v>-13132</v>
      </c>
      <c r="M213" s="123"/>
      <c r="N213" s="123">
        <f>L213</f>
        <v>-13132</v>
      </c>
      <c r="O213" s="123">
        <f>-N213</f>
        <v>13132</v>
      </c>
      <c r="P213" s="123">
        <v>0</v>
      </c>
      <c r="Q213" s="123">
        <f t="shared" si="37"/>
        <v>0</v>
      </c>
      <c r="R213" s="5">
        <f t="shared" si="40"/>
        <v>0</v>
      </c>
      <c r="S213" s="5">
        <f t="shared" si="41"/>
        <v>0</v>
      </c>
      <c r="T213" s="5"/>
      <c r="U213" s="5">
        <f t="shared" si="42"/>
        <v>0</v>
      </c>
      <c r="V213" s="5"/>
    </row>
    <row r="214" spans="1:22" s="3" customFormat="1" ht="12.75">
      <c r="A214" s="93"/>
      <c r="B214" s="39" t="s">
        <v>285</v>
      </c>
      <c r="C214" s="40">
        <f>C212</f>
        <v>0</v>
      </c>
      <c r="D214" s="40"/>
      <c r="E214" s="40"/>
      <c r="F214" s="40"/>
      <c r="G214" s="40">
        <f>C214+D214+E214</f>
        <v>0</v>
      </c>
      <c r="H214" s="125">
        <f>-G214</f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41478</v>
      </c>
      <c r="N214" s="125">
        <f t="shared" si="45"/>
        <v>41478</v>
      </c>
      <c r="O214" s="125">
        <v>0</v>
      </c>
      <c r="P214" s="125">
        <f>-N214</f>
        <v>-41478</v>
      </c>
      <c r="Q214" s="125">
        <f t="shared" si="37"/>
        <v>0</v>
      </c>
      <c r="R214" s="5">
        <f t="shared" si="40"/>
        <v>0</v>
      </c>
      <c r="S214" s="5">
        <f t="shared" si="41"/>
        <v>0</v>
      </c>
      <c r="T214" s="5"/>
      <c r="U214" s="5">
        <f t="shared" si="42"/>
        <v>0</v>
      </c>
      <c r="V214" s="5"/>
    </row>
    <row r="215" spans="1:22" s="3" customFormat="1" ht="38.25">
      <c r="A215" s="91">
        <v>3300</v>
      </c>
      <c r="B215" s="34" t="s">
        <v>235</v>
      </c>
      <c r="C215" s="33"/>
      <c r="D215" s="33"/>
      <c r="E215" s="33"/>
      <c r="F215" s="33"/>
      <c r="G215" s="33">
        <f t="shared" si="43"/>
        <v>0</v>
      </c>
      <c r="H215" s="33"/>
      <c r="I215" s="33">
        <f t="shared" si="38"/>
        <v>0</v>
      </c>
      <c r="J215" s="33">
        <v>41681030</v>
      </c>
      <c r="K215" s="33">
        <v>0</v>
      </c>
      <c r="L215" s="33">
        <v>0</v>
      </c>
      <c r="M215" s="33">
        <v>14253286</v>
      </c>
      <c r="N215" s="33">
        <f t="shared" si="45"/>
        <v>55934316</v>
      </c>
      <c r="O215" s="33">
        <v>0</v>
      </c>
      <c r="P215" s="33">
        <v>0</v>
      </c>
      <c r="Q215" s="33">
        <f t="shared" si="37"/>
        <v>55934316</v>
      </c>
      <c r="R215" s="5">
        <f t="shared" si="40"/>
        <v>55934316</v>
      </c>
      <c r="S215" s="5">
        <f t="shared" si="41"/>
        <v>0</v>
      </c>
      <c r="T215" s="5"/>
      <c r="U215" s="5">
        <f t="shared" si="42"/>
        <v>0</v>
      </c>
      <c r="V215" s="5"/>
    </row>
    <row r="216" spans="1:22" s="3" customFormat="1" ht="63.75">
      <c r="A216" s="91">
        <v>3500</v>
      </c>
      <c r="B216" s="34" t="s">
        <v>313</v>
      </c>
      <c r="C216" s="33"/>
      <c r="D216" s="33"/>
      <c r="E216" s="33"/>
      <c r="F216" s="33"/>
      <c r="G216" s="33">
        <f t="shared" si="43"/>
        <v>0</v>
      </c>
      <c r="H216" s="33"/>
      <c r="I216" s="33">
        <f t="shared" si="38"/>
        <v>0</v>
      </c>
      <c r="J216" s="33">
        <v>4342941</v>
      </c>
      <c r="K216" s="33">
        <v>0</v>
      </c>
      <c r="L216" s="33">
        <v>99803</v>
      </c>
      <c r="M216" s="33">
        <v>154629</v>
      </c>
      <c r="N216" s="33">
        <f t="shared" si="45"/>
        <v>4597373</v>
      </c>
      <c r="O216" s="33">
        <v>0</v>
      </c>
      <c r="P216" s="33">
        <f>P217+P218</f>
        <v>0</v>
      </c>
      <c r="Q216" s="33">
        <f t="shared" si="37"/>
        <v>4597373</v>
      </c>
      <c r="R216" s="5">
        <f t="shared" si="40"/>
        <v>4597373</v>
      </c>
      <c r="S216" s="5">
        <f t="shared" si="41"/>
        <v>0</v>
      </c>
      <c r="T216" s="5"/>
      <c r="U216" s="5">
        <f t="shared" si="42"/>
        <v>0</v>
      </c>
      <c r="V216" s="5"/>
    </row>
    <row r="217" spans="1:22" s="3" customFormat="1" ht="12.75" hidden="1">
      <c r="A217" s="96"/>
      <c r="B217" s="76" t="s">
        <v>336</v>
      </c>
      <c r="C217" s="77">
        <v>0</v>
      </c>
      <c r="D217" s="77"/>
      <c r="E217" s="77"/>
      <c r="F217" s="77"/>
      <c r="G217" s="77">
        <f>C217</f>
        <v>0</v>
      </c>
      <c r="H217" s="77">
        <f>G217</f>
        <v>0</v>
      </c>
      <c r="I217" s="79">
        <f>H217</f>
        <v>0</v>
      </c>
      <c r="J217" s="79">
        <v>0</v>
      </c>
      <c r="K217" s="79">
        <v>0</v>
      </c>
      <c r="L217" s="79">
        <v>0</v>
      </c>
      <c r="M217" s="79">
        <v>0</v>
      </c>
      <c r="N217" s="79">
        <f t="shared" si="45"/>
        <v>0</v>
      </c>
      <c r="O217" s="79">
        <v>0</v>
      </c>
      <c r="P217" s="79">
        <f>J217</f>
        <v>0</v>
      </c>
      <c r="Q217" s="79">
        <f t="shared" si="37"/>
        <v>0</v>
      </c>
      <c r="R217" s="5">
        <f t="shared" si="40"/>
        <v>0</v>
      </c>
      <c r="S217" s="5">
        <f t="shared" si="41"/>
        <v>0</v>
      </c>
      <c r="T217" s="5"/>
      <c r="U217" s="5">
        <f t="shared" si="42"/>
        <v>0</v>
      </c>
      <c r="V217" s="5"/>
    </row>
    <row r="218" spans="1:22" s="3" customFormat="1" ht="12.75" hidden="1">
      <c r="A218" s="96"/>
      <c r="B218" s="39" t="s">
        <v>285</v>
      </c>
      <c r="C218" s="77"/>
      <c r="D218" s="77"/>
      <c r="E218" s="77"/>
      <c r="F218" s="77"/>
      <c r="G218" s="77"/>
      <c r="H218" s="126"/>
      <c r="I218" s="127"/>
      <c r="J218" s="127">
        <v>0</v>
      </c>
      <c r="K218" s="127"/>
      <c r="L218" s="127"/>
      <c r="M218" s="127"/>
      <c r="N218" s="127"/>
      <c r="O218" s="127">
        <v>0</v>
      </c>
      <c r="P218" s="127">
        <f>-J218</f>
        <v>0</v>
      </c>
      <c r="Q218" s="127">
        <f t="shared" si="37"/>
        <v>0</v>
      </c>
      <c r="R218" s="5">
        <f t="shared" si="40"/>
        <v>0</v>
      </c>
      <c r="S218" s="5">
        <f t="shared" si="41"/>
        <v>0</v>
      </c>
      <c r="T218" s="5"/>
      <c r="U218" s="5">
        <f t="shared" si="42"/>
        <v>0</v>
      </c>
      <c r="V218" s="5"/>
    </row>
    <row r="219" spans="1:22" s="3" customFormat="1" ht="25.5">
      <c r="A219" s="91">
        <v>3800</v>
      </c>
      <c r="B219" s="34" t="s">
        <v>314</v>
      </c>
      <c r="C219" s="33"/>
      <c r="D219" s="33"/>
      <c r="E219" s="33"/>
      <c r="F219" s="33"/>
      <c r="G219" s="33">
        <f t="shared" si="43"/>
        <v>0</v>
      </c>
      <c r="H219" s="33"/>
      <c r="I219" s="33">
        <f t="shared" si="38"/>
        <v>0</v>
      </c>
      <c r="J219" s="33">
        <v>2608880</v>
      </c>
      <c r="K219" s="33">
        <v>0</v>
      </c>
      <c r="L219" s="33">
        <v>0</v>
      </c>
      <c r="M219" s="33">
        <v>0</v>
      </c>
      <c r="N219" s="33">
        <f t="shared" si="45"/>
        <v>2608880</v>
      </c>
      <c r="O219" s="33">
        <v>0</v>
      </c>
      <c r="P219" s="33">
        <v>0</v>
      </c>
      <c r="Q219" s="33">
        <f t="shared" si="37"/>
        <v>2608880</v>
      </c>
      <c r="R219" s="5">
        <f t="shared" si="40"/>
        <v>2608880</v>
      </c>
      <c r="S219" s="5">
        <f t="shared" si="41"/>
        <v>0</v>
      </c>
      <c r="T219" s="5"/>
      <c r="U219" s="5">
        <f t="shared" si="42"/>
        <v>0</v>
      </c>
      <c r="V219" s="5"/>
    </row>
    <row r="220" spans="1:22" s="3" customFormat="1" ht="12.75">
      <c r="A220" s="91" t="s">
        <v>221</v>
      </c>
      <c r="B220" s="34" t="s">
        <v>51</v>
      </c>
      <c r="C220" s="33">
        <v>152602702</v>
      </c>
      <c r="D220" s="33">
        <v>1521862080</v>
      </c>
      <c r="E220" s="33"/>
      <c r="F220" s="33">
        <v>16471483</v>
      </c>
      <c r="G220" s="33">
        <f t="shared" si="43"/>
        <v>1690936265</v>
      </c>
      <c r="H220" s="33">
        <f>H221+H224+H225+H226</f>
        <v>0</v>
      </c>
      <c r="I220" s="33">
        <f t="shared" si="38"/>
        <v>1690936265</v>
      </c>
      <c r="J220" s="33">
        <f>J221+J224+J225</f>
        <v>148639494</v>
      </c>
      <c r="K220" s="33">
        <f>K221+K224+K225</f>
        <v>1492740657</v>
      </c>
      <c r="L220" s="33">
        <f>L221+L224+L225</f>
        <v>18964</v>
      </c>
      <c r="M220" s="33">
        <f>M221+M224+M225</f>
        <v>16516748</v>
      </c>
      <c r="N220" s="33">
        <f t="shared" si="45"/>
        <v>1657915863</v>
      </c>
      <c r="O220" s="33">
        <v>0</v>
      </c>
      <c r="P220" s="33">
        <f>P221+P224+P225+P226</f>
        <v>-456652</v>
      </c>
      <c r="Q220" s="33">
        <f t="shared" si="37"/>
        <v>1657459211</v>
      </c>
      <c r="R220" s="5">
        <f t="shared" si="40"/>
        <v>1657459211</v>
      </c>
      <c r="S220" s="5">
        <f t="shared" si="41"/>
        <v>0</v>
      </c>
      <c r="T220" s="5"/>
      <c r="U220" s="5">
        <f t="shared" si="42"/>
        <v>0</v>
      </c>
      <c r="V220" s="5"/>
    </row>
    <row r="221" spans="1:22" s="3" customFormat="1" ht="12.75">
      <c r="A221" s="91">
        <v>6200</v>
      </c>
      <c r="B221" s="34" t="s">
        <v>241</v>
      </c>
      <c r="C221" s="33"/>
      <c r="D221" s="33"/>
      <c r="E221" s="33"/>
      <c r="F221" s="33"/>
      <c r="G221" s="33">
        <f t="shared" si="43"/>
        <v>0</v>
      </c>
      <c r="H221" s="33">
        <f>H223</f>
        <v>0</v>
      </c>
      <c r="I221" s="33">
        <f t="shared" si="38"/>
        <v>0</v>
      </c>
      <c r="J221" s="33">
        <v>148556870</v>
      </c>
      <c r="K221" s="33">
        <v>1492740657</v>
      </c>
      <c r="L221" s="33">
        <v>18964</v>
      </c>
      <c r="M221" s="33">
        <v>16516748</v>
      </c>
      <c r="N221" s="33">
        <f t="shared" si="45"/>
        <v>1657833239</v>
      </c>
      <c r="O221" s="33">
        <v>0</v>
      </c>
      <c r="P221" s="33">
        <f>P222</f>
        <v>-456652</v>
      </c>
      <c r="Q221" s="33">
        <f t="shared" si="37"/>
        <v>1657376587</v>
      </c>
      <c r="R221" s="5">
        <f t="shared" si="40"/>
        <v>1657376587</v>
      </c>
      <c r="S221" s="5">
        <f t="shared" si="41"/>
        <v>0</v>
      </c>
      <c r="T221" s="5"/>
      <c r="U221" s="5">
        <f t="shared" si="42"/>
        <v>0</v>
      </c>
      <c r="V221" s="5"/>
    </row>
    <row r="222" spans="1:22" s="3" customFormat="1" ht="12.75">
      <c r="A222" s="96"/>
      <c r="B222" s="39" t="s">
        <v>285</v>
      </c>
      <c r="C222" s="33"/>
      <c r="D222" s="33"/>
      <c r="E222" s="33"/>
      <c r="F222" s="33"/>
      <c r="G222" s="33"/>
      <c r="H222" s="33"/>
      <c r="I222" s="125">
        <v>0</v>
      </c>
      <c r="J222" s="125">
        <v>456652</v>
      </c>
      <c r="K222" s="125">
        <v>0</v>
      </c>
      <c r="L222" s="125">
        <v>0</v>
      </c>
      <c r="M222" s="125">
        <v>0</v>
      </c>
      <c r="N222" s="125">
        <f>J222+K222+L222+M222</f>
        <v>456652</v>
      </c>
      <c r="O222" s="125">
        <v>0</v>
      </c>
      <c r="P222" s="125">
        <f>-N222</f>
        <v>-456652</v>
      </c>
      <c r="Q222" s="125">
        <f t="shared" si="37"/>
        <v>0</v>
      </c>
      <c r="R222" s="5">
        <f t="shared" si="40"/>
        <v>0</v>
      </c>
      <c r="S222" s="5">
        <f t="shared" si="41"/>
        <v>0</v>
      </c>
      <c r="T222" s="5"/>
      <c r="U222" s="5">
        <f t="shared" si="42"/>
        <v>0</v>
      </c>
      <c r="V222" s="5"/>
    </row>
    <row r="223" spans="1:22" s="3" customFormat="1" ht="12.75" hidden="1">
      <c r="A223" s="96"/>
      <c r="B223" s="76" t="s">
        <v>336</v>
      </c>
      <c r="C223" s="77">
        <v>0</v>
      </c>
      <c r="D223" s="77"/>
      <c r="E223" s="77"/>
      <c r="F223" s="77"/>
      <c r="G223" s="77">
        <f>C223</f>
        <v>0</v>
      </c>
      <c r="H223" s="77">
        <f>G223</f>
        <v>0</v>
      </c>
      <c r="I223" s="79">
        <v>0</v>
      </c>
      <c r="J223" s="79">
        <v>0</v>
      </c>
      <c r="K223" s="79">
        <v>0</v>
      </c>
      <c r="L223" s="79">
        <v>0</v>
      </c>
      <c r="M223" s="79">
        <v>0</v>
      </c>
      <c r="N223" s="79">
        <f t="shared" si="45"/>
        <v>0</v>
      </c>
      <c r="O223" s="79">
        <v>0</v>
      </c>
      <c r="P223" s="79">
        <f>J223</f>
        <v>0</v>
      </c>
      <c r="Q223" s="79">
        <f t="shared" si="37"/>
        <v>0</v>
      </c>
      <c r="R223" s="5">
        <f t="shared" si="40"/>
        <v>0</v>
      </c>
      <c r="S223" s="5">
        <f t="shared" si="41"/>
        <v>0</v>
      </c>
      <c r="T223" s="5"/>
      <c r="U223" s="5">
        <f t="shared" si="42"/>
        <v>0</v>
      </c>
      <c r="V223" s="5"/>
    </row>
    <row r="224" spans="1:22" s="3" customFormat="1" ht="12.75" hidden="1">
      <c r="A224" s="91">
        <v>6300</v>
      </c>
      <c r="B224" s="34" t="s">
        <v>242</v>
      </c>
      <c r="C224" s="33"/>
      <c r="D224" s="33"/>
      <c r="E224" s="33"/>
      <c r="F224" s="33"/>
      <c r="G224" s="33">
        <f t="shared" si="43"/>
        <v>0</v>
      </c>
      <c r="H224" s="33"/>
      <c r="I224" s="33">
        <f t="shared" si="38"/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f t="shared" si="45"/>
        <v>0</v>
      </c>
      <c r="O224" s="33">
        <v>0</v>
      </c>
      <c r="P224" s="33">
        <v>0</v>
      </c>
      <c r="Q224" s="33">
        <f t="shared" si="37"/>
        <v>0</v>
      </c>
      <c r="R224" s="5">
        <f t="shared" si="40"/>
        <v>0</v>
      </c>
      <c r="S224" s="5">
        <f t="shared" si="41"/>
        <v>0</v>
      </c>
      <c r="T224" s="5"/>
      <c r="U224" s="5">
        <f t="shared" si="42"/>
        <v>0</v>
      </c>
      <c r="V224" s="5"/>
    </row>
    <row r="225" spans="1:22" s="3" customFormat="1" ht="25.5">
      <c r="A225" s="91">
        <v>6400</v>
      </c>
      <c r="B225" s="34" t="s">
        <v>316</v>
      </c>
      <c r="C225" s="33"/>
      <c r="D225" s="33"/>
      <c r="E225" s="33"/>
      <c r="F225" s="33"/>
      <c r="G225" s="33">
        <f t="shared" si="43"/>
        <v>0</v>
      </c>
      <c r="H225" s="33"/>
      <c r="I225" s="33">
        <f t="shared" si="38"/>
        <v>0</v>
      </c>
      <c r="J225" s="33">
        <v>82624</v>
      </c>
      <c r="K225" s="33">
        <v>0</v>
      </c>
      <c r="L225" s="33">
        <v>0</v>
      </c>
      <c r="M225" s="33">
        <v>0</v>
      </c>
      <c r="N225" s="33">
        <f t="shared" si="45"/>
        <v>82624</v>
      </c>
      <c r="O225" s="33">
        <v>0</v>
      </c>
      <c r="P225" s="33">
        <v>0</v>
      </c>
      <c r="Q225" s="33">
        <f t="shared" si="37"/>
        <v>82624</v>
      </c>
      <c r="R225" s="5">
        <f t="shared" si="40"/>
        <v>82624</v>
      </c>
      <c r="S225" s="5">
        <f t="shared" si="41"/>
        <v>0</v>
      </c>
      <c r="T225" s="5"/>
      <c r="U225" s="5">
        <f t="shared" si="42"/>
        <v>0</v>
      </c>
      <c r="V225" s="5"/>
    </row>
    <row r="226" spans="1:22" s="3" customFormat="1" ht="25.5" hidden="1">
      <c r="A226" s="91">
        <v>6500</v>
      </c>
      <c r="B226" s="34" t="s">
        <v>317</v>
      </c>
      <c r="C226" s="33"/>
      <c r="D226" s="33"/>
      <c r="E226" s="33"/>
      <c r="F226" s="33"/>
      <c r="G226" s="33">
        <f t="shared" si="43"/>
        <v>0</v>
      </c>
      <c r="H226" s="33"/>
      <c r="I226" s="33"/>
      <c r="J226" s="33"/>
      <c r="K226" s="33"/>
      <c r="L226" s="33"/>
      <c r="M226" s="33">
        <v>0</v>
      </c>
      <c r="N226" s="33">
        <f t="shared" si="45"/>
        <v>0</v>
      </c>
      <c r="O226" s="33">
        <v>0</v>
      </c>
      <c r="P226" s="33">
        <v>0</v>
      </c>
      <c r="Q226" s="33">
        <f t="shared" si="37"/>
        <v>0</v>
      </c>
      <c r="R226" s="5">
        <f t="shared" si="40"/>
        <v>0</v>
      </c>
      <c r="S226" s="5">
        <f t="shared" si="41"/>
        <v>0</v>
      </c>
      <c r="T226" s="5"/>
      <c r="U226" s="5">
        <f t="shared" si="42"/>
        <v>0</v>
      </c>
      <c r="V226" s="5"/>
    </row>
    <row r="227" spans="1:22" s="3" customFormat="1" ht="28.5" customHeight="1">
      <c r="A227" s="90" t="s">
        <v>243</v>
      </c>
      <c r="B227" s="36" t="s">
        <v>304</v>
      </c>
      <c r="C227" s="31">
        <f>C228+C229</f>
        <v>157623883</v>
      </c>
      <c r="D227" s="31">
        <f>D228+D229</f>
        <v>11666</v>
      </c>
      <c r="E227" s="31">
        <f>E228+E229</f>
        <v>0</v>
      </c>
      <c r="F227" s="31">
        <f>F228+F229</f>
        <v>572104</v>
      </c>
      <c r="G227" s="31">
        <f>G228+G229</f>
        <v>158207653</v>
      </c>
      <c r="H227" s="31"/>
      <c r="I227" s="31">
        <f t="shared" si="38"/>
        <v>158207653</v>
      </c>
      <c r="J227" s="31">
        <f>J228+J229</f>
        <v>134585433</v>
      </c>
      <c r="K227" s="31">
        <f>K228+K229</f>
        <v>11666</v>
      </c>
      <c r="L227" s="31">
        <f>L228+L229</f>
        <v>0</v>
      </c>
      <c r="M227" s="31">
        <f>M228+M229</f>
        <v>551470</v>
      </c>
      <c r="N227" s="31">
        <f>N228+N229</f>
        <v>135148569</v>
      </c>
      <c r="O227" s="31">
        <v>0</v>
      </c>
      <c r="P227" s="31">
        <v>0</v>
      </c>
      <c r="Q227" s="31">
        <f t="shared" si="37"/>
        <v>135148569</v>
      </c>
      <c r="R227" s="5">
        <f t="shared" si="40"/>
        <v>135148569</v>
      </c>
      <c r="S227" s="5">
        <f t="shared" si="41"/>
        <v>0</v>
      </c>
      <c r="T227" s="5"/>
      <c r="U227" s="5">
        <f t="shared" si="42"/>
        <v>0</v>
      </c>
      <c r="V227" s="5"/>
    </row>
    <row r="228" spans="1:22" s="3" customFormat="1" ht="12.75">
      <c r="A228" s="89" t="s">
        <v>222</v>
      </c>
      <c r="B228" s="35" t="s">
        <v>305</v>
      </c>
      <c r="C228" s="33">
        <v>140971695</v>
      </c>
      <c r="D228" s="29"/>
      <c r="E228" s="33"/>
      <c r="F228" s="33"/>
      <c r="G228" s="29">
        <f>C228+D228+E228</f>
        <v>140971695</v>
      </c>
      <c r="H228" s="33"/>
      <c r="I228" s="29">
        <f t="shared" si="38"/>
        <v>140971695</v>
      </c>
      <c r="J228" s="33">
        <v>121309489</v>
      </c>
      <c r="K228" s="29">
        <v>0</v>
      </c>
      <c r="L228" s="33">
        <v>0</v>
      </c>
      <c r="M228" s="33">
        <v>0</v>
      </c>
      <c r="N228" s="33">
        <f>J228+K228+L228+M228</f>
        <v>121309489</v>
      </c>
      <c r="O228" s="33">
        <v>0</v>
      </c>
      <c r="P228" s="33">
        <v>0</v>
      </c>
      <c r="Q228" s="33">
        <f t="shared" si="37"/>
        <v>121309489</v>
      </c>
      <c r="R228" s="5">
        <f t="shared" si="40"/>
        <v>121309489</v>
      </c>
      <c r="S228" s="5">
        <f t="shared" si="41"/>
        <v>0</v>
      </c>
      <c r="T228" s="5"/>
      <c r="U228" s="5">
        <f t="shared" si="42"/>
        <v>0</v>
      </c>
      <c r="V228" s="5"/>
    </row>
    <row r="229" spans="1:22" s="3" customFormat="1" ht="12.75">
      <c r="A229" s="89" t="s">
        <v>223</v>
      </c>
      <c r="B229" s="35" t="s">
        <v>55</v>
      </c>
      <c r="C229" s="33">
        <v>16652188</v>
      </c>
      <c r="D229" s="29">
        <v>11666</v>
      </c>
      <c r="E229" s="33"/>
      <c r="F229" s="33">
        <v>572104</v>
      </c>
      <c r="G229" s="29">
        <f>C229+D229+E229+F229</f>
        <v>17235958</v>
      </c>
      <c r="H229" s="33"/>
      <c r="I229" s="29">
        <f t="shared" si="38"/>
        <v>17235958</v>
      </c>
      <c r="J229" s="33">
        <v>13275944</v>
      </c>
      <c r="K229" s="29">
        <v>11666</v>
      </c>
      <c r="L229" s="33">
        <v>0</v>
      </c>
      <c r="M229" s="33">
        <v>551470</v>
      </c>
      <c r="N229" s="33">
        <f>J229+K229+L229+M229</f>
        <v>13839080</v>
      </c>
      <c r="O229" s="33">
        <v>0</v>
      </c>
      <c r="P229" s="33">
        <v>0</v>
      </c>
      <c r="Q229" s="33">
        <f t="shared" si="37"/>
        <v>13839080</v>
      </c>
      <c r="R229" s="5">
        <f t="shared" si="40"/>
        <v>13839080</v>
      </c>
      <c r="S229" s="5">
        <f t="shared" si="41"/>
        <v>0</v>
      </c>
      <c r="T229" s="5"/>
      <c r="U229" s="5">
        <f t="shared" si="42"/>
        <v>0</v>
      </c>
      <c r="V229" s="5"/>
    </row>
    <row r="230" spans="1:22" s="3" customFormat="1" ht="13.5">
      <c r="A230" s="88" t="s">
        <v>224</v>
      </c>
      <c r="B230" s="36" t="s">
        <v>52</v>
      </c>
      <c r="C230" s="31">
        <v>587915825</v>
      </c>
      <c r="D230" s="31">
        <f>D231+D235+D236</f>
        <v>7190375</v>
      </c>
      <c r="E230" s="31">
        <f>E231+E235+E236</f>
        <v>0</v>
      </c>
      <c r="F230" s="31">
        <f>F231+F235+F236+F239</f>
        <v>945542</v>
      </c>
      <c r="G230" s="31">
        <f>G231+G235+G236+G239</f>
        <v>596051742</v>
      </c>
      <c r="H230" s="31">
        <f>H231+H234+H235+H236+H228+H229+H237</f>
        <v>-166948876</v>
      </c>
      <c r="I230" s="31">
        <f t="shared" si="38"/>
        <v>429102866</v>
      </c>
      <c r="J230" s="31">
        <f aca="true" t="shared" si="46" ref="J230:O230">J231+J234+J235+J236+J239</f>
        <v>562619944</v>
      </c>
      <c r="K230" s="31">
        <f t="shared" si="46"/>
        <v>6828081</v>
      </c>
      <c r="L230" s="31">
        <f t="shared" si="46"/>
        <v>20241</v>
      </c>
      <c r="M230" s="31">
        <f t="shared" si="46"/>
        <v>944773</v>
      </c>
      <c r="N230" s="31">
        <f t="shared" si="46"/>
        <v>570413039</v>
      </c>
      <c r="O230" s="31">
        <f t="shared" si="46"/>
        <v>-19544</v>
      </c>
      <c r="P230" s="31">
        <f>P231+P234+P235+P236+P239</f>
        <v>-174637065</v>
      </c>
      <c r="Q230" s="31">
        <f t="shared" si="37"/>
        <v>395756430</v>
      </c>
      <c r="R230" s="5">
        <f t="shared" si="40"/>
        <v>395756430</v>
      </c>
      <c r="S230" s="5">
        <f t="shared" si="41"/>
        <v>0</v>
      </c>
      <c r="T230" s="5"/>
      <c r="U230" s="5">
        <f t="shared" si="42"/>
        <v>0</v>
      </c>
      <c r="V230" s="5"/>
    </row>
    <row r="231" spans="1:22" s="3" customFormat="1" ht="12.75">
      <c r="A231" s="91">
        <v>7100</v>
      </c>
      <c r="B231" s="34" t="s">
        <v>53</v>
      </c>
      <c r="C231" s="33">
        <v>17419105</v>
      </c>
      <c r="D231" s="33">
        <v>6508198</v>
      </c>
      <c r="E231" s="33"/>
      <c r="F231" s="33"/>
      <c r="G231" s="33">
        <f>C231+D231+E231</f>
        <v>23927303</v>
      </c>
      <c r="H231" s="33">
        <f>-G231</f>
        <v>-23927303</v>
      </c>
      <c r="I231" s="33">
        <f t="shared" si="38"/>
        <v>0</v>
      </c>
      <c r="J231" s="33">
        <v>16362102</v>
      </c>
      <c r="K231" s="33">
        <v>6152223</v>
      </c>
      <c r="L231" s="33">
        <v>20241</v>
      </c>
      <c r="M231" s="33">
        <v>0</v>
      </c>
      <c r="N231" s="33">
        <f aca="true" t="shared" si="47" ref="N231:N239">J231+K231+L231+M231</f>
        <v>22534566</v>
      </c>
      <c r="O231" s="33">
        <f>O232</f>
        <v>-19544</v>
      </c>
      <c r="P231" s="33">
        <f>P233</f>
        <v>-22515022</v>
      </c>
      <c r="Q231" s="33">
        <f t="shared" si="37"/>
        <v>0</v>
      </c>
      <c r="R231" s="5">
        <f t="shared" si="40"/>
        <v>0</v>
      </c>
      <c r="S231" s="5">
        <f t="shared" si="41"/>
        <v>0</v>
      </c>
      <c r="T231" s="5"/>
      <c r="U231" s="5">
        <f t="shared" si="42"/>
        <v>0</v>
      </c>
      <c r="V231" s="5"/>
    </row>
    <row r="232" spans="1:22" s="121" customFormat="1" ht="12.75">
      <c r="A232" s="122"/>
      <c r="B232" s="117" t="s">
        <v>374</v>
      </c>
      <c r="C232" s="119">
        <v>0</v>
      </c>
      <c r="D232" s="119"/>
      <c r="E232" s="119"/>
      <c r="F232" s="119"/>
      <c r="G232" s="119">
        <f>C232+D232+E232+F232</f>
        <v>0</v>
      </c>
      <c r="H232" s="119"/>
      <c r="I232" s="119"/>
      <c r="J232" s="123">
        <v>0</v>
      </c>
      <c r="K232" s="123"/>
      <c r="L232" s="123">
        <f>13132+6412</f>
        <v>19544</v>
      </c>
      <c r="M232" s="123"/>
      <c r="N232" s="123">
        <f>L232</f>
        <v>19544</v>
      </c>
      <c r="O232" s="123">
        <f>-N232</f>
        <v>-19544</v>
      </c>
      <c r="P232" s="123">
        <v>0</v>
      </c>
      <c r="Q232" s="123">
        <f t="shared" si="37"/>
        <v>0</v>
      </c>
      <c r="R232" s="5">
        <f t="shared" si="40"/>
        <v>0</v>
      </c>
      <c r="S232" s="5">
        <f t="shared" si="41"/>
        <v>0</v>
      </c>
      <c r="T232" s="5"/>
      <c r="U232" s="5">
        <f t="shared" si="42"/>
        <v>0</v>
      </c>
      <c r="V232" s="5"/>
    </row>
    <row r="233" spans="1:22" s="3" customFormat="1" ht="12.75">
      <c r="A233" s="93"/>
      <c r="B233" s="39" t="s">
        <v>285</v>
      </c>
      <c r="C233" s="40">
        <v>17419105</v>
      </c>
      <c r="D233" s="40">
        <v>6508198</v>
      </c>
      <c r="E233" s="40"/>
      <c r="F233" s="40"/>
      <c r="G233" s="40">
        <f>C233+D233+E233</f>
        <v>23927303</v>
      </c>
      <c r="H233" s="141">
        <f>-G233</f>
        <v>-23927303</v>
      </c>
      <c r="I233" s="125">
        <v>0</v>
      </c>
      <c r="J233" s="125">
        <v>16362102</v>
      </c>
      <c r="K233" s="125">
        <v>6152223</v>
      </c>
      <c r="L233" s="125">
        <v>697</v>
      </c>
      <c r="M233" s="125">
        <v>0</v>
      </c>
      <c r="N233" s="125">
        <f>J233+K233+L233+M233</f>
        <v>22515022</v>
      </c>
      <c r="O233" s="125">
        <v>0</v>
      </c>
      <c r="P233" s="125">
        <f>-N233</f>
        <v>-22515022</v>
      </c>
      <c r="Q233" s="125">
        <f t="shared" si="37"/>
        <v>0</v>
      </c>
      <c r="R233" s="5">
        <f t="shared" si="40"/>
        <v>0</v>
      </c>
      <c r="S233" s="5">
        <f t="shared" si="41"/>
        <v>0</v>
      </c>
      <c r="T233" s="5"/>
      <c r="U233" s="5">
        <f t="shared" si="42"/>
        <v>0</v>
      </c>
      <c r="V233" s="5"/>
    </row>
    <row r="234" spans="1:22" s="3" customFormat="1" ht="12.75" hidden="1">
      <c r="A234" s="91">
        <v>7200</v>
      </c>
      <c r="B234" s="34" t="s">
        <v>54</v>
      </c>
      <c r="C234" s="33"/>
      <c r="D234" s="33"/>
      <c r="E234" s="33"/>
      <c r="F234" s="33"/>
      <c r="G234" s="33"/>
      <c r="H234" s="33"/>
      <c r="I234" s="33">
        <f>G234+H234</f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f t="shared" si="47"/>
        <v>0</v>
      </c>
      <c r="O234" s="33">
        <v>0</v>
      </c>
      <c r="P234" s="33">
        <v>0</v>
      </c>
      <c r="Q234" s="33">
        <f t="shared" si="37"/>
        <v>0</v>
      </c>
      <c r="R234" s="5">
        <f t="shared" si="40"/>
        <v>0</v>
      </c>
      <c r="S234" s="5">
        <f t="shared" si="41"/>
        <v>0</v>
      </c>
      <c r="T234" s="5"/>
      <c r="U234" s="5">
        <f t="shared" si="42"/>
        <v>0</v>
      </c>
      <c r="V234" s="5"/>
    </row>
    <row r="235" spans="1:22" s="3" customFormat="1" ht="25.5">
      <c r="A235" s="89">
        <v>7300</v>
      </c>
      <c r="B235" s="35" t="s">
        <v>306</v>
      </c>
      <c r="C235" s="33">
        <v>284263348</v>
      </c>
      <c r="D235" s="29">
        <v>619360</v>
      </c>
      <c r="E235" s="33"/>
      <c r="F235" s="33"/>
      <c r="G235" s="33">
        <f>C235+D235+E235</f>
        <v>284882708</v>
      </c>
      <c r="H235" s="33"/>
      <c r="I235" s="33">
        <f>G235+H235</f>
        <v>284882708</v>
      </c>
      <c r="J235" s="33">
        <v>282977238</v>
      </c>
      <c r="K235" s="29">
        <v>619320</v>
      </c>
      <c r="L235" s="33">
        <v>0</v>
      </c>
      <c r="M235" s="33">
        <v>0</v>
      </c>
      <c r="N235" s="33">
        <f t="shared" si="47"/>
        <v>283596558</v>
      </c>
      <c r="O235" s="33">
        <v>0</v>
      </c>
      <c r="P235" s="33">
        <v>0</v>
      </c>
      <c r="Q235" s="33">
        <f t="shared" si="37"/>
        <v>283596558</v>
      </c>
      <c r="R235" s="5">
        <f t="shared" si="40"/>
        <v>283596558</v>
      </c>
      <c r="S235" s="5">
        <f t="shared" si="41"/>
        <v>0</v>
      </c>
      <c r="T235" s="5"/>
      <c r="U235" s="5">
        <f t="shared" si="42"/>
        <v>0</v>
      </c>
      <c r="V235" s="5"/>
    </row>
    <row r="236" spans="1:22" s="3" customFormat="1" ht="38.25" customHeight="1">
      <c r="A236" s="89">
        <v>7400</v>
      </c>
      <c r="B236" s="34" t="s">
        <v>307</v>
      </c>
      <c r="C236" s="33">
        <v>286233372</v>
      </c>
      <c r="D236" s="29">
        <v>62817</v>
      </c>
      <c r="E236" s="33"/>
      <c r="F236" s="33">
        <v>738000</v>
      </c>
      <c r="G236" s="33">
        <f>C236+D236+E236+F236</f>
        <v>287034189</v>
      </c>
      <c r="H236" s="33"/>
      <c r="I236" s="33">
        <f>G236+H236</f>
        <v>287034189</v>
      </c>
      <c r="J236" s="33">
        <v>263280604</v>
      </c>
      <c r="K236" s="29">
        <v>56538</v>
      </c>
      <c r="L236" s="33">
        <v>0</v>
      </c>
      <c r="M236" s="33">
        <v>737334</v>
      </c>
      <c r="N236" s="33">
        <f t="shared" si="47"/>
        <v>264074476</v>
      </c>
      <c r="O236" s="33">
        <v>0</v>
      </c>
      <c r="P236" s="33">
        <f>P237+P238</f>
        <v>-151920024</v>
      </c>
      <c r="Q236" s="33">
        <f t="shared" si="37"/>
        <v>112154452</v>
      </c>
      <c r="R236" s="5">
        <f t="shared" si="40"/>
        <v>112154452</v>
      </c>
      <c r="S236" s="5">
        <f t="shared" si="41"/>
        <v>0</v>
      </c>
      <c r="T236" s="5"/>
      <c r="U236" s="5">
        <f t="shared" si="42"/>
        <v>0</v>
      </c>
      <c r="V236" s="5"/>
    </row>
    <row r="237" spans="1:22" s="3" customFormat="1" ht="12.75">
      <c r="A237" s="93"/>
      <c r="B237" s="39" t="s">
        <v>285</v>
      </c>
      <c r="C237" s="40">
        <v>143021573</v>
      </c>
      <c r="D237" s="40">
        <v>0</v>
      </c>
      <c r="E237" s="40"/>
      <c r="F237" s="40"/>
      <c r="G237" s="40">
        <f>C237+D237+E237</f>
        <v>143021573</v>
      </c>
      <c r="H237" s="141">
        <f>-G237</f>
        <v>-143021573</v>
      </c>
      <c r="I237" s="125">
        <v>0</v>
      </c>
      <c r="J237" s="125">
        <v>151863486</v>
      </c>
      <c r="K237" s="125">
        <v>56538</v>
      </c>
      <c r="L237" s="125">
        <v>0</v>
      </c>
      <c r="M237" s="125">
        <v>0</v>
      </c>
      <c r="N237" s="125">
        <f>J237+K237+L237+M237</f>
        <v>151920024</v>
      </c>
      <c r="O237" s="125">
        <v>0</v>
      </c>
      <c r="P237" s="125">
        <f>-N237</f>
        <v>-151920024</v>
      </c>
      <c r="Q237" s="125">
        <f t="shared" si="37"/>
        <v>0</v>
      </c>
      <c r="R237" s="5">
        <f t="shared" si="40"/>
        <v>0</v>
      </c>
      <c r="S237" s="5">
        <f t="shared" si="41"/>
        <v>0</v>
      </c>
      <c r="T237" s="5"/>
      <c r="U237" s="5">
        <f t="shared" si="42"/>
        <v>0</v>
      </c>
      <c r="V237" s="5"/>
    </row>
    <row r="238" spans="1:22" s="3" customFormat="1" ht="12.75" hidden="1">
      <c r="A238" s="96"/>
      <c r="B238" s="76" t="s">
        <v>336</v>
      </c>
      <c r="C238" s="77">
        <v>0</v>
      </c>
      <c r="D238" s="77"/>
      <c r="E238" s="77"/>
      <c r="F238" s="77"/>
      <c r="G238" s="77">
        <f>C238</f>
        <v>0</v>
      </c>
      <c r="H238" s="77">
        <f>G238</f>
        <v>0</v>
      </c>
      <c r="I238" s="79">
        <f>H238</f>
        <v>0</v>
      </c>
      <c r="J238" s="79">
        <v>0</v>
      </c>
      <c r="K238" s="79">
        <v>0</v>
      </c>
      <c r="L238" s="79">
        <v>0</v>
      </c>
      <c r="M238" s="79">
        <v>0</v>
      </c>
      <c r="N238" s="79">
        <f t="shared" si="47"/>
        <v>0</v>
      </c>
      <c r="O238" s="79"/>
      <c r="P238" s="79">
        <f>J238</f>
        <v>0</v>
      </c>
      <c r="Q238" s="79">
        <f t="shared" si="37"/>
        <v>0</v>
      </c>
      <c r="R238" s="5">
        <f t="shared" si="40"/>
        <v>0</v>
      </c>
      <c r="S238" s="5">
        <f t="shared" si="41"/>
        <v>0</v>
      </c>
      <c r="T238" s="5"/>
      <c r="U238" s="5">
        <f t="shared" si="42"/>
        <v>0</v>
      </c>
      <c r="V238" s="5"/>
    </row>
    <row r="239" spans="1:22" s="3" customFormat="1" ht="15.75" customHeight="1">
      <c r="A239" s="89">
        <v>7500</v>
      </c>
      <c r="B239" s="34" t="s">
        <v>283</v>
      </c>
      <c r="C239" s="33"/>
      <c r="D239" s="29"/>
      <c r="E239" s="33"/>
      <c r="F239" s="33">
        <v>207542</v>
      </c>
      <c r="G239" s="33">
        <f>C239+D239+E239+F239</f>
        <v>207542</v>
      </c>
      <c r="H239" s="33">
        <f>H240</f>
        <v>0</v>
      </c>
      <c r="I239" s="33">
        <v>0</v>
      </c>
      <c r="J239" s="33">
        <v>0</v>
      </c>
      <c r="K239" s="29">
        <v>0</v>
      </c>
      <c r="L239" s="33">
        <v>0</v>
      </c>
      <c r="M239" s="33">
        <v>207439</v>
      </c>
      <c r="N239" s="33">
        <f t="shared" si="47"/>
        <v>207439</v>
      </c>
      <c r="O239" s="33">
        <v>0</v>
      </c>
      <c r="P239" s="33">
        <f>P240</f>
        <v>-202019</v>
      </c>
      <c r="Q239" s="33">
        <f t="shared" si="37"/>
        <v>5420</v>
      </c>
      <c r="R239" s="5">
        <f t="shared" si="40"/>
        <v>5420</v>
      </c>
      <c r="S239" s="5">
        <f t="shared" si="41"/>
        <v>0</v>
      </c>
      <c r="T239" s="5"/>
      <c r="U239" s="5">
        <f t="shared" si="42"/>
        <v>207542</v>
      </c>
      <c r="V239" s="5"/>
    </row>
    <row r="240" spans="1:22" s="3" customFormat="1" ht="12.75">
      <c r="A240" s="93"/>
      <c r="B240" s="39" t="s">
        <v>285</v>
      </c>
      <c r="C240" s="40"/>
      <c r="D240" s="40"/>
      <c r="E240" s="40"/>
      <c r="F240" s="40">
        <v>0</v>
      </c>
      <c r="G240" s="40">
        <f>C240+D240+E240+F240</f>
        <v>0</v>
      </c>
      <c r="H240" s="125">
        <f>-G240</f>
        <v>0</v>
      </c>
      <c r="I240" s="125">
        <v>0</v>
      </c>
      <c r="J240" s="125">
        <v>0</v>
      </c>
      <c r="K240" s="125">
        <v>0</v>
      </c>
      <c r="L240" s="125">
        <v>0</v>
      </c>
      <c r="M240" s="125">
        <f>201071+948</f>
        <v>202019</v>
      </c>
      <c r="N240" s="125">
        <f>J240+K240+L240+M240</f>
        <v>202019</v>
      </c>
      <c r="O240" s="125">
        <v>0</v>
      </c>
      <c r="P240" s="125">
        <f>-N240</f>
        <v>-202019</v>
      </c>
      <c r="Q240" s="125">
        <f t="shared" si="37"/>
        <v>0</v>
      </c>
      <c r="R240" s="5">
        <f t="shared" si="40"/>
        <v>0</v>
      </c>
      <c r="S240" s="5">
        <f t="shared" si="41"/>
        <v>0</v>
      </c>
      <c r="T240" s="5"/>
      <c r="U240" s="5">
        <f t="shared" si="42"/>
        <v>0</v>
      </c>
      <c r="V240" s="5"/>
    </row>
    <row r="241" spans="1:22" s="4" customFormat="1" ht="12.75">
      <c r="A241" s="24" t="s">
        <v>205</v>
      </c>
      <c r="B241" s="44" t="s">
        <v>36</v>
      </c>
      <c r="C241" s="23">
        <f>C242+C247</f>
        <v>244109422</v>
      </c>
      <c r="D241" s="23">
        <f>D242</f>
        <v>11513</v>
      </c>
      <c r="E241" s="23">
        <f>E242+E247</f>
        <v>0</v>
      </c>
      <c r="F241" s="23">
        <f>F242+F247</f>
        <v>18550655</v>
      </c>
      <c r="G241" s="23">
        <f>C241+D241+E241+F241</f>
        <v>262671590</v>
      </c>
      <c r="H241" s="23">
        <f>H242+H247</f>
        <v>0</v>
      </c>
      <c r="I241" s="23">
        <f aca="true" t="shared" si="48" ref="I241:I252">G241+H241</f>
        <v>262671590</v>
      </c>
      <c r="J241" s="23">
        <f aca="true" t="shared" si="49" ref="J241:P241">J242+J247</f>
        <v>219791741</v>
      </c>
      <c r="K241" s="23">
        <f t="shared" si="49"/>
        <v>11511</v>
      </c>
      <c r="L241" s="23">
        <f t="shared" si="49"/>
        <v>662475</v>
      </c>
      <c r="M241" s="23">
        <f t="shared" si="49"/>
        <v>6455864</v>
      </c>
      <c r="N241" s="23">
        <f t="shared" si="49"/>
        <v>226921591</v>
      </c>
      <c r="O241" s="23">
        <f t="shared" si="49"/>
        <v>640</v>
      </c>
      <c r="P241" s="23">
        <f t="shared" si="49"/>
        <v>0</v>
      </c>
      <c r="Q241" s="23">
        <f t="shared" si="37"/>
        <v>226922231</v>
      </c>
      <c r="R241" s="5">
        <f t="shared" si="40"/>
        <v>226922231</v>
      </c>
      <c r="S241" s="5">
        <f t="shared" si="41"/>
        <v>0</v>
      </c>
      <c r="T241" s="5"/>
      <c r="U241" s="5">
        <f t="shared" si="42"/>
        <v>0</v>
      </c>
      <c r="V241" s="5"/>
    </row>
    <row r="242" spans="1:22" s="3" customFormat="1" ht="13.5">
      <c r="A242" s="90" t="s">
        <v>225</v>
      </c>
      <c r="B242" s="36" t="s">
        <v>56</v>
      </c>
      <c r="C242" s="31">
        <v>137408066</v>
      </c>
      <c r="D242" s="31">
        <v>11513</v>
      </c>
      <c r="E242" s="31"/>
      <c r="F242" s="31">
        <v>18550655</v>
      </c>
      <c r="G242" s="31">
        <f>C242+D242+E242+F242</f>
        <v>155970234</v>
      </c>
      <c r="H242" s="31">
        <f>H243+H245</f>
        <v>0</v>
      </c>
      <c r="I242" s="31">
        <f t="shared" si="48"/>
        <v>155970234</v>
      </c>
      <c r="J242" s="31">
        <f aca="true" t="shared" si="50" ref="J242:P242">J243+J245</f>
        <v>115735894</v>
      </c>
      <c r="K242" s="31">
        <f t="shared" si="50"/>
        <v>11511</v>
      </c>
      <c r="L242" s="31">
        <f t="shared" si="50"/>
        <v>662475</v>
      </c>
      <c r="M242" s="31">
        <f t="shared" si="50"/>
        <v>6455864</v>
      </c>
      <c r="N242" s="31">
        <f t="shared" si="50"/>
        <v>122865744</v>
      </c>
      <c r="O242" s="31">
        <f t="shared" si="50"/>
        <v>640</v>
      </c>
      <c r="P242" s="31">
        <f t="shared" si="50"/>
        <v>0</v>
      </c>
      <c r="Q242" s="31">
        <f t="shared" si="37"/>
        <v>122866384</v>
      </c>
      <c r="R242" s="5">
        <f t="shared" si="40"/>
        <v>122866384</v>
      </c>
      <c r="S242" s="5">
        <f t="shared" si="41"/>
        <v>0</v>
      </c>
      <c r="T242" s="5"/>
      <c r="U242" s="5">
        <f t="shared" si="42"/>
        <v>0</v>
      </c>
      <c r="V242" s="5"/>
    </row>
    <row r="243" spans="1:22" s="3" customFormat="1" ht="12.75">
      <c r="A243" s="91">
        <v>5100</v>
      </c>
      <c r="B243" s="34" t="s">
        <v>239</v>
      </c>
      <c r="C243" s="33">
        <v>0</v>
      </c>
      <c r="D243" s="33">
        <v>0</v>
      </c>
      <c r="E243" s="33">
        <v>0</v>
      </c>
      <c r="F243" s="33">
        <v>0</v>
      </c>
      <c r="G243" s="23"/>
      <c r="H243" s="33">
        <f>H244</f>
        <v>0</v>
      </c>
      <c r="I243" s="23">
        <f t="shared" si="48"/>
        <v>0</v>
      </c>
      <c r="J243" s="33">
        <v>9662315</v>
      </c>
      <c r="K243" s="33">
        <v>659</v>
      </c>
      <c r="L243" s="33">
        <v>70690</v>
      </c>
      <c r="M243" s="33">
        <v>439152</v>
      </c>
      <c r="N243" s="33">
        <f>J243+K243+L243+M243</f>
        <v>10172816</v>
      </c>
      <c r="O243" s="33">
        <v>0</v>
      </c>
      <c r="P243" s="33">
        <f>P244</f>
        <v>0</v>
      </c>
      <c r="Q243" s="33">
        <f t="shared" si="37"/>
        <v>10172816</v>
      </c>
      <c r="R243" s="5">
        <f t="shared" si="40"/>
        <v>10172816</v>
      </c>
      <c r="S243" s="5">
        <f t="shared" si="41"/>
        <v>0</v>
      </c>
      <c r="T243" s="5"/>
      <c r="U243" s="5">
        <f t="shared" si="42"/>
        <v>0</v>
      </c>
      <c r="V243" s="5"/>
    </row>
    <row r="244" spans="1:22" s="3" customFormat="1" ht="12.75">
      <c r="A244" s="96"/>
      <c r="B244" s="76" t="s">
        <v>336</v>
      </c>
      <c r="C244" s="77">
        <v>0</v>
      </c>
      <c r="D244" s="77"/>
      <c r="E244" s="77"/>
      <c r="F244" s="77"/>
      <c r="G244" s="77">
        <f>C244</f>
        <v>0</v>
      </c>
      <c r="H244" s="77">
        <f>G244</f>
        <v>0</v>
      </c>
      <c r="I244" s="79">
        <v>0</v>
      </c>
      <c r="J244" s="79">
        <v>0</v>
      </c>
      <c r="K244" s="79">
        <v>0</v>
      </c>
      <c r="L244" s="79">
        <v>0</v>
      </c>
      <c r="M244" s="79">
        <v>0</v>
      </c>
      <c r="N244" s="79">
        <f>J244+K244+L244+M244</f>
        <v>0</v>
      </c>
      <c r="O244" s="79"/>
      <c r="P244" s="79">
        <f>J244</f>
        <v>0</v>
      </c>
      <c r="Q244" s="79">
        <f t="shared" si="37"/>
        <v>0</v>
      </c>
      <c r="R244" s="5">
        <f t="shared" si="40"/>
        <v>0</v>
      </c>
      <c r="S244" s="5">
        <f t="shared" si="41"/>
        <v>0</v>
      </c>
      <c r="T244" s="5"/>
      <c r="U244" s="5">
        <f t="shared" si="42"/>
        <v>0</v>
      </c>
      <c r="V244" s="5"/>
    </row>
    <row r="245" spans="1:22" s="3" customFormat="1" ht="12.75">
      <c r="A245" s="91">
        <v>5200</v>
      </c>
      <c r="B245" s="34" t="s">
        <v>240</v>
      </c>
      <c r="C245" s="33">
        <v>0</v>
      </c>
      <c r="D245" s="33">
        <v>0</v>
      </c>
      <c r="E245" s="33">
        <v>0</v>
      </c>
      <c r="F245" s="33">
        <v>0</v>
      </c>
      <c r="G245" s="23"/>
      <c r="H245" s="33">
        <f>H246</f>
        <v>0</v>
      </c>
      <c r="I245" s="23">
        <f t="shared" si="48"/>
        <v>0</v>
      </c>
      <c r="J245" s="33">
        <v>106073579</v>
      </c>
      <c r="K245" s="33">
        <v>10852</v>
      </c>
      <c r="L245" s="33">
        <v>591785</v>
      </c>
      <c r="M245" s="33">
        <v>6016712</v>
      </c>
      <c r="N245" s="33">
        <f>J245+K245+L245+M245</f>
        <v>112692928</v>
      </c>
      <c r="O245" s="33">
        <f>O246</f>
        <v>640</v>
      </c>
      <c r="P245" s="33">
        <f>P246</f>
        <v>0</v>
      </c>
      <c r="Q245" s="33">
        <f aca="true" t="shared" si="51" ref="Q245:Q276">N245+O245+P245</f>
        <v>112693568</v>
      </c>
      <c r="R245" s="5">
        <f t="shared" si="40"/>
        <v>112693568</v>
      </c>
      <c r="S245" s="5">
        <f t="shared" si="41"/>
        <v>0</v>
      </c>
      <c r="T245" s="5"/>
      <c r="U245" s="5">
        <f t="shared" si="42"/>
        <v>0</v>
      </c>
      <c r="V245" s="5"/>
    </row>
    <row r="246" spans="1:22" s="3" customFormat="1" ht="12.75">
      <c r="A246" s="96"/>
      <c r="B246" s="76" t="s">
        <v>336</v>
      </c>
      <c r="C246" s="77">
        <v>0</v>
      </c>
      <c r="D246" s="77"/>
      <c r="E246" s="77"/>
      <c r="F246" s="77"/>
      <c r="G246" s="77">
        <f>C246</f>
        <v>0</v>
      </c>
      <c r="H246" s="77">
        <f>G246</f>
        <v>0</v>
      </c>
      <c r="I246" s="79">
        <v>0</v>
      </c>
      <c r="J246" s="79">
        <v>640</v>
      </c>
      <c r="K246" s="79">
        <v>0</v>
      </c>
      <c r="L246" s="79">
        <v>0</v>
      </c>
      <c r="M246" s="79">
        <v>0</v>
      </c>
      <c r="N246" s="79">
        <f>J246+K246+L246+M246</f>
        <v>640</v>
      </c>
      <c r="O246" s="79">
        <f>N246</f>
        <v>640</v>
      </c>
      <c r="P246" s="79">
        <v>0</v>
      </c>
      <c r="Q246" s="79">
        <f t="shared" si="51"/>
        <v>1280</v>
      </c>
      <c r="R246" s="5">
        <f t="shared" si="40"/>
        <v>1280</v>
      </c>
      <c r="S246" s="5">
        <f t="shared" si="41"/>
        <v>0</v>
      </c>
      <c r="T246" s="5"/>
      <c r="U246" s="5">
        <f t="shared" si="42"/>
        <v>0</v>
      </c>
      <c r="V246" s="5"/>
    </row>
    <row r="247" spans="1:22" s="3" customFormat="1" ht="13.5">
      <c r="A247" s="88" t="s">
        <v>226</v>
      </c>
      <c r="B247" s="38" t="s">
        <v>57</v>
      </c>
      <c r="C247" s="31">
        <f>C248+C249+C250+C251+C252</f>
        <v>106701356</v>
      </c>
      <c r="D247" s="31">
        <f>D248+D249+D250+D251+D252</f>
        <v>0</v>
      </c>
      <c r="E247" s="31">
        <f>E248+E249+E250+E251+E252</f>
        <v>0</v>
      </c>
      <c r="F247" s="31">
        <f>F248+F249+F250+F251+F252</f>
        <v>0</v>
      </c>
      <c r="G247" s="31">
        <f>G248+G249+G250+G251+G252</f>
        <v>106701356</v>
      </c>
      <c r="H247" s="31"/>
      <c r="I247" s="31">
        <f>G247+H247</f>
        <v>106701356</v>
      </c>
      <c r="J247" s="31">
        <f aca="true" t="shared" si="52" ref="J247:P247">J248+J249+J250+J251+J252</f>
        <v>104055847</v>
      </c>
      <c r="K247" s="31">
        <f t="shared" si="52"/>
        <v>0</v>
      </c>
      <c r="L247" s="31">
        <f t="shared" si="52"/>
        <v>0</v>
      </c>
      <c r="M247" s="31">
        <f t="shared" si="52"/>
        <v>0</v>
      </c>
      <c r="N247" s="31">
        <f t="shared" si="52"/>
        <v>104055847</v>
      </c>
      <c r="O247" s="31">
        <v>0</v>
      </c>
      <c r="P247" s="31">
        <f t="shared" si="52"/>
        <v>0</v>
      </c>
      <c r="Q247" s="31">
        <f t="shared" si="51"/>
        <v>104055847</v>
      </c>
      <c r="R247" s="5">
        <f t="shared" si="40"/>
        <v>104055847</v>
      </c>
      <c r="S247" s="5">
        <f t="shared" si="41"/>
        <v>0</v>
      </c>
      <c r="T247" s="5"/>
      <c r="U247" s="5">
        <f t="shared" si="42"/>
        <v>0</v>
      </c>
      <c r="V247" s="5"/>
    </row>
    <row r="248" spans="1:22" s="3" customFormat="1" ht="12.75">
      <c r="A248" s="89">
        <v>9100</v>
      </c>
      <c r="B248" s="34" t="s">
        <v>58</v>
      </c>
      <c r="C248" s="33">
        <v>83708974</v>
      </c>
      <c r="D248" s="29">
        <v>0</v>
      </c>
      <c r="E248" s="29">
        <v>0</v>
      </c>
      <c r="F248" s="29">
        <v>0</v>
      </c>
      <c r="G248" s="29">
        <f aca="true" t="shared" si="53" ref="G248:G263">C248+D248+E248+F248</f>
        <v>83708974</v>
      </c>
      <c r="H248" s="29"/>
      <c r="I248" s="29">
        <f t="shared" si="48"/>
        <v>83708974</v>
      </c>
      <c r="J248" s="33">
        <v>83285299</v>
      </c>
      <c r="K248" s="29">
        <v>0</v>
      </c>
      <c r="L248" s="29">
        <v>0</v>
      </c>
      <c r="M248" s="29">
        <v>0</v>
      </c>
      <c r="N248" s="29">
        <f aca="true" t="shared" si="54" ref="N248:N254">J248+K248+L248+M248</f>
        <v>83285299</v>
      </c>
      <c r="O248" s="29">
        <v>0</v>
      </c>
      <c r="P248" s="29">
        <v>0</v>
      </c>
      <c r="Q248" s="29">
        <f t="shared" si="51"/>
        <v>83285299</v>
      </c>
      <c r="R248" s="5">
        <f t="shared" si="40"/>
        <v>83285299</v>
      </c>
      <c r="S248" s="5">
        <f t="shared" si="41"/>
        <v>0</v>
      </c>
      <c r="T248" s="5"/>
      <c r="U248" s="5">
        <f t="shared" si="42"/>
        <v>0</v>
      </c>
      <c r="V248" s="5"/>
    </row>
    <row r="249" spans="1:22" s="3" customFormat="1" ht="25.5" hidden="1">
      <c r="A249" s="89">
        <v>9200</v>
      </c>
      <c r="B249" s="35" t="s">
        <v>308</v>
      </c>
      <c r="C249" s="33">
        <v>0</v>
      </c>
      <c r="D249" s="33">
        <v>0</v>
      </c>
      <c r="E249" s="33">
        <v>0</v>
      </c>
      <c r="F249" s="33">
        <v>0</v>
      </c>
      <c r="G249" s="29">
        <f t="shared" si="53"/>
        <v>0</v>
      </c>
      <c r="H249" s="29">
        <f>C249+D249+E249+G249</f>
        <v>0</v>
      </c>
      <c r="I249" s="29">
        <f t="shared" si="48"/>
        <v>0</v>
      </c>
      <c r="J249" s="33">
        <v>0</v>
      </c>
      <c r="K249" s="29">
        <v>0</v>
      </c>
      <c r="L249" s="29">
        <v>0</v>
      </c>
      <c r="M249" s="29">
        <v>0</v>
      </c>
      <c r="N249" s="29">
        <f t="shared" si="54"/>
        <v>0</v>
      </c>
      <c r="O249" s="29">
        <v>0</v>
      </c>
      <c r="P249" s="29">
        <f>J249+K249+L249+N249</f>
        <v>0</v>
      </c>
      <c r="Q249" s="29">
        <f t="shared" si="51"/>
        <v>0</v>
      </c>
      <c r="R249" s="5">
        <f t="shared" si="40"/>
        <v>0</v>
      </c>
      <c r="S249" s="5">
        <f t="shared" si="41"/>
        <v>0</v>
      </c>
      <c r="T249" s="5"/>
      <c r="U249" s="5">
        <f t="shared" si="42"/>
        <v>0</v>
      </c>
      <c r="V249" s="5"/>
    </row>
    <row r="250" spans="1:22" s="3" customFormat="1" ht="25.5" hidden="1">
      <c r="A250" s="89">
        <v>9300</v>
      </c>
      <c r="B250" s="34" t="s">
        <v>59</v>
      </c>
      <c r="C250" s="33">
        <v>0</v>
      </c>
      <c r="D250" s="33">
        <v>0</v>
      </c>
      <c r="E250" s="33">
        <v>0</v>
      </c>
      <c r="F250" s="33">
        <v>0</v>
      </c>
      <c r="G250" s="29">
        <f t="shared" si="53"/>
        <v>0</v>
      </c>
      <c r="H250" s="29">
        <f>C250+D250+E250+G250</f>
        <v>0</v>
      </c>
      <c r="I250" s="29">
        <f t="shared" si="48"/>
        <v>0</v>
      </c>
      <c r="J250" s="33">
        <v>0</v>
      </c>
      <c r="K250" s="29">
        <v>0</v>
      </c>
      <c r="L250" s="29">
        <v>0</v>
      </c>
      <c r="M250" s="29">
        <v>0</v>
      </c>
      <c r="N250" s="29">
        <f t="shared" si="54"/>
        <v>0</v>
      </c>
      <c r="O250" s="29">
        <v>0</v>
      </c>
      <c r="P250" s="29">
        <f>J250+K250+L250+N250</f>
        <v>0</v>
      </c>
      <c r="Q250" s="29">
        <f t="shared" si="51"/>
        <v>0</v>
      </c>
      <c r="R250" s="5">
        <f t="shared" si="40"/>
        <v>0</v>
      </c>
      <c r="S250" s="5">
        <f t="shared" si="41"/>
        <v>0</v>
      </c>
      <c r="T250" s="5"/>
      <c r="U250" s="5">
        <f t="shared" si="42"/>
        <v>0</v>
      </c>
      <c r="V250" s="5"/>
    </row>
    <row r="251" spans="1:22" s="3" customFormat="1" ht="25.5" hidden="1">
      <c r="A251" s="89">
        <v>9400</v>
      </c>
      <c r="B251" s="34" t="s">
        <v>60</v>
      </c>
      <c r="C251" s="33">
        <v>0</v>
      </c>
      <c r="D251" s="33">
        <v>0</v>
      </c>
      <c r="E251" s="33">
        <v>0</v>
      </c>
      <c r="F251" s="33">
        <v>0</v>
      </c>
      <c r="G251" s="29">
        <f t="shared" si="53"/>
        <v>0</v>
      </c>
      <c r="H251" s="29">
        <f>C251+D251+E251+G251</f>
        <v>0</v>
      </c>
      <c r="I251" s="29">
        <f t="shared" si="48"/>
        <v>0</v>
      </c>
      <c r="J251" s="33">
        <v>0</v>
      </c>
      <c r="K251" s="29">
        <v>0</v>
      </c>
      <c r="L251" s="29">
        <v>0</v>
      </c>
      <c r="M251" s="29">
        <v>0</v>
      </c>
      <c r="N251" s="29">
        <f t="shared" si="54"/>
        <v>0</v>
      </c>
      <c r="O251" s="29">
        <v>0</v>
      </c>
      <c r="P251" s="29">
        <f>J251+K251+L251+N251</f>
        <v>0</v>
      </c>
      <c r="Q251" s="29">
        <f t="shared" si="51"/>
        <v>0</v>
      </c>
      <c r="R251" s="5">
        <f t="shared" si="40"/>
        <v>0</v>
      </c>
      <c r="S251" s="5">
        <f t="shared" si="41"/>
        <v>0</v>
      </c>
      <c r="T251" s="5"/>
      <c r="U251" s="5">
        <f t="shared" si="42"/>
        <v>0</v>
      </c>
      <c r="V251" s="5"/>
    </row>
    <row r="252" spans="1:22" s="3" customFormat="1" ht="25.5">
      <c r="A252" s="89">
        <v>9500</v>
      </c>
      <c r="B252" s="34" t="s">
        <v>309</v>
      </c>
      <c r="C252" s="33">
        <v>22992382</v>
      </c>
      <c r="D252" s="29">
        <v>0</v>
      </c>
      <c r="E252" s="29">
        <v>0</v>
      </c>
      <c r="F252" s="29">
        <v>0</v>
      </c>
      <c r="G252" s="29">
        <f t="shared" si="53"/>
        <v>22992382</v>
      </c>
      <c r="H252" s="29"/>
      <c r="I252" s="29">
        <f t="shared" si="48"/>
        <v>22992382</v>
      </c>
      <c r="J252" s="33">
        <v>20770548</v>
      </c>
      <c r="K252" s="29">
        <v>0</v>
      </c>
      <c r="L252" s="33">
        <v>0</v>
      </c>
      <c r="M252" s="29">
        <v>0</v>
      </c>
      <c r="N252" s="29">
        <f t="shared" si="54"/>
        <v>20770548</v>
      </c>
      <c r="O252" s="29">
        <v>0</v>
      </c>
      <c r="P252" s="29">
        <v>0</v>
      </c>
      <c r="Q252" s="29">
        <f t="shared" si="51"/>
        <v>20770548</v>
      </c>
      <c r="R252" s="5">
        <f t="shared" si="40"/>
        <v>20770548</v>
      </c>
      <c r="S252" s="5">
        <f t="shared" si="41"/>
        <v>0</v>
      </c>
      <c r="T252" s="5"/>
      <c r="U252" s="5">
        <f t="shared" si="42"/>
        <v>0</v>
      </c>
      <c r="V252" s="5"/>
    </row>
    <row r="253" spans="1:22" s="3" customFormat="1" ht="25.5">
      <c r="A253" s="87" t="s">
        <v>208</v>
      </c>
      <c r="B253" s="102" t="s">
        <v>354</v>
      </c>
      <c r="C253" s="23">
        <f>C254+C255</f>
        <v>0</v>
      </c>
      <c r="D253" s="23">
        <f>D254+D255</f>
        <v>0</v>
      </c>
      <c r="E253" s="23">
        <f>E254+E255</f>
        <v>0</v>
      </c>
      <c r="F253" s="23">
        <f>F254+F255</f>
        <v>0</v>
      </c>
      <c r="G253" s="23">
        <f t="shared" si="53"/>
        <v>0</v>
      </c>
      <c r="H253" s="23"/>
      <c r="I253" s="23">
        <f>G253+H253</f>
        <v>0</v>
      </c>
      <c r="J253" s="23">
        <f>J254+J255</f>
        <v>0</v>
      </c>
      <c r="K253" s="23">
        <f>K254+K255</f>
        <v>0</v>
      </c>
      <c r="L253" s="23">
        <f>L254+L255</f>
        <v>512</v>
      </c>
      <c r="M253" s="23">
        <f>M254+M255</f>
        <v>0</v>
      </c>
      <c r="N253" s="23">
        <f t="shared" si="54"/>
        <v>512</v>
      </c>
      <c r="O253" s="23">
        <v>0</v>
      </c>
      <c r="P253" s="23">
        <v>0</v>
      </c>
      <c r="Q253" s="23">
        <f t="shared" si="51"/>
        <v>512</v>
      </c>
      <c r="R253" s="5">
        <f t="shared" si="40"/>
        <v>512</v>
      </c>
      <c r="S253" s="5">
        <f t="shared" si="41"/>
        <v>0</v>
      </c>
      <c r="T253" s="5"/>
      <c r="U253" s="5">
        <f t="shared" si="42"/>
        <v>0</v>
      </c>
      <c r="V253" s="5"/>
    </row>
    <row r="254" spans="1:22" s="3" customFormat="1" ht="38.25" hidden="1">
      <c r="A254" s="91">
        <v>5300</v>
      </c>
      <c r="B254" s="34" t="s">
        <v>315</v>
      </c>
      <c r="C254" s="33">
        <v>0</v>
      </c>
      <c r="D254" s="33">
        <v>0</v>
      </c>
      <c r="E254" s="33">
        <v>0</v>
      </c>
      <c r="F254" s="33">
        <v>0</v>
      </c>
      <c r="G254" s="33">
        <f t="shared" si="53"/>
        <v>0</v>
      </c>
      <c r="H254" s="33"/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f t="shared" si="54"/>
        <v>0</v>
      </c>
      <c r="O254" s="33">
        <v>0</v>
      </c>
      <c r="P254" s="33">
        <v>0</v>
      </c>
      <c r="Q254" s="33">
        <f t="shared" si="51"/>
        <v>0</v>
      </c>
      <c r="R254" s="5">
        <f t="shared" si="40"/>
        <v>0</v>
      </c>
      <c r="S254" s="5">
        <f t="shared" si="41"/>
        <v>0</v>
      </c>
      <c r="T254" s="5"/>
      <c r="U254" s="5">
        <f t="shared" si="42"/>
        <v>0</v>
      </c>
      <c r="V254" s="5"/>
    </row>
    <row r="255" spans="1:22" s="3" customFormat="1" ht="25.5">
      <c r="A255" s="91">
        <v>8000</v>
      </c>
      <c r="B255" s="34" t="s">
        <v>319</v>
      </c>
      <c r="C255" s="33">
        <f aca="true" t="shared" si="55" ref="C255:H255">C256+C257+C258+C259+C260+C261+C262</f>
        <v>0</v>
      </c>
      <c r="D255" s="33">
        <f t="shared" si="55"/>
        <v>0</v>
      </c>
      <c r="E255" s="33">
        <f t="shared" si="55"/>
        <v>0</v>
      </c>
      <c r="F255" s="33">
        <f t="shared" si="55"/>
        <v>0</v>
      </c>
      <c r="G255" s="33">
        <f t="shared" si="55"/>
        <v>0</v>
      </c>
      <c r="H255" s="33">
        <f t="shared" si="55"/>
        <v>0</v>
      </c>
      <c r="I255" s="33">
        <f aca="true" t="shared" si="56" ref="I255:I276">G255+H255</f>
        <v>0</v>
      </c>
      <c r="J255" s="33">
        <v>0</v>
      </c>
      <c r="K255" s="33">
        <v>0</v>
      </c>
      <c r="L255" s="33">
        <f>L259</f>
        <v>512</v>
      </c>
      <c r="M255" s="33">
        <v>0</v>
      </c>
      <c r="N255" s="33">
        <f>J255+K255+L255+M255</f>
        <v>512</v>
      </c>
      <c r="O255" s="33">
        <v>0</v>
      </c>
      <c r="P255" s="33">
        <v>0</v>
      </c>
      <c r="Q255" s="33">
        <f t="shared" si="51"/>
        <v>512</v>
      </c>
      <c r="R255" s="5">
        <f t="shared" si="40"/>
        <v>512</v>
      </c>
      <c r="S255" s="5">
        <f t="shared" si="41"/>
        <v>0</v>
      </c>
      <c r="T255" s="5"/>
      <c r="U255" s="5">
        <f t="shared" si="42"/>
        <v>0</v>
      </c>
      <c r="V255" s="5"/>
    </row>
    <row r="256" spans="1:22" s="3" customFormat="1" ht="25.5" hidden="1">
      <c r="A256" s="80" t="s">
        <v>337</v>
      </c>
      <c r="B256" s="81" t="s">
        <v>338</v>
      </c>
      <c r="C256" s="33"/>
      <c r="D256" s="33"/>
      <c r="E256" s="33"/>
      <c r="F256" s="33"/>
      <c r="G256" s="33">
        <f>C256+D256+E256+F256</f>
        <v>0</v>
      </c>
      <c r="H256" s="33"/>
      <c r="I256" s="33">
        <f t="shared" si="56"/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f aca="true" t="shared" si="57" ref="N256:N262">J256+K256+L256+M256</f>
        <v>0</v>
      </c>
      <c r="O256" s="33">
        <v>0</v>
      </c>
      <c r="P256" s="33">
        <v>0</v>
      </c>
      <c r="Q256" s="33">
        <f t="shared" si="51"/>
        <v>0</v>
      </c>
      <c r="R256" s="5">
        <f t="shared" si="40"/>
        <v>0</v>
      </c>
      <c r="S256" s="5">
        <f t="shared" si="41"/>
        <v>0</v>
      </c>
      <c r="T256" s="5"/>
      <c r="U256" s="5">
        <f t="shared" si="42"/>
        <v>0</v>
      </c>
      <c r="V256" s="5"/>
    </row>
    <row r="257" spans="1:22" s="3" customFormat="1" ht="38.25" hidden="1">
      <c r="A257" s="80" t="s">
        <v>339</v>
      </c>
      <c r="B257" s="81" t="s">
        <v>340</v>
      </c>
      <c r="C257" s="33"/>
      <c r="D257" s="33"/>
      <c r="E257" s="33"/>
      <c r="F257" s="33">
        <v>0</v>
      </c>
      <c r="G257" s="33">
        <f aca="true" t="shared" si="58" ref="G257:G262">C257+D257+E257+F257</f>
        <v>0</v>
      </c>
      <c r="H257" s="33"/>
      <c r="I257" s="33">
        <f t="shared" si="56"/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f t="shared" si="57"/>
        <v>0</v>
      </c>
      <c r="O257" s="33">
        <v>0</v>
      </c>
      <c r="P257" s="33">
        <v>0</v>
      </c>
      <c r="Q257" s="33">
        <f t="shared" si="51"/>
        <v>0</v>
      </c>
      <c r="R257" s="5">
        <f t="shared" si="40"/>
        <v>0</v>
      </c>
      <c r="S257" s="5">
        <f t="shared" si="41"/>
        <v>0</v>
      </c>
      <c r="T257" s="5"/>
      <c r="U257" s="5">
        <f t="shared" si="42"/>
        <v>0</v>
      </c>
      <c r="V257" s="5"/>
    </row>
    <row r="258" spans="1:22" s="3" customFormat="1" ht="25.5" hidden="1">
      <c r="A258" s="80" t="s">
        <v>341</v>
      </c>
      <c r="B258" s="82" t="s">
        <v>342</v>
      </c>
      <c r="C258" s="33"/>
      <c r="D258" s="33"/>
      <c r="E258" s="33"/>
      <c r="F258" s="33"/>
      <c r="G258" s="33">
        <f t="shared" si="58"/>
        <v>0</v>
      </c>
      <c r="H258" s="33"/>
      <c r="I258" s="33">
        <f t="shared" si="56"/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f t="shared" si="57"/>
        <v>0</v>
      </c>
      <c r="O258" s="33">
        <v>0</v>
      </c>
      <c r="P258" s="33">
        <v>0</v>
      </c>
      <c r="Q258" s="33">
        <f t="shared" si="51"/>
        <v>0</v>
      </c>
      <c r="R258" s="5">
        <f t="shared" si="40"/>
        <v>0</v>
      </c>
      <c r="S258" s="5">
        <f t="shared" si="41"/>
        <v>0</v>
      </c>
      <c r="T258" s="5"/>
      <c r="U258" s="5">
        <f t="shared" si="42"/>
        <v>0</v>
      </c>
      <c r="V258" s="5"/>
    </row>
    <row r="259" spans="1:22" s="3" customFormat="1" ht="25.5">
      <c r="A259" s="80" t="s">
        <v>343</v>
      </c>
      <c r="B259" s="82" t="s">
        <v>344</v>
      </c>
      <c r="C259" s="33"/>
      <c r="D259" s="33"/>
      <c r="E259" s="33"/>
      <c r="F259" s="33"/>
      <c r="G259" s="33">
        <f t="shared" si="58"/>
        <v>0</v>
      </c>
      <c r="H259" s="33"/>
      <c r="I259" s="33">
        <f t="shared" si="56"/>
        <v>0</v>
      </c>
      <c r="J259" s="33">
        <v>0</v>
      </c>
      <c r="K259" s="33">
        <v>0</v>
      </c>
      <c r="L259" s="33">
        <v>512</v>
      </c>
      <c r="M259" s="33">
        <v>0</v>
      </c>
      <c r="N259" s="33">
        <f t="shared" si="57"/>
        <v>512</v>
      </c>
      <c r="O259" s="33">
        <v>0</v>
      </c>
      <c r="P259" s="33">
        <v>0</v>
      </c>
      <c r="Q259" s="33">
        <f t="shared" si="51"/>
        <v>512</v>
      </c>
      <c r="R259" s="5">
        <f t="shared" si="40"/>
        <v>512</v>
      </c>
      <c r="S259" s="5">
        <f t="shared" si="41"/>
        <v>0</v>
      </c>
      <c r="T259" s="5"/>
      <c r="U259" s="5">
        <f t="shared" si="42"/>
        <v>0</v>
      </c>
      <c r="V259" s="5"/>
    </row>
    <row r="260" spans="1:22" s="3" customFormat="1" ht="25.5" hidden="1">
      <c r="A260" s="80" t="s">
        <v>345</v>
      </c>
      <c r="B260" s="82" t="s">
        <v>346</v>
      </c>
      <c r="C260" s="33"/>
      <c r="D260" s="33"/>
      <c r="E260" s="33"/>
      <c r="F260" s="33">
        <v>0</v>
      </c>
      <c r="G260" s="33">
        <f t="shared" si="58"/>
        <v>0</v>
      </c>
      <c r="H260" s="33"/>
      <c r="I260" s="33">
        <f t="shared" si="56"/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f t="shared" si="57"/>
        <v>0</v>
      </c>
      <c r="O260" s="33">
        <v>0</v>
      </c>
      <c r="P260" s="33">
        <v>0</v>
      </c>
      <c r="Q260" s="33">
        <f t="shared" si="51"/>
        <v>0</v>
      </c>
      <c r="R260" s="5">
        <f t="shared" si="40"/>
        <v>0</v>
      </c>
      <c r="S260" s="5">
        <f t="shared" si="41"/>
        <v>0</v>
      </c>
      <c r="T260" s="5"/>
      <c r="U260" s="5">
        <f t="shared" si="42"/>
        <v>0</v>
      </c>
      <c r="V260" s="5"/>
    </row>
    <row r="261" spans="1:22" s="3" customFormat="1" ht="12.75" hidden="1">
      <c r="A261" s="80" t="s">
        <v>347</v>
      </c>
      <c r="B261" s="81" t="s">
        <v>348</v>
      </c>
      <c r="C261" s="33"/>
      <c r="D261" s="33"/>
      <c r="E261" s="33"/>
      <c r="F261" s="33"/>
      <c r="G261" s="33">
        <f t="shared" si="58"/>
        <v>0</v>
      </c>
      <c r="H261" s="33"/>
      <c r="I261" s="33">
        <f t="shared" si="56"/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f t="shared" si="57"/>
        <v>0</v>
      </c>
      <c r="O261" s="33">
        <v>0</v>
      </c>
      <c r="P261" s="33">
        <v>0</v>
      </c>
      <c r="Q261" s="33">
        <f t="shared" si="51"/>
        <v>0</v>
      </c>
      <c r="R261" s="5">
        <f t="shared" si="40"/>
        <v>0</v>
      </c>
      <c r="S261" s="5">
        <f t="shared" si="41"/>
        <v>0</v>
      </c>
      <c r="T261" s="5"/>
      <c r="U261" s="5">
        <f t="shared" si="42"/>
        <v>0</v>
      </c>
      <c r="V261" s="5"/>
    </row>
    <row r="262" spans="1:22" s="3" customFormat="1" ht="38.25" hidden="1">
      <c r="A262" s="80" t="s">
        <v>349</v>
      </c>
      <c r="B262" s="81" t="s">
        <v>350</v>
      </c>
      <c r="C262" s="33"/>
      <c r="D262" s="33"/>
      <c r="E262" s="33"/>
      <c r="F262" s="33"/>
      <c r="G262" s="33">
        <f t="shared" si="58"/>
        <v>0</v>
      </c>
      <c r="H262" s="33"/>
      <c r="I262" s="33">
        <f t="shared" si="56"/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f t="shared" si="57"/>
        <v>0</v>
      </c>
      <c r="O262" s="33">
        <v>0</v>
      </c>
      <c r="P262" s="33">
        <v>0</v>
      </c>
      <c r="Q262" s="33">
        <f t="shared" si="51"/>
        <v>0</v>
      </c>
      <c r="R262" s="5">
        <f t="shared" si="40"/>
        <v>0</v>
      </c>
      <c r="S262" s="5">
        <f t="shared" si="41"/>
        <v>0</v>
      </c>
      <c r="T262" s="5"/>
      <c r="U262" s="5">
        <f t="shared" si="42"/>
        <v>0</v>
      </c>
      <c r="V262" s="5"/>
    </row>
    <row r="263" spans="1:22" s="3" customFormat="1" ht="12.75">
      <c r="A263" s="86"/>
      <c r="B263" s="49" t="s">
        <v>274</v>
      </c>
      <c r="C263" s="48">
        <f>C13-C145</f>
        <v>-676168577</v>
      </c>
      <c r="D263" s="48">
        <f>D13-D145</f>
        <v>-354787478</v>
      </c>
      <c r="E263" s="48">
        <f>E13-E145</f>
        <v>0</v>
      </c>
      <c r="F263" s="48">
        <f>F13-F145</f>
        <v>5635732</v>
      </c>
      <c r="G263" s="48">
        <f t="shared" si="53"/>
        <v>-1025320323</v>
      </c>
      <c r="H263" s="48">
        <f>H13-H145</f>
        <v>-68292</v>
      </c>
      <c r="I263" s="48">
        <f t="shared" si="56"/>
        <v>-1025388615</v>
      </c>
      <c r="J263" s="48">
        <f>J13-J145</f>
        <v>-576022884</v>
      </c>
      <c r="K263" s="48">
        <f>K13-K145</f>
        <v>-335761206</v>
      </c>
      <c r="L263" s="48">
        <f>L13-L145</f>
        <v>-1073660</v>
      </c>
      <c r="M263" s="48">
        <f>M13-M145</f>
        <v>41120972</v>
      </c>
      <c r="N263" s="48">
        <f>J263+K263+L263+M263</f>
        <v>-871736778</v>
      </c>
      <c r="O263" s="48">
        <f>O13-O145</f>
        <v>-299409</v>
      </c>
      <c r="P263" s="48">
        <f>P13-P145</f>
        <v>0</v>
      </c>
      <c r="Q263" s="48">
        <f t="shared" si="51"/>
        <v>-872036187</v>
      </c>
      <c r="R263" s="5">
        <f t="shared" si="40"/>
        <v>-872036187</v>
      </c>
      <c r="S263" s="5">
        <f t="shared" si="41"/>
        <v>0</v>
      </c>
      <c r="T263" s="5"/>
      <c r="U263" s="5">
        <f t="shared" si="42"/>
        <v>0</v>
      </c>
      <c r="V263" s="5"/>
    </row>
    <row r="264" spans="1:22" s="3" customFormat="1" ht="12.75">
      <c r="A264" s="86"/>
      <c r="B264" s="49" t="s">
        <v>61</v>
      </c>
      <c r="C264" s="48">
        <f aca="true" t="shared" si="59" ref="C264:H264">C13-C177</f>
        <v>-676168577</v>
      </c>
      <c r="D264" s="48">
        <f t="shared" si="59"/>
        <v>-354787478</v>
      </c>
      <c r="E264" s="48">
        <f t="shared" si="59"/>
        <v>0</v>
      </c>
      <c r="F264" s="48">
        <f t="shared" si="59"/>
        <v>5635732</v>
      </c>
      <c r="G264" s="48">
        <f t="shared" si="59"/>
        <v>-1025320323</v>
      </c>
      <c r="H264" s="48">
        <f t="shared" si="59"/>
        <v>-68292</v>
      </c>
      <c r="I264" s="48">
        <f t="shared" si="56"/>
        <v>-1025388615</v>
      </c>
      <c r="J264" s="48">
        <f aca="true" t="shared" si="60" ref="J264:P264">J13-J177</f>
        <v>-576022884</v>
      </c>
      <c r="K264" s="48">
        <f t="shared" si="60"/>
        <v>-335761206</v>
      </c>
      <c r="L264" s="48">
        <f t="shared" si="60"/>
        <v>-1073660</v>
      </c>
      <c r="M264" s="48">
        <f t="shared" si="60"/>
        <v>41120972</v>
      </c>
      <c r="N264" s="48">
        <f t="shared" si="60"/>
        <v>-871736778</v>
      </c>
      <c r="O264" s="48">
        <f t="shared" si="60"/>
        <v>-299409</v>
      </c>
      <c r="P264" s="48">
        <f t="shared" si="60"/>
        <v>0</v>
      </c>
      <c r="Q264" s="48">
        <f t="shared" si="51"/>
        <v>-872036187</v>
      </c>
      <c r="R264" s="5">
        <f t="shared" si="40"/>
        <v>-872036187</v>
      </c>
      <c r="S264" s="5">
        <f t="shared" si="41"/>
        <v>0</v>
      </c>
      <c r="T264" s="5"/>
      <c r="U264" s="5">
        <f>C264+D264+E264+F264+H264-I264</f>
        <v>0</v>
      </c>
      <c r="V264" s="5"/>
    </row>
    <row r="265" spans="1:22" s="3" customFormat="1" ht="12.75">
      <c r="A265" s="86"/>
      <c r="B265" s="49" t="s">
        <v>275</v>
      </c>
      <c r="C265" s="48">
        <f aca="true" t="shared" si="61" ref="C265:H265">C266+C269+C270+C271+C273+C275+C276</f>
        <v>676168577</v>
      </c>
      <c r="D265" s="48">
        <f t="shared" si="61"/>
        <v>354787478</v>
      </c>
      <c r="E265" s="48">
        <f t="shared" si="61"/>
        <v>0</v>
      </c>
      <c r="F265" s="48">
        <f t="shared" si="61"/>
        <v>-5635732</v>
      </c>
      <c r="G265" s="48">
        <f t="shared" si="61"/>
        <v>1025320323</v>
      </c>
      <c r="H265" s="48">
        <f t="shared" si="61"/>
        <v>68292</v>
      </c>
      <c r="I265" s="48">
        <f t="shared" si="56"/>
        <v>1025388615</v>
      </c>
      <c r="J265" s="48">
        <f aca="true" t="shared" si="62" ref="J265:P265">J266+J269+J270+J271+J273+J275+J276</f>
        <v>576022884</v>
      </c>
      <c r="K265" s="48">
        <f t="shared" si="62"/>
        <v>335761206</v>
      </c>
      <c r="L265" s="48">
        <f t="shared" si="62"/>
        <v>1073660</v>
      </c>
      <c r="M265" s="48">
        <f t="shared" si="62"/>
        <v>-41120972</v>
      </c>
      <c r="N265" s="48">
        <f>N266+N269+N270+N271+N273+N275+N276</f>
        <v>871736778</v>
      </c>
      <c r="O265" s="48">
        <f>O266+O269+O270+O271+O273+O275+O276</f>
        <v>299409</v>
      </c>
      <c r="P265" s="48">
        <f t="shared" si="62"/>
        <v>0</v>
      </c>
      <c r="Q265" s="48">
        <f t="shared" si="51"/>
        <v>872036187</v>
      </c>
      <c r="R265" s="5">
        <f t="shared" si="40"/>
        <v>872036187</v>
      </c>
      <c r="S265" s="5">
        <f t="shared" si="41"/>
        <v>0</v>
      </c>
      <c r="T265" s="5"/>
      <c r="U265" s="5">
        <f>C265+D265+E265+F265+H265-I265</f>
        <v>0</v>
      </c>
      <c r="V265" s="5"/>
    </row>
    <row r="266" spans="1:22" s="3" customFormat="1" ht="12.75">
      <c r="A266" s="97" t="s">
        <v>276</v>
      </c>
      <c r="B266" s="50" t="s">
        <v>353</v>
      </c>
      <c r="C266" s="51">
        <v>231793756</v>
      </c>
      <c r="D266" s="52">
        <v>354997474</v>
      </c>
      <c r="E266" s="51"/>
      <c r="F266" s="51">
        <v>-4827856</v>
      </c>
      <c r="G266" s="52">
        <f>C266+D266+E266+F266</f>
        <v>581963374</v>
      </c>
      <c r="H266" s="51">
        <f>H268</f>
        <v>68292</v>
      </c>
      <c r="I266" s="52">
        <f t="shared" si="56"/>
        <v>582031666</v>
      </c>
      <c r="J266" s="51">
        <f>(-J264)-J269-J270-J271-J273</f>
        <v>95230349</v>
      </c>
      <c r="K266" s="52">
        <v>335713530</v>
      </c>
      <c r="L266" s="51">
        <v>1299765</v>
      </c>
      <c r="M266" s="51">
        <v>-38667465</v>
      </c>
      <c r="N266" s="52">
        <f>J266+K266+L266+M266</f>
        <v>393576179</v>
      </c>
      <c r="O266" s="52">
        <f>O267+O268</f>
        <v>299409</v>
      </c>
      <c r="P266" s="51">
        <f>P268</f>
        <v>0</v>
      </c>
      <c r="Q266" s="52">
        <f t="shared" si="51"/>
        <v>393875588</v>
      </c>
      <c r="R266" s="5">
        <f t="shared" si="40"/>
        <v>393875588</v>
      </c>
      <c r="S266" s="5">
        <f t="shared" si="41"/>
        <v>0</v>
      </c>
      <c r="T266" s="5"/>
      <c r="U266" s="5">
        <f>C266+D266+E266+F266+H266-I266</f>
        <v>0</v>
      </c>
      <c r="V266" s="5"/>
    </row>
    <row r="267" spans="1:22" s="121" customFormat="1" ht="12.75">
      <c r="A267" s="116"/>
      <c r="B267" s="117" t="s">
        <v>375</v>
      </c>
      <c r="C267" s="118"/>
      <c r="D267" s="118"/>
      <c r="E267" s="118"/>
      <c r="F267" s="118"/>
      <c r="G267" s="119"/>
      <c r="H267" s="118"/>
      <c r="I267" s="120"/>
      <c r="J267" s="120">
        <f>-259763+33206</f>
        <v>-226557</v>
      </c>
      <c r="K267" s="120"/>
      <c r="L267" s="120">
        <v>-20948</v>
      </c>
      <c r="M267" s="120"/>
      <c r="N267" s="120">
        <f>J267+L267</f>
        <v>-247505</v>
      </c>
      <c r="O267" s="120">
        <f>-N267</f>
        <v>247505</v>
      </c>
      <c r="P267" s="120"/>
      <c r="Q267" s="120">
        <f t="shared" si="51"/>
        <v>0</v>
      </c>
      <c r="R267" s="5">
        <f t="shared" si="40"/>
        <v>0</v>
      </c>
      <c r="S267" s="5">
        <f t="shared" si="41"/>
        <v>0</v>
      </c>
      <c r="T267" s="5"/>
      <c r="U267" s="5">
        <f>C267+D267+E267+F267-H267-I267</f>
        <v>0</v>
      </c>
      <c r="V267" s="5"/>
    </row>
    <row r="268" spans="1:22" s="3" customFormat="1" ht="12.75">
      <c r="A268" s="96"/>
      <c r="B268" s="76" t="s">
        <v>336</v>
      </c>
      <c r="C268" s="77">
        <v>68292</v>
      </c>
      <c r="D268" s="77"/>
      <c r="E268" s="77"/>
      <c r="F268" s="77"/>
      <c r="G268" s="78">
        <f>C268</f>
        <v>68292</v>
      </c>
      <c r="H268" s="77">
        <f>G268</f>
        <v>68292</v>
      </c>
      <c r="I268" s="79">
        <v>0</v>
      </c>
      <c r="J268" s="79">
        <v>51904</v>
      </c>
      <c r="K268" s="79">
        <v>0</v>
      </c>
      <c r="L268" s="79">
        <v>0</v>
      </c>
      <c r="M268" s="79">
        <v>0</v>
      </c>
      <c r="N268" s="79">
        <f>J268+K268+L268+M268</f>
        <v>51904</v>
      </c>
      <c r="O268" s="79">
        <f>N268</f>
        <v>51904</v>
      </c>
      <c r="P268" s="79">
        <v>0</v>
      </c>
      <c r="Q268" s="79">
        <f t="shared" si="51"/>
        <v>103808</v>
      </c>
      <c r="R268" s="5">
        <f t="shared" si="40"/>
        <v>103808</v>
      </c>
      <c r="S268" s="5">
        <f t="shared" si="41"/>
        <v>0</v>
      </c>
      <c r="T268" s="5"/>
      <c r="U268" s="5">
        <f>C268+D268+E268+F268-H268-I268</f>
        <v>0</v>
      </c>
      <c r="V268" s="5"/>
    </row>
    <row r="269" spans="1:22" s="3" customFormat="1" ht="25.5">
      <c r="A269" s="97" t="s">
        <v>279</v>
      </c>
      <c r="B269" s="50" t="s">
        <v>62</v>
      </c>
      <c r="C269" s="51"/>
      <c r="D269" s="52"/>
      <c r="E269" s="51"/>
      <c r="F269" s="51"/>
      <c r="G269" s="52">
        <f aca="true" t="shared" si="63" ref="G269:G276">C269+D269+E269+F269</f>
        <v>0</v>
      </c>
      <c r="H269" s="51"/>
      <c r="I269" s="52">
        <f t="shared" si="56"/>
        <v>0</v>
      </c>
      <c r="J269" s="51">
        <v>0</v>
      </c>
      <c r="K269" s="51">
        <v>0</v>
      </c>
      <c r="L269" s="51">
        <v>0</v>
      </c>
      <c r="M269" s="51">
        <v>0</v>
      </c>
      <c r="N269" s="52">
        <f aca="true" t="shared" si="64" ref="N269:N276">J269+K269+L269+M269</f>
        <v>0</v>
      </c>
      <c r="O269" s="52">
        <v>0</v>
      </c>
      <c r="P269" s="51">
        <v>0</v>
      </c>
      <c r="Q269" s="52">
        <f t="shared" si="51"/>
        <v>0</v>
      </c>
      <c r="R269" s="5">
        <f t="shared" si="40"/>
        <v>0</v>
      </c>
      <c r="S269" s="5">
        <f t="shared" si="41"/>
        <v>0</v>
      </c>
      <c r="T269" s="5"/>
      <c r="U269" s="5">
        <f>C269+D269+E269+F269-H269-I269</f>
        <v>0</v>
      </c>
      <c r="V269" s="5"/>
    </row>
    <row r="270" spans="1:22" s="3" customFormat="1" ht="12.75">
      <c r="A270" s="97" t="s">
        <v>280</v>
      </c>
      <c r="B270" s="50" t="s">
        <v>63</v>
      </c>
      <c r="C270" s="51"/>
      <c r="D270" s="52"/>
      <c r="E270" s="51"/>
      <c r="F270" s="51"/>
      <c r="G270" s="52">
        <f t="shared" si="63"/>
        <v>0</v>
      </c>
      <c r="H270" s="51"/>
      <c r="I270" s="52">
        <f t="shared" si="56"/>
        <v>0</v>
      </c>
      <c r="J270" s="138">
        <v>-3355969</v>
      </c>
      <c r="K270" s="51">
        <v>0</v>
      </c>
      <c r="L270" s="51">
        <v>0</v>
      </c>
      <c r="M270" s="51">
        <v>0</v>
      </c>
      <c r="N270" s="52">
        <f t="shared" si="64"/>
        <v>-3355969</v>
      </c>
      <c r="O270" s="52">
        <v>0</v>
      </c>
      <c r="P270" s="51">
        <v>0</v>
      </c>
      <c r="Q270" s="52">
        <f t="shared" si="51"/>
        <v>-3355969</v>
      </c>
      <c r="R270" s="5">
        <f aca="true" t="shared" si="65" ref="R270:R276">J270+K270+L270+M270+O270+P270</f>
        <v>-3355969</v>
      </c>
      <c r="S270" s="5">
        <f>Q270-R270</f>
        <v>0</v>
      </c>
      <c r="T270" s="5"/>
      <c r="U270" s="5">
        <f>C270+D270+E270+F270-H270-I270</f>
        <v>0</v>
      </c>
      <c r="V270" s="5"/>
    </row>
    <row r="271" spans="1:22" s="3" customFormat="1" ht="12.75">
      <c r="A271" s="97" t="s">
        <v>278</v>
      </c>
      <c r="B271" s="50" t="s">
        <v>64</v>
      </c>
      <c r="C271" s="51">
        <v>652374821</v>
      </c>
      <c r="D271" s="52">
        <v>-209996</v>
      </c>
      <c r="E271" s="51"/>
      <c r="F271" s="51">
        <v>-1177756</v>
      </c>
      <c r="G271" s="52">
        <f t="shared" si="63"/>
        <v>650987069</v>
      </c>
      <c r="H271" s="51">
        <f>209996+2603640</f>
        <v>2813636</v>
      </c>
      <c r="I271" s="52">
        <f t="shared" si="56"/>
        <v>653800705</v>
      </c>
      <c r="J271" s="51">
        <v>670665638</v>
      </c>
      <c r="K271" s="52">
        <v>-209996</v>
      </c>
      <c r="L271" s="51">
        <v>0</v>
      </c>
      <c r="M271" s="51">
        <v>-1156104</v>
      </c>
      <c r="N271" s="52">
        <f t="shared" si="64"/>
        <v>669299538</v>
      </c>
      <c r="O271" s="52">
        <v>0</v>
      </c>
      <c r="P271" s="51">
        <f>P272</f>
        <v>1360786</v>
      </c>
      <c r="Q271" s="52">
        <f t="shared" si="51"/>
        <v>670660324</v>
      </c>
      <c r="R271" s="5">
        <f t="shared" si="65"/>
        <v>670660324</v>
      </c>
      <c r="S271" s="5">
        <f>Q271-R271</f>
        <v>0</v>
      </c>
      <c r="T271" s="5"/>
      <c r="U271" s="5">
        <f>C271+D271+E271+F271+H271-I271</f>
        <v>0</v>
      </c>
      <c r="V271" s="5"/>
    </row>
    <row r="272" spans="1:22" s="3" customFormat="1" ht="12.75">
      <c r="A272" s="142"/>
      <c r="B272" s="143" t="s">
        <v>379</v>
      </c>
      <c r="C272" s="144"/>
      <c r="D272" s="145"/>
      <c r="E272" s="144"/>
      <c r="F272" s="144"/>
      <c r="G272" s="145"/>
      <c r="H272" s="144"/>
      <c r="I272" s="145"/>
      <c r="J272" s="144"/>
      <c r="K272" s="145">
        <v>-209996</v>
      </c>
      <c r="L272" s="144"/>
      <c r="M272" s="144">
        <v>-1150790</v>
      </c>
      <c r="N272" s="145">
        <f>K272+M272</f>
        <v>-1360786</v>
      </c>
      <c r="O272" s="145"/>
      <c r="P272" s="144">
        <f>209996+1210104-59314</f>
        <v>1360786</v>
      </c>
      <c r="Q272" s="145">
        <f>N272+P272</f>
        <v>0</v>
      </c>
      <c r="R272" s="5">
        <f t="shared" si="65"/>
        <v>0</v>
      </c>
      <c r="S272" s="5"/>
      <c r="T272" s="5"/>
      <c r="U272" s="5"/>
      <c r="V272" s="5"/>
    </row>
    <row r="273" spans="1:22" s="3" customFormat="1" ht="12.75">
      <c r="A273" s="97" t="s">
        <v>277</v>
      </c>
      <c r="B273" s="50" t="s">
        <v>65</v>
      </c>
      <c r="C273" s="51">
        <v>-208000000</v>
      </c>
      <c r="D273" s="52"/>
      <c r="E273" s="51"/>
      <c r="F273" s="51"/>
      <c r="G273" s="52">
        <f t="shared" si="63"/>
        <v>-208000000</v>
      </c>
      <c r="H273" s="51">
        <f>-H271</f>
        <v>-2813636</v>
      </c>
      <c r="I273" s="52">
        <f t="shared" si="56"/>
        <v>-210813636</v>
      </c>
      <c r="J273" s="51">
        <v>-186517134</v>
      </c>
      <c r="K273" s="52">
        <v>0</v>
      </c>
      <c r="L273" s="51">
        <v>0</v>
      </c>
      <c r="M273" s="51">
        <v>0</v>
      </c>
      <c r="N273" s="52">
        <f t="shared" si="64"/>
        <v>-186517134</v>
      </c>
      <c r="O273" s="52">
        <v>0</v>
      </c>
      <c r="P273" s="51">
        <f>P274</f>
        <v>-1360786</v>
      </c>
      <c r="Q273" s="52">
        <f t="shared" si="51"/>
        <v>-187877920</v>
      </c>
      <c r="R273" s="5">
        <f t="shared" si="65"/>
        <v>-187877920</v>
      </c>
      <c r="S273" s="5">
        <f>Q273-R273</f>
        <v>0</v>
      </c>
      <c r="T273" s="5"/>
      <c r="U273" s="5">
        <f>C273+D273+E273+F273+H273-I273</f>
        <v>0</v>
      </c>
      <c r="V273" s="5"/>
    </row>
    <row r="274" spans="1:22" s="3" customFormat="1" ht="12.75">
      <c r="A274" s="142"/>
      <c r="B274" s="143" t="s">
        <v>380</v>
      </c>
      <c r="C274" s="144"/>
      <c r="D274" s="145"/>
      <c r="E274" s="144"/>
      <c r="F274" s="144"/>
      <c r="G274" s="145"/>
      <c r="H274" s="144"/>
      <c r="I274" s="145"/>
      <c r="J274" s="144">
        <f>1360786</f>
        <v>1360786</v>
      </c>
      <c r="K274" s="145"/>
      <c r="L274" s="144"/>
      <c r="M274" s="144"/>
      <c r="N274" s="145">
        <f>J274</f>
        <v>1360786</v>
      </c>
      <c r="O274" s="145"/>
      <c r="P274" s="144">
        <f>-P272</f>
        <v>-1360786</v>
      </c>
      <c r="Q274" s="145">
        <f>N274+P274</f>
        <v>0</v>
      </c>
      <c r="R274" s="5">
        <f t="shared" si="65"/>
        <v>0</v>
      </c>
      <c r="S274" s="5"/>
      <c r="T274" s="5"/>
      <c r="U274" s="5"/>
      <c r="V274" s="5"/>
    </row>
    <row r="275" spans="1:22" s="3" customFormat="1" ht="25.5">
      <c r="A275" s="97" t="s">
        <v>281</v>
      </c>
      <c r="B275" s="50" t="s">
        <v>244</v>
      </c>
      <c r="C275" s="51">
        <v>0</v>
      </c>
      <c r="D275" s="52">
        <v>0</v>
      </c>
      <c r="E275" s="51"/>
      <c r="F275" s="51">
        <f>369880-F276</f>
        <v>-120</v>
      </c>
      <c r="G275" s="52">
        <f t="shared" si="63"/>
        <v>-120</v>
      </c>
      <c r="H275" s="51"/>
      <c r="I275" s="52">
        <f t="shared" si="56"/>
        <v>-120</v>
      </c>
      <c r="J275" s="51">
        <v>0</v>
      </c>
      <c r="K275" s="52">
        <v>257672</v>
      </c>
      <c r="L275" s="51">
        <v>-226105</v>
      </c>
      <c r="M275" s="51">
        <v>-1667403</v>
      </c>
      <c r="N275" s="52">
        <f t="shared" si="64"/>
        <v>-1635836</v>
      </c>
      <c r="O275" s="52">
        <v>0</v>
      </c>
      <c r="P275" s="51">
        <v>0</v>
      </c>
      <c r="Q275" s="52">
        <f t="shared" si="51"/>
        <v>-1635836</v>
      </c>
      <c r="R275" s="5">
        <f t="shared" si="65"/>
        <v>-1635836</v>
      </c>
      <c r="S275" s="5">
        <f>Q275-R275</f>
        <v>0</v>
      </c>
      <c r="T275" s="5"/>
      <c r="U275" s="5">
        <f>C275+D275+E275+F275-H275-I275</f>
        <v>0</v>
      </c>
      <c r="V275" s="5"/>
    </row>
    <row r="276" spans="1:22" s="3" customFormat="1" ht="12.75">
      <c r="A276" s="97" t="s">
        <v>282</v>
      </c>
      <c r="B276" s="50" t="s">
        <v>66</v>
      </c>
      <c r="C276" s="51">
        <v>0</v>
      </c>
      <c r="D276" s="52"/>
      <c r="E276" s="51"/>
      <c r="F276" s="51">
        <v>370000</v>
      </c>
      <c r="G276" s="52">
        <f t="shared" si="63"/>
        <v>370000</v>
      </c>
      <c r="H276" s="51"/>
      <c r="I276" s="52">
        <f t="shared" si="56"/>
        <v>370000</v>
      </c>
      <c r="J276" s="51">
        <v>0</v>
      </c>
      <c r="K276" s="52">
        <v>0</v>
      </c>
      <c r="L276" s="51">
        <v>0</v>
      </c>
      <c r="M276" s="51">
        <v>370000</v>
      </c>
      <c r="N276" s="52">
        <f t="shared" si="64"/>
        <v>370000</v>
      </c>
      <c r="O276" s="52">
        <v>0</v>
      </c>
      <c r="P276" s="51">
        <v>0</v>
      </c>
      <c r="Q276" s="52">
        <f t="shared" si="51"/>
        <v>370000</v>
      </c>
      <c r="R276" s="5">
        <f t="shared" si="65"/>
        <v>370000</v>
      </c>
      <c r="S276" s="5">
        <f>Q276-R276</f>
        <v>0</v>
      </c>
      <c r="T276" s="5"/>
      <c r="U276" s="5">
        <f>C276+D276+E276+F276-H276-I276</f>
        <v>0</v>
      </c>
      <c r="V276" s="5"/>
    </row>
    <row r="277" spans="1:17" s="3" customFormat="1" ht="12.75">
      <c r="A277" s="99"/>
      <c r="B277" s="100"/>
      <c r="C277" s="101"/>
      <c r="D277" s="98"/>
      <c r="E277" s="101"/>
      <c r="F277" s="101"/>
      <c r="G277" s="98"/>
      <c r="H277" s="101"/>
      <c r="I277" s="98"/>
      <c r="J277" s="101"/>
      <c r="K277" s="98"/>
      <c r="L277" s="101"/>
      <c r="M277" s="101"/>
      <c r="N277" s="98"/>
      <c r="O277" s="98"/>
      <c r="P277" s="101"/>
      <c r="Q277" s="98"/>
    </row>
    <row r="278" spans="1:17" s="3" customFormat="1" ht="12.75">
      <c r="A278" s="99"/>
      <c r="B278" s="100"/>
      <c r="C278" s="101"/>
      <c r="D278" s="98"/>
      <c r="E278" s="101"/>
      <c r="F278" s="101"/>
      <c r="G278" s="98"/>
      <c r="H278" s="101"/>
      <c r="I278" s="98"/>
      <c r="J278" s="101"/>
      <c r="K278" s="98"/>
      <c r="L278" s="101"/>
      <c r="M278" s="101"/>
      <c r="N278" s="98"/>
      <c r="O278" s="98"/>
      <c r="P278" s="101"/>
      <c r="Q278" s="98"/>
    </row>
    <row r="279" spans="1:15" s="3" customFormat="1" ht="12.75">
      <c r="A279" s="3" t="s">
        <v>352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3:15" s="3" customFormat="1" ht="35.25" customHeight="1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s="3" customFormat="1" ht="25.5">
      <c r="A281" s="146"/>
      <c r="B281" s="147" t="s">
        <v>381</v>
      </c>
      <c r="C281" s="5"/>
      <c r="D281" s="148"/>
      <c r="E281" s="149"/>
      <c r="G281" s="150"/>
      <c r="H281" s="151"/>
      <c r="I281" s="5"/>
      <c r="J281" s="5"/>
      <c r="M281" s="150"/>
      <c r="N281" s="5" t="s">
        <v>382</v>
      </c>
      <c r="O281" s="5"/>
    </row>
    <row r="282" spans="1:15" s="3" customFormat="1" ht="12.75">
      <c r="A282" s="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8" s="3" customFormat="1" ht="12.75">
      <c r="A283" s="12" t="s">
        <v>318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5" s="3" customFormat="1" ht="12.75">
      <c r="A284" s="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s="3" customFormat="1" ht="12.75">
      <c r="A285" s="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s="3" customFormat="1" ht="12.75">
      <c r="A286" s="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s="3" customFormat="1" ht="12.75">
      <c r="A287" s="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s="3" customFormat="1" ht="12.75">
      <c r="A288" s="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s="3" customFormat="1" ht="12.75">
      <c r="A289" s="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s="3" customFormat="1" ht="12.75">
      <c r="A290" s="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s="3" customFormat="1" ht="12.75">
      <c r="A291" s="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s="3" customFormat="1" ht="12.75">
      <c r="A292" s="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s="3" customFormat="1" ht="12.75">
      <c r="A293" s="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s="3" customFormat="1" ht="12.75">
      <c r="A294" s="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s="3" customFormat="1" ht="12.75">
      <c r="A295" s="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s="3" customFormat="1" ht="12.75">
      <c r="A296" s="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s="3" customFormat="1" ht="12.75">
      <c r="A297" s="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s="3" customFormat="1" ht="12.75">
      <c r="A298" s="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s="3" customFormat="1" ht="12.75">
      <c r="A299" s="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s="3" customFormat="1" ht="12.75">
      <c r="A300" s="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s="3" customFormat="1" ht="12.75">
      <c r="A301" s="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s="3" customFormat="1" ht="12.75">
      <c r="A302" s="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s="3" customFormat="1" ht="12.75">
      <c r="A303" s="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s="3" customFormat="1" ht="12.75">
      <c r="A304" s="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s="3" customFormat="1" ht="12.75">
      <c r="A305" s="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s="3" customFormat="1" ht="12.75">
      <c r="A306" s="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s="3" customFormat="1" ht="12.75">
      <c r="A307" s="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s="3" customFormat="1" ht="12.75">
      <c r="A308" s="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s="3" customFormat="1" ht="12.75">
      <c r="A309" s="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s="3" customFormat="1" ht="12.75">
      <c r="A310" s="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s="3" customFormat="1" ht="12.75">
      <c r="A311" s="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s="3" customFormat="1" ht="12.75">
      <c r="A312" s="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s="3" customFormat="1" ht="12.75">
      <c r="A313" s="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s="3" customFormat="1" ht="12.75">
      <c r="A314" s="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s="3" customFormat="1" ht="12.75">
      <c r="A315" s="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s="3" customFormat="1" ht="12.75">
      <c r="A316" s="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s="3" customFormat="1" ht="12.75">
      <c r="A317" s="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s="3" customFormat="1" ht="12.75">
      <c r="A318" s="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s="3" customFormat="1" ht="12.75">
      <c r="A319" s="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s="3" customFormat="1" ht="12.75">
      <c r="A320" s="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s="3" customFormat="1" ht="12.75">
      <c r="A321" s="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s="3" customFormat="1" ht="12.75">
      <c r="A322" s="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s="3" customFormat="1" ht="12.75">
      <c r="A323" s="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s="3" customFormat="1" ht="12.75">
      <c r="A324" s="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s="3" customFormat="1" ht="12.75">
      <c r="A325" s="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s="3" customFormat="1" ht="12.75">
      <c r="A326" s="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s="3" customFormat="1" ht="12.75">
      <c r="A327" s="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s="3" customFormat="1" ht="12.75">
      <c r="A328" s="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s="3" customFormat="1" ht="12.75">
      <c r="A329" s="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s="3" customFormat="1" ht="12.75">
      <c r="A330" s="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s="3" customFormat="1" ht="12.75">
      <c r="A331" s="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s="3" customFormat="1" ht="12.75">
      <c r="A332" s="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s="3" customFormat="1" ht="12.75">
      <c r="A333" s="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s="3" customFormat="1" ht="12.75">
      <c r="A334" s="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s="3" customFormat="1" ht="12.75">
      <c r="A335" s="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s="3" customFormat="1" ht="12.75">
      <c r="A336" s="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s="3" customFormat="1" ht="12.75">
      <c r="A337" s="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s="3" customFormat="1" ht="12.75">
      <c r="A338" s="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s="3" customFormat="1" ht="12.75">
      <c r="A339" s="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s="3" customFormat="1" ht="12.75">
      <c r="A340" s="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s="3" customFormat="1" ht="12.75">
      <c r="A341" s="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s="3" customFormat="1" ht="12.75">
      <c r="A342" s="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s="3" customFormat="1" ht="12.75">
      <c r="A343" s="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s="3" customFormat="1" ht="12.75">
      <c r="A344" s="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s="3" customFormat="1" ht="12.75">
      <c r="A345" s="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s="3" customFormat="1" ht="12.75">
      <c r="A346" s="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s="3" customFormat="1" ht="12.75">
      <c r="A347" s="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s="3" customFormat="1" ht="12.75">
      <c r="A348" s="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s="3" customFormat="1" ht="12.75">
      <c r="A349" s="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s="3" customFormat="1" ht="12.75">
      <c r="A350" s="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s="3" customFormat="1" ht="12.75">
      <c r="A351" s="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s="3" customFormat="1" ht="12.75">
      <c r="A352" s="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s="3" customFormat="1" ht="12.75">
      <c r="A353" s="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s="3" customFormat="1" ht="12.75">
      <c r="A354" s="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s="3" customFormat="1" ht="12.75">
      <c r="A355" s="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s="3" customFormat="1" ht="12.75">
      <c r="A356" s="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s="3" customFormat="1" ht="12.75">
      <c r="A357" s="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s="3" customFormat="1" ht="12.75">
      <c r="A358" s="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s="3" customFormat="1" ht="12.75">
      <c r="A359" s="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s="3" customFormat="1" ht="12.75">
      <c r="A360" s="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s="3" customFormat="1" ht="12.75">
      <c r="A361" s="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s="3" customFormat="1" ht="12.75">
      <c r="A362" s="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s="3" customFormat="1" ht="12.75">
      <c r="A363" s="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s="3" customFormat="1" ht="12.75">
      <c r="A364" s="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s="3" customFormat="1" ht="12.75">
      <c r="A365" s="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s="3" customFormat="1" ht="12.75">
      <c r="A366" s="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s="3" customFormat="1" ht="12.75">
      <c r="A367" s="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s="3" customFormat="1" ht="12.75">
      <c r="A368" s="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s="3" customFormat="1" ht="12.75">
      <c r="A369" s="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s="3" customFormat="1" ht="12.75">
      <c r="A370" s="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s="3" customFormat="1" ht="12.75">
      <c r="A371" s="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s="3" customFormat="1" ht="12.75">
      <c r="A372" s="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s="3" customFormat="1" ht="12.75">
      <c r="A373" s="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s="3" customFormat="1" ht="12.75">
      <c r="A374" s="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s="3" customFormat="1" ht="12.75">
      <c r="A375" s="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s="3" customFormat="1" ht="12.75">
      <c r="A376" s="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s="3" customFormat="1" ht="12.75">
      <c r="A377" s="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s="3" customFormat="1" ht="12.75">
      <c r="A378" s="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s="3" customFormat="1" ht="12.75">
      <c r="A379" s="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s="3" customFormat="1" ht="12.75">
      <c r="A380" s="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s="3" customFormat="1" ht="12.75">
      <c r="A381" s="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s="3" customFormat="1" ht="12.75">
      <c r="A382" s="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s="3" customFormat="1" ht="12.75">
      <c r="A383" s="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s="3" customFormat="1" ht="12.75">
      <c r="A384" s="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s="3" customFormat="1" ht="12.75">
      <c r="A385" s="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s="3" customFormat="1" ht="12.75">
      <c r="A386" s="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s="3" customFormat="1" ht="12.75">
      <c r="A387" s="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s="3" customFormat="1" ht="12.75">
      <c r="A388" s="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s="3" customFormat="1" ht="12.75">
      <c r="A389" s="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s="3" customFormat="1" ht="12.75">
      <c r="A390" s="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s="3" customFormat="1" ht="12.75">
      <c r="A391" s="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s="3" customFormat="1" ht="12.75">
      <c r="A392" s="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s="3" customFormat="1" ht="12.75">
      <c r="A393" s="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s="3" customFormat="1" ht="12.75">
      <c r="A394" s="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s="3" customFormat="1" ht="12.75">
      <c r="A395" s="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s="3" customFormat="1" ht="12.75">
      <c r="A396" s="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s="3" customFormat="1" ht="12.75">
      <c r="A397" s="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s="3" customFormat="1" ht="12.75">
      <c r="A398" s="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s="3" customFormat="1" ht="12.75">
      <c r="A399" s="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s="3" customFormat="1" ht="12.75">
      <c r="A400" s="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s="3" customFormat="1" ht="12.75">
      <c r="A401" s="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s="3" customFormat="1" ht="12.75">
      <c r="A402" s="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s="3" customFormat="1" ht="12.75">
      <c r="A403" s="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s="3" customFormat="1" ht="12.75">
      <c r="A404" s="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s="3" customFormat="1" ht="12.75">
      <c r="A405" s="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s="3" customFormat="1" ht="12.75">
      <c r="A406" s="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s="3" customFormat="1" ht="12.75">
      <c r="A407" s="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s="3" customFormat="1" ht="12.75">
      <c r="A408" s="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s="3" customFormat="1" ht="12.75">
      <c r="A409" s="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s="3" customFormat="1" ht="12.75">
      <c r="A410" s="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s="3" customFormat="1" ht="12.75">
      <c r="A411" s="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s="3" customFormat="1" ht="12.75">
      <c r="A412" s="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s="3" customFormat="1" ht="12.75">
      <c r="A413" s="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s="3" customFormat="1" ht="12.75">
      <c r="A414" s="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s="3" customFormat="1" ht="12.75">
      <c r="A415" s="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s="3" customFormat="1" ht="12.75">
      <c r="A416" s="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s="3" customFormat="1" ht="12.75">
      <c r="A417" s="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s="3" customFormat="1" ht="12.75">
      <c r="A418" s="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s="3" customFormat="1" ht="12.75">
      <c r="A419" s="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s="3" customFormat="1" ht="12.75">
      <c r="A420" s="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s="3" customFormat="1" ht="12.75">
      <c r="A421" s="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s="3" customFormat="1" ht="12.75">
      <c r="A422" s="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s="3" customFormat="1" ht="12.75">
      <c r="A423" s="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s="3" customFormat="1" ht="12.75">
      <c r="A424" s="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s="3" customFormat="1" ht="12.75">
      <c r="A425" s="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s="3" customFormat="1" ht="12.75">
      <c r="A426" s="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s="3" customFormat="1" ht="12.75">
      <c r="A427" s="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s="3" customFormat="1" ht="12.75">
      <c r="A428" s="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s="3" customFormat="1" ht="12.75">
      <c r="A429" s="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s="3" customFormat="1" ht="12.75">
      <c r="A430" s="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s="3" customFormat="1" ht="12.75">
      <c r="A431" s="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s="3" customFormat="1" ht="12.75">
      <c r="A432" s="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s="3" customFormat="1" ht="12.75">
      <c r="A433" s="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s="3" customFormat="1" ht="12.75">
      <c r="A434" s="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s="3" customFormat="1" ht="12.75">
      <c r="A435" s="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s="3" customFormat="1" ht="12.75">
      <c r="A436" s="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s="3" customFormat="1" ht="12.75">
      <c r="A437" s="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s="3" customFormat="1" ht="12.75">
      <c r="A438" s="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s="3" customFormat="1" ht="12.75">
      <c r="A439" s="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s="3" customFormat="1" ht="12.75">
      <c r="A440" s="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s="3" customFormat="1" ht="12.75">
      <c r="A441" s="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s="3" customFormat="1" ht="12.75">
      <c r="A442" s="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s="3" customFormat="1" ht="12.75">
      <c r="A443" s="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s="3" customFormat="1" ht="12.75">
      <c r="A444" s="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s="3" customFormat="1" ht="12.75">
      <c r="A445" s="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s="3" customFormat="1" ht="12.75">
      <c r="A446" s="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s="3" customFormat="1" ht="12.75">
      <c r="A447" s="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s="3" customFormat="1" ht="12.75">
      <c r="A448" s="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s="3" customFormat="1" ht="12.75">
      <c r="A449" s="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s="3" customFormat="1" ht="12.75">
      <c r="A450" s="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s="3" customFormat="1" ht="12.75">
      <c r="A451" s="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s="3" customFormat="1" ht="12.75">
      <c r="A452" s="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s="3" customFormat="1" ht="12.75">
      <c r="A453" s="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s="3" customFormat="1" ht="12.75">
      <c r="A454" s="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s="3" customFormat="1" ht="12.75">
      <c r="A455" s="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s="3" customFormat="1" ht="12.75">
      <c r="A456" s="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s="3" customFormat="1" ht="12.75">
      <c r="A457" s="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s="3" customFormat="1" ht="12.75">
      <c r="A458" s="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s="3" customFormat="1" ht="12.75">
      <c r="A459" s="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s="3" customFormat="1" ht="12.75">
      <c r="A460" s="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 s="3" customFormat="1" ht="12.75">
      <c r="A461" s="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s="3" customFormat="1" ht="12.75">
      <c r="A462" s="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s="3" customFormat="1" ht="12.75">
      <c r="A463" s="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s="3" customFormat="1" ht="12.75">
      <c r="A464" s="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s="3" customFormat="1" ht="12.75">
      <c r="A465" s="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s="3" customFormat="1" ht="12.75">
      <c r="A466" s="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 s="3" customFormat="1" ht="12.75">
      <c r="A467" s="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 s="3" customFormat="1" ht="12.75">
      <c r="A468" s="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 s="3" customFormat="1" ht="12.75">
      <c r="A469" s="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s="3" customFormat="1" ht="12.75">
      <c r="A470" s="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s="3" customFormat="1" ht="12.75">
      <c r="A471" s="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s="3" customFormat="1" ht="12.75">
      <c r="A472" s="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s="3" customFormat="1" ht="12.75">
      <c r="A473" s="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s="3" customFormat="1" ht="12.75">
      <c r="A474" s="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s="3" customFormat="1" ht="12.75">
      <c r="A475" s="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s="3" customFormat="1" ht="12.75">
      <c r="A476" s="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s="3" customFormat="1" ht="12.75">
      <c r="A477" s="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s="3" customFormat="1" ht="12.75">
      <c r="A478" s="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s="3" customFormat="1" ht="12.75">
      <c r="A479" s="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s="3" customFormat="1" ht="12.75">
      <c r="A480" s="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 s="3" customFormat="1" ht="12.75">
      <c r="A481" s="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s="3" customFormat="1" ht="12.75">
      <c r="A482" s="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s="3" customFormat="1" ht="12.75">
      <c r="A483" s="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 s="3" customFormat="1" ht="12.75">
      <c r="A484" s="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 s="3" customFormat="1" ht="12.75">
      <c r="A485" s="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 s="3" customFormat="1" ht="12.75">
      <c r="A486" s="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 s="3" customFormat="1" ht="12.75">
      <c r="A487" s="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s="3" customFormat="1" ht="12.75">
      <c r="A488" s="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s="3" customFormat="1" ht="12.75">
      <c r="A489" s="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s="3" customFormat="1" ht="12.75">
      <c r="A490" s="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s="3" customFormat="1" ht="12.75">
      <c r="A491" s="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s="3" customFormat="1" ht="12.75">
      <c r="A492" s="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 s="3" customFormat="1" ht="12.75">
      <c r="A493" s="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 s="3" customFormat="1" ht="12.75">
      <c r="A494" s="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s="3" customFormat="1" ht="12.75">
      <c r="A495" s="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s="3" customFormat="1" ht="12.75">
      <c r="A496" s="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s="3" customFormat="1" ht="12.75">
      <c r="A497" s="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s="3" customFormat="1" ht="12.75">
      <c r="A498" s="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s="3" customFormat="1" ht="12.75">
      <c r="A499" s="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 s="3" customFormat="1" ht="12.75">
      <c r="A500" s="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 s="3" customFormat="1" ht="12.75">
      <c r="A501" s="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 s="3" customFormat="1" ht="12.75">
      <c r="A502" s="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 s="3" customFormat="1" ht="12.75">
      <c r="A503" s="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s="3" customFormat="1" ht="12.75">
      <c r="A504" s="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s="3" customFormat="1" ht="12.75">
      <c r="A505" s="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 s="3" customFormat="1" ht="12.75">
      <c r="A506" s="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 s="3" customFormat="1" ht="12.75">
      <c r="A507" s="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 s="3" customFormat="1" ht="12.75">
      <c r="A508" s="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 s="3" customFormat="1" ht="12.75">
      <c r="A509" s="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 s="3" customFormat="1" ht="12.75">
      <c r="A510" s="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 s="3" customFormat="1" ht="12.75">
      <c r="A511" s="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 s="3" customFormat="1" ht="12.75">
      <c r="A512" s="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 s="3" customFormat="1" ht="12.75">
      <c r="A513" s="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 s="3" customFormat="1" ht="12.75">
      <c r="A514" s="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 s="3" customFormat="1" ht="12.75">
      <c r="A515" s="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 s="3" customFormat="1" ht="12.75">
      <c r="A516" s="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 s="3" customFormat="1" ht="12.75">
      <c r="A517" s="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 s="3" customFormat="1" ht="12.75">
      <c r="A518" s="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 s="3" customFormat="1" ht="12.75">
      <c r="A519" s="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 s="3" customFormat="1" ht="12.75">
      <c r="A520" s="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 s="3" customFormat="1" ht="12.75">
      <c r="A521" s="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 s="3" customFormat="1" ht="12.75">
      <c r="A522" s="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 s="3" customFormat="1" ht="12.75">
      <c r="A523" s="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 s="3" customFormat="1" ht="12.75">
      <c r="A524" s="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 s="3" customFormat="1" ht="12.75">
      <c r="A525" s="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 s="3" customFormat="1" ht="12.75">
      <c r="A526" s="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 s="3" customFormat="1" ht="12.75">
      <c r="A527" s="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 s="3" customFormat="1" ht="12.75">
      <c r="A528" s="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 s="3" customFormat="1" ht="12.75">
      <c r="A529" s="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s="3" customFormat="1" ht="12.75">
      <c r="A530" s="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s="3" customFormat="1" ht="12.75">
      <c r="A531" s="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 s="3" customFormat="1" ht="12.75">
      <c r="A532" s="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 s="3" customFormat="1" ht="12.75">
      <c r="A533" s="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 s="3" customFormat="1" ht="12.75">
      <c r="A534" s="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 s="3" customFormat="1" ht="12.75">
      <c r="A535" s="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 s="3" customFormat="1" ht="12.75">
      <c r="A536" s="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 s="3" customFormat="1" ht="12.75">
      <c r="A537" s="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 s="3" customFormat="1" ht="12.75">
      <c r="A538" s="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s="3" customFormat="1" ht="12.75">
      <c r="A539" s="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 s="3" customFormat="1" ht="12.75">
      <c r="A540" s="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 s="3" customFormat="1" ht="12.75">
      <c r="A541" s="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 s="3" customFormat="1" ht="12.75">
      <c r="A542" s="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 s="3" customFormat="1" ht="12.75">
      <c r="A543" s="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 s="3" customFormat="1" ht="12.75">
      <c r="A544" s="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 s="3" customFormat="1" ht="12.75">
      <c r="A545" s="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 s="3" customFormat="1" ht="12.75">
      <c r="A546" s="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 s="3" customFormat="1" ht="12.75">
      <c r="A547" s="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 s="3" customFormat="1" ht="12.75">
      <c r="A548" s="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 s="3" customFormat="1" ht="12.75">
      <c r="A549" s="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 s="3" customFormat="1" ht="12.75">
      <c r="A550" s="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 s="3" customFormat="1" ht="12.75">
      <c r="A551" s="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 s="3" customFormat="1" ht="12.75">
      <c r="A552" s="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 s="3" customFormat="1" ht="12.75">
      <c r="A553" s="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 s="3" customFormat="1" ht="12.75">
      <c r="A554" s="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 s="3" customFormat="1" ht="12.75">
      <c r="A555" s="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s="3" customFormat="1" ht="12.75">
      <c r="A556" s="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s="3" customFormat="1" ht="12.75">
      <c r="A557" s="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s="3" customFormat="1" ht="12.75">
      <c r="A558" s="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 s="3" customFormat="1" ht="12.75">
      <c r="A559" s="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s="3" customFormat="1" ht="12.75">
      <c r="A560" s="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 s="3" customFormat="1" ht="12.75">
      <c r="A561" s="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 s="3" customFormat="1" ht="12.75">
      <c r="A562" s="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 s="3" customFormat="1" ht="12.75">
      <c r="A563" s="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 s="3" customFormat="1" ht="12.75">
      <c r="A564" s="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s="3" customFormat="1" ht="12.75">
      <c r="A565" s="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 s="3" customFormat="1" ht="12.75">
      <c r="A566" s="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 s="3" customFormat="1" ht="12.75">
      <c r="A567" s="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 s="3" customFormat="1" ht="12.75">
      <c r="A568" s="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 s="3" customFormat="1" ht="12.75">
      <c r="A569" s="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1:15" s="3" customFormat="1" ht="12.75">
      <c r="A570" s="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1:15" s="3" customFormat="1" ht="12.75">
      <c r="A571" s="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 s="3" customFormat="1" ht="12.75">
      <c r="A572" s="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 s="3" customFormat="1" ht="12.75">
      <c r="A573" s="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 s="3" customFormat="1" ht="12.75">
      <c r="A574" s="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 s="3" customFormat="1" ht="12.75">
      <c r="A575" s="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 s="3" customFormat="1" ht="12.75">
      <c r="A576" s="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 s="3" customFormat="1" ht="12.75">
      <c r="A577" s="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s="3" customFormat="1" ht="12.75">
      <c r="A578" s="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 s="3" customFormat="1" ht="12.75">
      <c r="A579" s="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 s="3" customFormat="1" ht="12.75">
      <c r="A580" s="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1:15" s="3" customFormat="1" ht="12.75">
      <c r="A581" s="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s="3" customFormat="1" ht="12.75">
      <c r="A582" s="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s="3" customFormat="1" ht="12.75">
      <c r="A583" s="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 s="3" customFormat="1" ht="12.75">
      <c r="A584" s="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 s="3" customFormat="1" ht="12.75">
      <c r="A585" s="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 s="3" customFormat="1" ht="12.75">
      <c r="A586" s="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 s="3" customFormat="1" ht="12.75">
      <c r="A587" s="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1:15" s="3" customFormat="1" ht="12.75">
      <c r="A588" s="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1:15" s="3" customFormat="1" ht="12.75">
      <c r="A589" s="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 s="3" customFormat="1" ht="12.75">
      <c r="A590" s="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 s="3" customFormat="1" ht="12.75">
      <c r="A591" s="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 s="3" customFormat="1" ht="12.75">
      <c r="A592" s="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 s="3" customFormat="1" ht="12.75">
      <c r="A593" s="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1:15" s="3" customFormat="1" ht="12.75">
      <c r="A594" s="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1:15" s="3" customFormat="1" ht="12.75">
      <c r="A595" s="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1:15" s="3" customFormat="1" ht="12.75">
      <c r="A596" s="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5" s="3" customFormat="1" ht="12.75">
      <c r="A597" s="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5" s="3" customFormat="1" ht="12.75">
      <c r="A598" s="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5" s="3" customFormat="1" ht="12.75">
      <c r="A599" s="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1:15" s="3" customFormat="1" ht="12.75">
      <c r="A600" s="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 s="3" customFormat="1" ht="12.75">
      <c r="A601" s="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1:15" s="3" customFormat="1" ht="12.75">
      <c r="A602" s="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 s="3" customFormat="1" ht="12.75">
      <c r="A603" s="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s="3" customFormat="1" ht="12.75">
      <c r="A604" s="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 s="3" customFormat="1" ht="12.75">
      <c r="A605" s="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 s="3" customFormat="1" ht="12.75">
      <c r="A606" s="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s="3" customFormat="1" ht="12.75">
      <c r="A607" s="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s="3" customFormat="1" ht="12.75">
      <c r="A608" s="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s="3" customFormat="1" ht="12.75">
      <c r="A609" s="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1:15" s="3" customFormat="1" ht="12.75">
      <c r="A610" s="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 s="3" customFormat="1" ht="12.75">
      <c r="A611" s="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 s="3" customFormat="1" ht="12.75">
      <c r="A612" s="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 s="3" customFormat="1" ht="12.75">
      <c r="A613" s="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 s="3" customFormat="1" ht="12.75">
      <c r="A614" s="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 s="3" customFormat="1" ht="12.75">
      <c r="A615" s="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1:15" s="3" customFormat="1" ht="12.75">
      <c r="A616" s="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1:15" s="3" customFormat="1" ht="12.75">
      <c r="A617" s="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 s="3" customFormat="1" ht="12.75">
      <c r="A618" s="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 s="3" customFormat="1" ht="12.75">
      <c r="A619" s="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1:15" s="3" customFormat="1" ht="12.75">
      <c r="A620" s="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1:15" s="3" customFormat="1" ht="12.75">
      <c r="A621" s="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1:15" s="3" customFormat="1" ht="12.75">
      <c r="A622" s="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1:15" s="3" customFormat="1" ht="12.75">
      <c r="A623" s="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1:15" s="3" customFormat="1" ht="12.75">
      <c r="A624" s="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1:15" s="3" customFormat="1" ht="12.75">
      <c r="A625" s="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1:15" s="3" customFormat="1" ht="12.75">
      <c r="A626" s="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1:15" s="3" customFormat="1" ht="12.75">
      <c r="A627" s="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1:15" s="3" customFormat="1" ht="12.75">
      <c r="A628" s="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1:15" s="3" customFormat="1" ht="12.75">
      <c r="A629" s="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1:15" s="3" customFormat="1" ht="12.75">
      <c r="A630" s="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1:15" s="3" customFormat="1" ht="12.75">
      <c r="A631" s="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1:15" s="3" customFormat="1" ht="12.75">
      <c r="A632" s="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1:15" s="3" customFormat="1" ht="12.75">
      <c r="A633" s="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s="3" customFormat="1" ht="12.75">
      <c r="A634" s="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s="3" customFormat="1" ht="12.75">
      <c r="A635" s="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1:15" s="3" customFormat="1" ht="12.75">
      <c r="A636" s="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1:15" s="3" customFormat="1" ht="12.75">
      <c r="A637" s="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 s="3" customFormat="1" ht="12.75">
      <c r="A638" s="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1:15" s="3" customFormat="1" ht="12.75">
      <c r="A639" s="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</sheetData>
  <sheetProtection/>
  <mergeCells count="11">
    <mergeCell ref="B9:B10"/>
    <mergeCell ref="C9:H9"/>
    <mergeCell ref="I9:I10"/>
    <mergeCell ref="J9:Q9"/>
    <mergeCell ref="A2:Q2"/>
    <mergeCell ref="A3:Q3"/>
    <mergeCell ref="A4:Q4"/>
    <mergeCell ref="A5:B5"/>
    <mergeCell ref="A6:Q6"/>
    <mergeCell ref="A7:Q7"/>
    <mergeCell ref="A9:A10"/>
  </mergeCells>
  <printOptions horizontalCentered="1"/>
  <pageMargins left="0.7480314960629921" right="0.6299212598425197" top="0.8267716535433072" bottom="0.5905511811023623" header="0.9055118110236221" footer="0.31496062992125984"/>
  <pageSetup firstPageNumber="1" useFirstPageNumber="1" horizontalDpi="600" verticalDpi="600" orientation="landscape" paperSize="9" scale="70" r:id="rId4"/>
  <headerFooter alignWithMargins="0">
    <oddFooter>&amp;L&amp;"Times New Roman,Regular"&amp;F; Latvijas Republikas 2010.gada pārskats par valsts budžeta izpildi un par pašvaldību budžetiem; Papildinfomrācija; Informācija mājas lapai&amp;R&amp;P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3.8515625" style="0" customWidth="1"/>
    <col min="2" max="2" width="27.140625" style="0" customWidth="1"/>
    <col min="3" max="3" width="23.8515625" style="0" customWidth="1"/>
  </cols>
  <sheetData>
    <row r="1" ht="15.75">
      <c r="A1" s="140" t="s">
        <v>377</v>
      </c>
    </row>
    <row r="2" spans="1:3" ht="15.75">
      <c r="A2" s="114" t="s">
        <v>363</v>
      </c>
      <c r="B2" s="113" t="s">
        <v>364</v>
      </c>
      <c r="C2" s="113" t="s">
        <v>365</v>
      </c>
    </row>
    <row r="3" spans="1:3" ht="94.5">
      <c r="A3" s="111" t="s">
        <v>63</v>
      </c>
      <c r="B3" s="112" t="s">
        <v>366</v>
      </c>
      <c r="C3" s="110">
        <v>-3355969</v>
      </c>
    </row>
    <row r="4" spans="1:3" ht="15.75">
      <c r="A4" s="50" t="s">
        <v>64</v>
      </c>
      <c r="B4" s="109"/>
      <c r="C4" s="110">
        <f>C5+C6+C7</f>
        <v>670665638</v>
      </c>
    </row>
    <row r="5" spans="1:3" ht="26.25">
      <c r="A5" s="108" t="s">
        <v>376</v>
      </c>
      <c r="B5" s="115" t="s">
        <v>367</v>
      </c>
      <c r="C5" s="110">
        <f>-5789726-(-1156104)-(209995)</f>
        <v>-4843617</v>
      </c>
    </row>
    <row r="6" spans="1:3" ht="15.75">
      <c r="A6" s="108" t="s">
        <v>361</v>
      </c>
      <c r="B6" s="115" t="s">
        <v>369</v>
      </c>
      <c r="C6" s="110">
        <f>830374857-70280400</f>
        <v>760094457</v>
      </c>
    </row>
    <row r="7" spans="1:3" ht="15.75">
      <c r="A7" s="108" t="s">
        <v>362</v>
      </c>
      <c r="B7" s="115" t="s">
        <v>370</v>
      </c>
      <c r="C7" s="110">
        <v>-84585202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6"/>
  <sheetViews>
    <sheetView view="pageBreakPreview" zoomScale="82" zoomScaleNormal="77" zoomScaleSheetLayoutView="82" zoomScalePageLayoutView="0" workbookViewId="0" topLeftCell="A10">
      <pane xSplit="2" ySplit="4" topLeftCell="J233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K116" activeCellId="1" sqref="K83 K116"/>
    </sheetView>
  </sheetViews>
  <sheetFormatPr defaultColWidth="9.140625" defaultRowHeight="12.75"/>
  <cols>
    <col min="1" max="1" width="11.421875" style="8" customWidth="1"/>
    <col min="2" max="2" width="46.8515625" style="6" customWidth="1"/>
    <col min="3" max="3" width="15.28125" style="7" hidden="1" customWidth="1"/>
    <col min="4" max="4" width="15.421875" style="7" hidden="1" customWidth="1"/>
    <col min="5" max="5" width="12.7109375" style="7" hidden="1" customWidth="1"/>
    <col min="6" max="6" width="13.8515625" style="7" hidden="1" customWidth="1"/>
    <col min="7" max="7" width="14.00390625" style="7" hidden="1" customWidth="1"/>
    <col min="8" max="8" width="15.28125" style="7" hidden="1" customWidth="1"/>
    <col min="9" max="9" width="15.8515625" style="7" hidden="1" customWidth="1"/>
    <col min="10" max="10" width="15.7109375" style="7" customWidth="1"/>
    <col min="11" max="11" width="13.421875" style="7" customWidth="1"/>
    <col min="12" max="12" width="10.28125" style="7" customWidth="1"/>
    <col min="13" max="13" width="14.28125" style="7" customWidth="1"/>
    <col min="14" max="14" width="15.7109375" style="7" customWidth="1"/>
    <col min="15" max="15" width="12.57421875" style="7" customWidth="1"/>
    <col min="16" max="16" width="14.421875" style="6" customWidth="1"/>
    <col min="17" max="17" width="12.57421875" style="6" customWidth="1"/>
    <col min="18" max="18" width="14.00390625" style="6" customWidth="1"/>
    <col min="19" max="19" width="14.7109375" style="6" customWidth="1"/>
    <col min="20" max="16384" width="9.140625" style="6" customWidth="1"/>
  </cols>
  <sheetData>
    <row r="1" spans="2:17" s="10" customFormat="1" ht="75.75" customHeight="1">
      <c r="B1" s="11"/>
      <c r="C1" s="11"/>
      <c r="D1" s="11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1"/>
      <c r="Q1" s="71"/>
    </row>
    <row r="2" spans="1:17" s="55" customFormat="1" ht="12.75" customHeight="1">
      <c r="A2" s="165" t="s">
        <v>300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56" customFormat="1" ht="28.5" customHeight="1">
      <c r="A3" s="166" t="s">
        <v>301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56" customFormat="1" ht="12.75" customHeight="1">
      <c r="A4" s="167" t="s">
        <v>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s="56" customFormat="1" ht="12.75" customHeight="1">
      <c r="A5" s="168" t="s">
        <v>357</v>
      </c>
      <c r="B5" s="168"/>
      <c r="C5" s="57"/>
      <c r="D5" s="57"/>
      <c r="F5" s="58"/>
      <c r="G5" s="58"/>
      <c r="H5" s="58"/>
      <c r="I5" s="83"/>
      <c r="Q5" s="13" t="s">
        <v>290</v>
      </c>
    </row>
    <row r="6" spans="1:17" s="59" customFormat="1" ht="17.25" customHeight="1">
      <c r="A6" s="169" t="s">
        <v>37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pans="1:26" s="61" customFormat="1" ht="15.75">
      <c r="A7" s="170" t="s">
        <v>356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60"/>
      <c r="S7" s="60"/>
      <c r="T7" s="60"/>
      <c r="U7" s="60"/>
      <c r="V7" s="60"/>
      <c r="W7" s="60"/>
      <c r="X7" s="60"/>
      <c r="Y7" s="60"/>
      <c r="Z7" s="60"/>
    </row>
    <row r="8" spans="1:17" s="64" customFormat="1" ht="17.25" customHeight="1">
      <c r="A8" s="62"/>
      <c r="B8" s="63"/>
      <c r="C8" s="63"/>
      <c r="D8" s="63"/>
      <c r="E8" s="63"/>
      <c r="F8" s="63"/>
      <c r="G8" s="63"/>
      <c r="H8" s="63"/>
      <c r="I8" s="84"/>
      <c r="Q8" s="68" t="s">
        <v>0</v>
      </c>
    </row>
    <row r="9" spans="1:17" s="3" customFormat="1" ht="12.75" customHeight="1">
      <c r="A9" s="171" t="s">
        <v>299</v>
      </c>
      <c r="B9" s="171" t="s">
        <v>1</v>
      </c>
      <c r="C9" s="157" t="s">
        <v>355</v>
      </c>
      <c r="D9" s="158"/>
      <c r="E9" s="158"/>
      <c r="F9" s="158"/>
      <c r="G9" s="158"/>
      <c r="H9" s="159"/>
      <c r="I9" s="160" t="s">
        <v>289</v>
      </c>
      <c r="J9" s="162" t="s">
        <v>298</v>
      </c>
      <c r="K9" s="163"/>
      <c r="L9" s="163"/>
      <c r="M9" s="163"/>
      <c r="N9" s="163"/>
      <c r="O9" s="163"/>
      <c r="P9" s="163"/>
      <c r="Q9" s="164"/>
    </row>
    <row r="10" spans="1:17" s="3" customFormat="1" ht="123" customHeight="1">
      <c r="A10" s="172"/>
      <c r="B10" s="173"/>
      <c r="C10" s="65" t="s">
        <v>2</v>
      </c>
      <c r="D10" s="65" t="s">
        <v>3</v>
      </c>
      <c r="E10" s="65" t="s">
        <v>4</v>
      </c>
      <c r="F10" s="66" t="s">
        <v>351</v>
      </c>
      <c r="G10" s="66" t="s">
        <v>5</v>
      </c>
      <c r="H10" s="67" t="s">
        <v>6</v>
      </c>
      <c r="I10" s="161"/>
      <c r="J10" s="15" t="s">
        <v>2</v>
      </c>
      <c r="K10" s="15" t="s">
        <v>3</v>
      </c>
      <c r="L10" s="15" t="s">
        <v>4</v>
      </c>
      <c r="M10" s="66" t="s">
        <v>351</v>
      </c>
      <c r="N10" s="14" t="s">
        <v>5</v>
      </c>
      <c r="O10" s="16" t="s">
        <v>358</v>
      </c>
      <c r="P10" s="16" t="s">
        <v>6</v>
      </c>
      <c r="Q10" s="14" t="s">
        <v>7</v>
      </c>
    </row>
    <row r="11" spans="1:17" s="3" customFormat="1" ht="12.75">
      <c r="A11" s="17">
        <v>1</v>
      </c>
      <c r="B11" s="18">
        <v>2</v>
      </c>
      <c r="C11" s="19">
        <v>4</v>
      </c>
      <c r="D11" s="19">
        <v>5</v>
      </c>
      <c r="E11" s="19">
        <v>6</v>
      </c>
      <c r="F11" s="19">
        <v>7</v>
      </c>
      <c r="G11" s="19">
        <v>8</v>
      </c>
      <c r="H11" s="20">
        <v>9</v>
      </c>
      <c r="I11" s="19">
        <v>3</v>
      </c>
      <c r="J11" s="19">
        <v>4</v>
      </c>
      <c r="K11" s="19">
        <v>5</v>
      </c>
      <c r="L11" s="19">
        <v>6</v>
      </c>
      <c r="M11" s="19">
        <v>7</v>
      </c>
      <c r="N11" s="19">
        <v>8</v>
      </c>
      <c r="O11" s="19">
        <v>9</v>
      </c>
      <c r="P11" s="20">
        <v>10</v>
      </c>
      <c r="Q11" s="19">
        <v>11</v>
      </c>
    </row>
    <row r="12" spans="1:17" s="3" customFormat="1" ht="12.75">
      <c r="A12" s="85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22" s="3" customFormat="1" ht="12.75">
      <c r="A13" s="86"/>
      <c r="B13" s="54" t="s">
        <v>8</v>
      </c>
      <c r="C13" s="48">
        <f aca="true" t="shared" si="0" ref="C13:H13">C14+C40+C84+C94+C110+C137</f>
        <v>2709445939</v>
      </c>
      <c r="D13" s="48">
        <f t="shared" si="0"/>
        <v>1188633939</v>
      </c>
      <c r="E13" s="48">
        <f t="shared" si="0"/>
        <v>0</v>
      </c>
      <c r="F13" s="48">
        <f t="shared" si="0"/>
        <v>213807615</v>
      </c>
      <c r="G13" s="48">
        <f t="shared" si="0"/>
        <v>4111887493</v>
      </c>
      <c r="H13" s="48">
        <f t="shared" si="0"/>
        <v>-234124478</v>
      </c>
      <c r="I13" s="48">
        <f>I14+I40+I84+I94</f>
        <v>0</v>
      </c>
      <c r="J13" s="48">
        <f>J14+J40+J84+J94+J110+J137</f>
        <v>8791756</v>
      </c>
      <c r="K13" s="48">
        <f>K14+K40+K84+K94+K110+K137</f>
        <v>82971272</v>
      </c>
      <c r="L13" s="48">
        <f>L14+L40+L84+L94+L110+L137</f>
        <v>20948</v>
      </c>
      <c r="M13" s="48">
        <f>M14+M40+M84+M94+M110+M137</f>
        <v>152206084</v>
      </c>
      <c r="N13" s="48">
        <f>N14+N40+N84+N94+N110+N137</f>
        <v>243990060</v>
      </c>
      <c r="O13" s="48">
        <f>O40+O110+O94</f>
        <v>-247505</v>
      </c>
      <c r="P13" s="48">
        <f>P14+P40+P84+P94+P110+P137</f>
        <v>-243742555</v>
      </c>
      <c r="Q13" s="48">
        <v>0</v>
      </c>
      <c r="R13" s="5">
        <f>G13+H13</f>
        <v>3877763015</v>
      </c>
      <c r="S13" s="5">
        <f>N13+P13</f>
        <v>247505</v>
      </c>
      <c r="V13" s="5">
        <f aca="true" t="shared" si="1" ref="V13:V76">J13+K13+L13+M13-N13</f>
        <v>0</v>
      </c>
    </row>
    <row r="14" spans="1:22" s="1" customFormat="1" ht="12.75">
      <c r="A14" s="87" t="s">
        <v>196</v>
      </c>
      <c r="B14" s="24" t="s">
        <v>9</v>
      </c>
      <c r="C14" s="25">
        <f>C15+C19+C25+C29+C30+C34+C38+C39</f>
        <v>1449346199</v>
      </c>
      <c r="D14" s="25">
        <f>D16+D18+D19+D25+D29+D30+D34+D38+D39</f>
        <v>1103467751</v>
      </c>
      <c r="E14" s="25">
        <f>E16+E18+E19+E25+E29+E30+E34+E38+E39</f>
        <v>0</v>
      </c>
      <c r="F14" s="25">
        <f>F16+F18+F19+F25+F29+F30+F34+F38+F39</f>
        <v>0</v>
      </c>
      <c r="G14" s="25">
        <f>G16+G18+G19+G25+G29+G30+G34+G38+G39</f>
        <v>2552813950</v>
      </c>
      <c r="H14" s="25">
        <f>H16+H18+H19+H25+H29+H30+H34+H38+H39</f>
        <v>0</v>
      </c>
      <c r="I14" s="25">
        <f>I16+I18+I19+I29+I30+I34+I38+I39</f>
        <v>0</v>
      </c>
      <c r="J14" s="25">
        <f>J15+J19+J25+J29+J30+J34+J38+J39+J37</f>
        <v>0</v>
      </c>
      <c r="K14" s="25">
        <f>K15+K19+K25+K29+K30+K34+K38+K39+K37</f>
        <v>0</v>
      </c>
      <c r="L14" s="25">
        <f>L15+L19+L25+L29+L30+L34+L38+L39+L37</f>
        <v>0</v>
      </c>
      <c r="M14" s="25">
        <f>M15+M19+M25+M29+M30+M34+M38+M39+M37</f>
        <v>0</v>
      </c>
      <c r="N14" s="25">
        <f>N15+N19+N25+N29+N30+N34+N38+N39+N37</f>
        <v>0</v>
      </c>
      <c r="O14" s="25">
        <v>0</v>
      </c>
      <c r="P14" s="25">
        <f>P16+P18+P19+P25+P29+P30+P34+P38+P39</f>
        <v>0</v>
      </c>
      <c r="Q14" s="25">
        <f>Q16+Q18+Q19+Q25+Q29+Q30+Q34+Q38+Q39</f>
        <v>0</v>
      </c>
      <c r="R14" s="5">
        <f>G14+H14</f>
        <v>2552813950</v>
      </c>
      <c r="V14" s="5">
        <f t="shared" si="1"/>
        <v>0</v>
      </c>
    </row>
    <row r="15" spans="1:22" s="1" customFormat="1" ht="13.5" hidden="1">
      <c r="A15" s="88" t="s">
        <v>41</v>
      </c>
      <c r="B15" s="26" t="s">
        <v>42</v>
      </c>
      <c r="C15" s="27">
        <f>C16+C18</f>
        <v>241407628</v>
      </c>
      <c r="D15" s="27"/>
      <c r="E15" s="27"/>
      <c r="F15" s="27"/>
      <c r="G15" s="27">
        <f>C15+D15+E15+F15</f>
        <v>241407628</v>
      </c>
      <c r="H15" s="27"/>
      <c r="I15" s="27">
        <v>0</v>
      </c>
      <c r="J15" s="27">
        <f>J16+J18</f>
        <v>0</v>
      </c>
      <c r="K15" s="27">
        <f>K16+K18</f>
        <v>0</v>
      </c>
      <c r="L15" s="27">
        <f>L16+L18</f>
        <v>0</v>
      </c>
      <c r="M15" s="27">
        <f>M16+M18</f>
        <v>0</v>
      </c>
      <c r="N15" s="27">
        <f>J15+K15+L15+M15</f>
        <v>0</v>
      </c>
      <c r="O15" s="27">
        <v>0</v>
      </c>
      <c r="P15" s="27">
        <v>0</v>
      </c>
      <c r="Q15" s="27">
        <f>N15+P15</f>
        <v>0</v>
      </c>
      <c r="R15" s="5">
        <f>G15+H15</f>
        <v>241407628</v>
      </c>
      <c r="V15" s="5">
        <f t="shared" si="1"/>
        <v>0</v>
      </c>
    </row>
    <row r="16" spans="1:22" s="1" customFormat="1" ht="12.75" hidden="1">
      <c r="A16" s="89" t="s">
        <v>197</v>
      </c>
      <c r="B16" s="28" t="s">
        <v>10</v>
      </c>
      <c r="C16" s="29">
        <v>164407628</v>
      </c>
      <c r="D16" s="29"/>
      <c r="E16" s="29"/>
      <c r="F16" s="29"/>
      <c r="G16" s="29">
        <f aca="true" t="shared" si="2" ref="G16:G24">C16+D16+E16+F16</f>
        <v>164407628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5"/>
      <c r="V16" s="5">
        <f t="shared" si="1"/>
        <v>0</v>
      </c>
    </row>
    <row r="17" spans="1:22" s="1" customFormat="1" ht="12.75" hidden="1">
      <c r="A17" s="89"/>
      <c r="B17" s="28"/>
      <c r="C17" s="29"/>
      <c r="D17" s="29"/>
      <c r="E17" s="29"/>
      <c r="F17" s="29"/>
      <c r="G17" s="29">
        <f t="shared" si="2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5"/>
      <c r="V17" s="5">
        <f t="shared" si="1"/>
        <v>0</v>
      </c>
    </row>
    <row r="18" spans="1:22" s="1" customFormat="1" ht="12.75" hidden="1">
      <c r="A18" s="89" t="s">
        <v>198</v>
      </c>
      <c r="B18" s="28" t="s">
        <v>254</v>
      </c>
      <c r="C18" s="29">
        <v>77000000</v>
      </c>
      <c r="D18" s="29"/>
      <c r="E18" s="29"/>
      <c r="F18" s="29"/>
      <c r="G18" s="29">
        <f t="shared" si="2"/>
        <v>77000000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"/>
      <c r="V18" s="5">
        <f t="shared" si="1"/>
        <v>0</v>
      </c>
    </row>
    <row r="19" spans="1:22" s="3" customFormat="1" ht="13.5" hidden="1">
      <c r="A19" s="90" t="s">
        <v>199</v>
      </c>
      <c r="B19" s="30" t="s">
        <v>11</v>
      </c>
      <c r="C19" s="31"/>
      <c r="D19" s="31">
        <v>1103467751</v>
      </c>
      <c r="E19" s="31"/>
      <c r="F19" s="31"/>
      <c r="G19" s="31">
        <f t="shared" si="2"/>
        <v>1103467751</v>
      </c>
      <c r="H19" s="31"/>
      <c r="I19" s="27"/>
      <c r="J19" s="31"/>
      <c r="K19" s="31"/>
      <c r="L19" s="31"/>
      <c r="M19" s="31"/>
      <c r="N19" s="31"/>
      <c r="O19" s="31"/>
      <c r="P19" s="31"/>
      <c r="Q19" s="27"/>
      <c r="R19" s="5">
        <f>G19+H19</f>
        <v>1103467751</v>
      </c>
      <c r="V19" s="5">
        <f t="shared" si="1"/>
        <v>0</v>
      </c>
    </row>
    <row r="20" spans="1:22" s="3" customFormat="1" ht="13.5" hidden="1">
      <c r="A20" s="91" t="s">
        <v>67</v>
      </c>
      <c r="B20" s="32" t="s">
        <v>71</v>
      </c>
      <c r="C20" s="33"/>
      <c r="D20" s="103">
        <v>30000</v>
      </c>
      <c r="E20" s="33"/>
      <c r="F20" s="33"/>
      <c r="G20" s="33">
        <f t="shared" si="2"/>
        <v>30000</v>
      </c>
      <c r="H20" s="33"/>
      <c r="I20" s="29"/>
      <c r="J20" s="33"/>
      <c r="K20" s="33"/>
      <c r="L20" s="33"/>
      <c r="M20" s="33"/>
      <c r="N20" s="33"/>
      <c r="O20" s="33"/>
      <c r="P20" s="31"/>
      <c r="Q20" s="29"/>
      <c r="R20" s="5"/>
      <c r="V20" s="5">
        <f t="shared" si="1"/>
        <v>0</v>
      </c>
    </row>
    <row r="21" spans="1:22" s="3" customFormat="1" ht="13.5" hidden="1">
      <c r="A21" s="91" t="s">
        <v>68</v>
      </c>
      <c r="B21" s="32" t="s">
        <v>72</v>
      </c>
      <c r="C21" s="33"/>
      <c r="D21" s="33"/>
      <c r="E21" s="33"/>
      <c r="F21" s="33"/>
      <c r="G21" s="33">
        <f t="shared" si="2"/>
        <v>0</v>
      </c>
      <c r="H21" s="33"/>
      <c r="I21" s="29"/>
      <c r="J21" s="33"/>
      <c r="K21" s="33"/>
      <c r="L21" s="33"/>
      <c r="M21" s="33"/>
      <c r="N21" s="33"/>
      <c r="O21" s="33"/>
      <c r="P21" s="31"/>
      <c r="Q21" s="29"/>
      <c r="R21" s="5"/>
      <c r="V21" s="5">
        <f t="shared" si="1"/>
        <v>0</v>
      </c>
    </row>
    <row r="22" spans="1:22" s="3" customFormat="1" ht="13.5" hidden="1">
      <c r="A22" s="91" t="s">
        <v>69</v>
      </c>
      <c r="B22" s="32" t="s">
        <v>73</v>
      </c>
      <c r="C22" s="33"/>
      <c r="D22" s="33"/>
      <c r="E22" s="33"/>
      <c r="F22" s="33"/>
      <c r="G22" s="33">
        <f t="shared" si="2"/>
        <v>0</v>
      </c>
      <c r="H22" s="33"/>
      <c r="I22" s="29"/>
      <c r="J22" s="33"/>
      <c r="K22" s="33"/>
      <c r="L22" s="33"/>
      <c r="M22" s="33"/>
      <c r="N22" s="33"/>
      <c r="O22" s="33"/>
      <c r="P22" s="31"/>
      <c r="Q22" s="29"/>
      <c r="R22" s="5"/>
      <c r="V22" s="5">
        <f t="shared" si="1"/>
        <v>0</v>
      </c>
    </row>
    <row r="23" spans="1:22" s="3" customFormat="1" ht="26.25" hidden="1">
      <c r="A23" s="91" t="s">
        <v>70</v>
      </c>
      <c r="B23" s="34" t="s">
        <v>320</v>
      </c>
      <c r="C23" s="33"/>
      <c r="D23" s="103">
        <v>1103437751</v>
      </c>
      <c r="E23" s="33"/>
      <c r="F23" s="33"/>
      <c r="G23" s="33">
        <f>C23+D23+E23+F23</f>
        <v>1103437751</v>
      </c>
      <c r="H23" s="33"/>
      <c r="I23" s="29"/>
      <c r="J23" s="29"/>
      <c r="K23" s="29"/>
      <c r="L23" s="29"/>
      <c r="M23" s="29"/>
      <c r="N23" s="29"/>
      <c r="O23" s="29"/>
      <c r="P23" s="31"/>
      <c r="Q23" s="29"/>
      <c r="R23" s="5"/>
      <c r="V23" s="5">
        <f t="shared" si="1"/>
        <v>0</v>
      </c>
    </row>
    <row r="24" spans="1:22" s="3" customFormat="1" ht="13.5" hidden="1">
      <c r="A24" s="89" t="s">
        <v>217</v>
      </c>
      <c r="B24" s="35" t="s">
        <v>180</v>
      </c>
      <c r="C24" s="23"/>
      <c r="D24" s="23"/>
      <c r="E24" s="23"/>
      <c r="F24" s="23"/>
      <c r="G24" s="27">
        <f t="shared" si="2"/>
        <v>0</v>
      </c>
      <c r="H24" s="23"/>
      <c r="I24" s="29"/>
      <c r="J24" s="25"/>
      <c r="K24" s="29"/>
      <c r="L24" s="25"/>
      <c r="M24" s="25"/>
      <c r="N24" s="25"/>
      <c r="O24" s="25"/>
      <c r="P24" s="31"/>
      <c r="Q24" s="29"/>
      <c r="R24" s="5"/>
      <c r="V24" s="5">
        <f t="shared" si="1"/>
        <v>0</v>
      </c>
    </row>
    <row r="25" spans="1:22" s="3" customFormat="1" ht="13.5" hidden="1">
      <c r="A25" s="90" t="s">
        <v>200</v>
      </c>
      <c r="B25" s="30" t="s">
        <v>43</v>
      </c>
      <c r="C25" s="31"/>
      <c r="D25" s="31"/>
      <c r="E25" s="31"/>
      <c r="F25" s="31"/>
      <c r="G25" s="31">
        <f>C25+D25+E25</f>
        <v>0</v>
      </c>
      <c r="H25" s="31"/>
      <c r="I25" s="27"/>
      <c r="J25" s="27"/>
      <c r="K25" s="27"/>
      <c r="L25" s="27"/>
      <c r="M25" s="27"/>
      <c r="N25" s="27"/>
      <c r="O25" s="27"/>
      <c r="P25" s="31"/>
      <c r="Q25" s="27"/>
      <c r="R25" s="5">
        <f>G25+H25</f>
        <v>0</v>
      </c>
      <c r="V25" s="5">
        <f t="shared" si="1"/>
        <v>0</v>
      </c>
    </row>
    <row r="26" spans="1:22" s="3" customFormat="1" ht="13.5" hidden="1">
      <c r="A26" s="91" t="s">
        <v>12</v>
      </c>
      <c r="B26" s="32" t="s">
        <v>13</v>
      </c>
      <c r="C26" s="33"/>
      <c r="D26" s="33"/>
      <c r="E26" s="33"/>
      <c r="F26" s="33"/>
      <c r="G26" s="33">
        <f>C26+D26+E26</f>
        <v>0</v>
      </c>
      <c r="H26" s="33"/>
      <c r="I26" s="29"/>
      <c r="J26" s="29"/>
      <c r="K26" s="29"/>
      <c r="L26" s="29"/>
      <c r="M26" s="29"/>
      <c r="N26" s="29"/>
      <c r="O26" s="29"/>
      <c r="P26" s="31"/>
      <c r="Q26" s="29"/>
      <c r="R26" s="5"/>
      <c r="V26" s="5">
        <f t="shared" si="1"/>
        <v>0</v>
      </c>
    </row>
    <row r="27" spans="1:22" s="3" customFormat="1" ht="13.5" hidden="1">
      <c r="A27" s="91" t="s">
        <v>14</v>
      </c>
      <c r="B27" s="32" t="s">
        <v>74</v>
      </c>
      <c r="C27" s="33"/>
      <c r="D27" s="33"/>
      <c r="E27" s="33"/>
      <c r="F27" s="33"/>
      <c r="G27" s="33">
        <f>C27+D27+E27</f>
        <v>0</v>
      </c>
      <c r="H27" s="33"/>
      <c r="I27" s="29"/>
      <c r="J27" s="29"/>
      <c r="K27" s="29"/>
      <c r="L27" s="29"/>
      <c r="M27" s="29"/>
      <c r="N27" s="29"/>
      <c r="O27" s="29"/>
      <c r="P27" s="31"/>
      <c r="Q27" s="29"/>
      <c r="R27" s="5"/>
      <c r="V27" s="5">
        <f t="shared" si="1"/>
        <v>0</v>
      </c>
    </row>
    <row r="28" spans="1:22" s="3" customFormat="1" ht="13.5" hidden="1">
      <c r="A28" s="91" t="s">
        <v>15</v>
      </c>
      <c r="B28" s="32" t="s">
        <v>75</v>
      </c>
      <c r="C28" s="33"/>
      <c r="D28" s="33"/>
      <c r="E28" s="33"/>
      <c r="F28" s="33"/>
      <c r="G28" s="33">
        <f>C28+D28+E28</f>
        <v>0</v>
      </c>
      <c r="H28" s="33"/>
      <c r="I28" s="29"/>
      <c r="J28" s="29"/>
      <c r="K28" s="29"/>
      <c r="L28" s="29"/>
      <c r="M28" s="29"/>
      <c r="N28" s="29"/>
      <c r="O28" s="29"/>
      <c r="P28" s="31"/>
      <c r="Q28" s="29"/>
      <c r="R28" s="5"/>
      <c r="V28" s="5">
        <f t="shared" si="1"/>
        <v>0</v>
      </c>
    </row>
    <row r="29" spans="1:22" s="3" customFormat="1" ht="13.5" hidden="1">
      <c r="A29" s="90" t="s">
        <v>253</v>
      </c>
      <c r="B29" s="30" t="s">
        <v>16</v>
      </c>
      <c r="C29" s="31">
        <v>690500000</v>
      </c>
      <c r="D29" s="31"/>
      <c r="E29" s="31"/>
      <c r="F29" s="31"/>
      <c r="G29" s="31">
        <f>C29+D29+E29+F29</f>
        <v>690500000</v>
      </c>
      <c r="H29" s="31"/>
      <c r="I29" s="27"/>
      <c r="J29" s="27"/>
      <c r="K29" s="27"/>
      <c r="L29" s="27"/>
      <c r="M29" s="27"/>
      <c r="N29" s="27"/>
      <c r="O29" s="27"/>
      <c r="P29" s="31"/>
      <c r="Q29" s="27"/>
      <c r="R29" s="5">
        <f>G29+H29</f>
        <v>690500000</v>
      </c>
      <c r="V29" s="5">
        <f t="shared" si="1"/>
        <v>0</v>
      </c>
    </row>
    <row r="30" spans="1:22" s="3" customFormat="1" ht="13.5" hidden="1">
      <c r="A30" s="90" t="s">
        <v>201</v>
      </c>
      <c r="B30" s="30" t="s">
        <v>18</v>
      </c>
      <c r="C30" s="31">
        <v>482055271</v>
      </c>
      <c r="D30" s="31"/>
      <c r="E30" s="31"/>
      <c r="F30" s="31"/>
      <c r="G30" s="31">
        <f>C30+D30+E30+F30</f>
        <v>482055271</v>
      </c>
      <c r="H30" s="31"/>
      <c r="I30" s="27"/>
      <c r="J30" s="27"/>
      <c r="K30" s="27"/>
      <c r="L30" s="27"/>
      <c r="M30" s="27"/>
      <c r="N30" s="27"/>
      <c r="O30" s="27"/>
      <c r="P30" s="31"/>
      <c r="Q30" s="27"/>
      <c r="R30" s="5"/>
      <c r="V30" s="5">
        <f t="shared" si="1"/>
        <v>0</v>
      </c>
    </row>
    <row r="31" spans="1:22" s="3" customFormat="1" ht="26.25" hidden="1">
      <c r="A31" s="91" t="s">
        <v>76</v>
      </c>
      <c r="B31" s="34" t="s">
        <v>302</v>
      </c>
      <c r="C31" s="33"/>
      <c r="D31" s="33"/>
      <c r="E31" s="33"/>
      <c r="F31" s="33"/>
      <c r="G31" s="33">
        <f>C31+D31+E31</f>
        <v>0</v>
      </c>
      <c r="H31" s="33"/>
      <c r="I31" s="29"/>
      <c r="J31" s="29"/>
      <c r="K31" s="29"/>
      <c r="L31" s="29"/>
      <c r="M31" s="29"/>
      <c r="N31" s="29"/>
      <c r="O31" s="29"/>
      <c r="P31" s="31"/>
      <c r="Q31" s="29"/>
      <c r="R31" s="5"/>
      <c r="V31" s="5">
        <f t="shared" si="1"/>
        <v>0</v>
      </c>
    </row>
    <row r="32" spans="1:22" s="3" customFormat="1" ht="26.25" hidden="1">
      <c r="A32" s="91" t="s">
        <v>77</v>
      </c>
      <c r="B32" s="34" t="s">
        <v>288</v>
      </c>
      <c r="C32" s="33"/>
      <c r="D32" s="33"/>
      <c r="E32" s="33"/>
      <c r="F32" s="33"/>
      <c r="G32" s="33">
        <f>C32+D32+E32</f>
        <v>0</v>
      </c>
      <c r="H32" s="33"/>
      <c r="I32" s="29"/>
      <c r="J32" s="29"/>
      <c r="K32" s="29"/>
      <c r="L32" s="29"/>
      <c r="M32" s="29"/>
      <c r="N32" s="29"/>
      <c r="O32" s="29"/>
      <c r="P32" s="31"/>
      <c r="Q32" s="29"/>
      <c r="R32" s="5">
        <f>G32+H32</f>
        <v>0</v>
      </c>
      <c r="V32" s="5">
        <f t="shared" si="1"/>
        <v>0</v>
      </c>
    </row>
    <row r="33" spans="1:22" s="3" customFormat="1" ht="26.25" hidden="1">
      <c r="A33" s="91" t="s">
        <v>79</v>
      </c>
      <c r="B33" s="34" t="s">
        <v>303</v>
      </c>
      <c r="C33" s="33"/>
      <c r="D33" s="33"/>
      <c r="E33" s="33"/>
      <c r="F33" s="33"/>
      <c r="G33" s="33">
        <f>C33+D33+E33</f>
        <v>0</v>
      </c>
      <c r="H33" s="33"/>
      <c r="I33" s="29"/>
      <c r="J33" s="29"/>
      <c r="K33" s="29"/>
      <c r="L33" s="29"/>
      <c r="M33" s="29"/>
      <c r="N33" s="29"/>
      <c r="O33" s="29"/>
      <c r="P33" s="31"/>
      <c r="Q33" s="29"/>
      <c r="R33" s="5"/>
      <c r="V33" s="5">
        <f t="shared" si="1"/>
        <v>0</v>
      </c>
    </row>
    <row r="34" spans="1:22" s="3" customFormat="1" ht="13.5" hidden="1">
      <c r="A34" s="90" t="s">
        <v>202</v>
      </c>
      <c r="B34" s="30" t="s">
        <v>20</v>
      </c>
      <c r="C34" s="31">
        <v>14250000</v>
      </c>
      <c r="D34" s="31"/>
      <c r="E34" s="31"/>
      <c r="F34" s="31"/>
      <c r="G34" s="31">
        <f>C34+D34+E34+F34</f>
        <v>14250000</v>
      </c>
      <c r="H34" s="31"/>
      <c r="I34" s="27"/>
      <c r="J34" s="27"/>
      <c r="K34" s="27"/>
      <c r="L34" s="27"/>
      <c r="M34" s="27"/>
      <c r="N34" s="27"/>
      <c r="O34" s="27"/>
      <c r="P34" s="31"/>
      <c r="Q34" s="27"/>
      <c r="R34" s="5">
        <f>G34+H34</f>
        <v>14250000</v>
      </c>
      <c r="V34" s="5">
        <f t="shared" si="1"/>
        <v>0</v>
      </c>
    </row>
    <row r="35" spans="1:22" s="3" customFormat="1" ht="13.5" hidden="1">
      <c r="A35" s="91" t="s">
        <v>81</v>
      </c>
      <c r="B35" s="32" t="s">
        <v>80</v>
      </c>
      <c r="C35" s="33"/>
      <c r="D35" s="33"/>
      <c r="E35" s="33"/>
      <c r="F35" s="33"/>
      <c r="G35" s="33">
        <f>C35+D35+E35</f>
        <v>0</v>
      </c>
      <c r="H35" s="33"/>
      <c r="I35" s="29"/>
      <c r="J35" s="29"/>
      <c r="K35" s="29"/>
      <c r="L35" s="29"/>
      <c r="M35" s="29"/>
      <c r="N35" s="29"/>
      <c r="O35" s="29"/>
      <c r="P35" s="31"/>
      <c r="Q35" s="29"/>
      <c r="R35" s="5">
        <f>G35+H35</f>
        <v>0</v>
      </c>
      <c r="V35" s="5">
        <f t="shared" si="1"/>
        <v>0</v>
      </c>
    </row>
    <row r="36" spans="1:22" s="3" customFormat="1" ht="13.5" hidden="1">
      <c r="A36" s="91" t="s">
        <v>83</v>
      </c>
      <c r="B36" s="32" t="s">
        <v>82</v>
      </c>
      <c r="C36" s="33"/>
      <c r="D36" s="33"/>
      <c r="E36" s="33"/>
      <c r="F36" s="33"/>
      <c r="G36" s="33">
        <f>C36+D36+E36</f>
        <v>0</v>
      </c>
      <c r="H36" s="33"/>
      <c r="I36" s="29"/>
      <c r="J36" s="29"/>
      <c r="K36" s="29"/>
      <c r="L36" s="29"/>
      <c r="M36" s="29"/>
      <c r="N36" s="29"/>
      <c r="O36" s="29"/>
      <c r="P36" s="31"/>
      <c r="Q36" s="29"/>
      <c r="R36" s="5"/>
      <c r="V36" s="5">
        <f t="shared" si="1"/>
        <v>0</v>
      </c>
    </row>
    <row r="37" spans="1:22" s="3" customFormat="1" ht="27" hidden="1">
      <c r="A37" s="104" t="s">
        <v>359</v>
      </c>
      <c r="B37" s="105" t="s">
        <v>360</v>
      </c>
      <c r="C37" s="106"/>
      <c r="D37" s="106"/>
      <c r="E37" s="106"/>
      <c r="F37" s="106"/>
      <c r="G37" s="106"/>
      <c r="H37" s="106"/>
      <c r="I37" s="107"/>
      <c r="J37" s="107"/>
      <c r="K37" s="107"/>
      <c r="L37" s="107"/>
      <c r="M37" s="107"/>
      <c r="N37" s="107"/>
      <c r="O37" s="107"/>
      <c r="P37" s="106"/>
      <c r="Q37" s="137"/>
      <c r="R37" s="5"/>
      <c r="V37" s="5">
        <f t="shared" si="1"/>
        <v>0</v>
      </c>
    </row>
    <row r="38" spans="1:22" s="3" customFormat="1" ht="13.5" hidden="1">
      <c r="A38" s="90" t="s">
        <v>203</v>
      </c>
      <c r="B38" s="30" t="s">
        <v>19</v>
      </c>
      <c r="C38" s="31">
        <v>16243300</v>
      </c>
      <c r="D38" s="31"/>
      <c r="E38" s="31"/>
      <c r="F38" s="31"/>
      <c r="G38" s="31">
        <f>C38+D38+E38+F38</f>
        <v>16243300</v>
      </c>
      <c r="H38" s="31"/>
      <c r="I38" s="27"/>
      <c r="J38" s="27"/>
      <c r="K38" s="27"/>
      <c r="L38" s="27"/>
      <c r="M38" s="27"/>
      <c r="N38" s="27"/>
      <c r="O38" s="27"/>
      <c r="P38" s="31"/>
      <c r="Q38" s="27"/>
      <c r="R38" s="5">
        <f>G38+H38</f>
        <v>16243300</v>
      </c>
      <c r="V38" s="5">
        <f t="shared" si="1"/>
        <v>0</v>
      </c>
    </row>
    <row r="39" spans="1:22" s="3" customFormat="1" ht="12.75" customHeight="1" hidden="1">
      <c r="A39" s="90" t="s">
        <v>204</v>
      </c>
      <c r="B39" s="30" t="s">
        <v>78</v>
      </c>
      <c r="C39" s="31">
        <v>4890000</v>
      </c>
      <c r="D39" s="31"/>
      <c r="E39" s="31"/>
      <c r="F39" s="31"/>
      <c r="G39" s="31">
        <f>C39+D39+E39+F39</f>
        <v>4890000</v>
      </c>
      <c r="H39" s="31"/>
      <c r="I39" s="27"/>
      <c r="J39" s="27"/>
      <c r="K39" s="27"/>
      <c r="L39" s="27"/>
      <c r="M39" s="27"/>
      <c r="N39" s="27"/>
      <c r="O39" s="27"/>
      <c r="P39" s="31"/>
      <c r="Q39" s="27"/>
      <c r="R39" s="5">
        <f>G39+H39</f>
        <v>4890000</v>
      </c>
      <c r="V39" s="5">
        <f t="shared" si="1"/>
        <v>0</v>
      </c>
    </row>
    <row r="40" spans="1:22" s="1" customFormat="1" ht="12.75">
      <c r="A40" s="87" t="s">
        <v>205</v>
      </c>
      <c r="B40" s="24" t="s">
        <v>21</v>
      </c>
      <c r="C40" s="25">
        <f>C41+C54+C61+C67+C72</f>
        <v>344877835</v>
      </c>
      <c r="D40" s="25">
        <v>67617973</v>
      </c>
      <c r="E40" s="25">
        <f>E41+E54+E61+E67+E72+E80+E82</f>
        <v>0</v>
      </c>
      <c r="F40" s="25">
        <v>0</v>
      </c>
      <c r="G40" s="25">
        <f>C40+D40+E40+F40</f>
        <v>412495808</v>
      </c>
      <c r="H40" s="25">
        <f>H41+H54+H61+H67+H72+H78+H79</f>
        <v>-67169872</v>
      </c>
      <c r="I40" s="25">
        <v>0</v>
      </c>
      <c r="J40" s="25">
        <f aca="true" t="shared" si="3" ref="J40:Q40">J41+J54+J61+J67+J72+J78+J79</f>
        <v>617855</v>
      </c>
      <c r="K40" s="25">
        <f t="shared" si="3"/>
        <v>66605536</v>
      </c>
      <c r="L40" s="25">
        <f t="shared" si="3"/>
        <v>0</v>
      </c>
      <c r="M40" s="25">
        <f t="shared" si="3"/>
        <v>0</v>
      </c>
      <c r="N40" s="25">
        <f t="shared" si="3"/>
        <v>67223391</v>
      </c>
      <c r="O40" s="25">
        <f>O41+O79</f>
        <v>-256129</v>
      </c>
      <c r="P40" s="25">
        <f t="shared" si="3"/>
        <v>-66967262</v>
      </c>
      <c r="Q40" s="25">
        <f t="shared" si="3"/>
        <v>0</v>
      </c>
      <c r="R40" s="5">
        <f>G40+H40</f>
        <v>345325936</v>
      </c>
      <c r="S40" s="2">
        <f>Q41+Q54+Q61+Q67+Q72+Q79</f>
        <v>0</v>
      </c>
      <c r="V40" s="5">
        <f t="shared" si="1"/>
        <v>0</v>
      </c>
    </row>
    <row r="41" spans="1:22" s="3" customFormat="1" ht="13.5">
      <c r="A41" s="88" t="s">
        <v>22</v>
      </c>
      <c r="B41" s="36" t="s">
        <v>23</v>
      </c>
      <c r="C41" s="31">
        <v>239554523</v>
      </c>
      <c r="D41" s="31"/>
      <c r="E41" s="31">
        <f>E53</f>
        <v>0</v>
      </c>
      <c r="F41" s="31"/>
      <c r="G41" s="31">
        <f>C41+D41+E41+F41</f>
        <v>239554523</v>
      </c>
      <c r="H41" s="31">
        <f>H48+H45</f>
        <v>-560702</v>
      </c>
      <c r="I41" s="31">
        <v>0</v>
      </c>
      <c r="J41" s="27">
        <f>J42+J43+J44+J45+J48+J50+J51+J52+J53</f>
        <v>596435</v>
      </c>
      <c r="K41" s="27">
        <f aca="true" t="shared" si="4" ref="K41:Q41">K42+K43+K44+K45+K48+K50+K51+K52+K53</f>
        <v>0</v>
      </c>
      <c r="L41" s="27">
        <f t="shared" si="4"/>
        <v>0</v>
      </c>
      <c r="M41" s="27">
        <f t="shared" si="4"/>
        <v>0</v>
      </c>
      <c r="N41" s="27">
        <f t="shared" si="4"/>
        <v>596435</v>
      </c>
      <c r="O41" s="27">
        <f>O45</f>
        <v>-259763</v>
      </c>
      <c r="P41" s="27">
        <f t="shared" si="4"/>
        <v>-336672</v>
      </c>
      <c r="Q41" s="27">
        <f t="shared" si="4"/>
        <v>0</v>
      </c>
      <c r="R41" s="5">
        <f>G41+H41</f>
        <v>238993821</v>
      </c>
      <c r="V41" s="5">
        <f t="shared" si="1"/>
        <v>0</v>
      </c>
    </row>
    <row r="42" spans="1:22" s="3" customFormat="1" ht="12.75" hidden="1">
      <c r="A42" s="89" t="s">
        <v>85</v>
      </c>
      <c r="B42" s="34" t="s">
        <v>84</v>
      </c>
      <c r="C42" s="33"/>
      <c r="D42" s="33"/>
      <c r="E42" s="33"/>
      <c r="F42" s="33"/>
      <c r="G42" s="33">
        <f>C42+D42+E42+F42</f>
        <v>0</v>
      </c>
      <c r="H42" s="33"/>
      <c r="I42" s="29" t="s">
        <v>17</v>
      </c>
      <c r="J42" s="29">
        <v>0</v>
      </c>
      <c r="K42" s="29">
        <v>0</v>
      </c>
      <c r="L42" s="29">
        <v>0</v>
      </c>
      <c r="M42" s="29"/>
      <c r="N42" s="29">
        <f>J42+K42+L42+M42</f>
        <v>0</v>
      </c>
      <c r="O42" s="29"/>
      <c r="P42" s="29">
        <v>0</v>
      </c>
      <c r="Q42" s="29">
        <f>N42+P42</f>
        <v>0</v>
      </c>
      <c r="R42" s="5"/>
      <c r="S42" s="5">
        <f>N40+P40</f>
        <v>256129</v>
      </c>
      <c r="V42" s="5">
        <f t="shared" si="1"/>
        <v>0</v>
      </c>
    </row>
    <row r="43" spans="1:22" s="3" customFormat="1" ht="12.75" hidden="1">
      <c r="A43" s="89" t="s">
        <v>87</v>
      </c>
      <c r="B43" s="34" t="s">
        <v>86</v>
      </c>
      <c r="C43" s="33">
        <v>17000000</v>
      </c>
      <c r="D43" s="33"/>
      <c r="E43" s="33"/>
      <c r="F43" s="33"/>
      <c r="G43" s="33">
        <f aca="true" t="shared" si="5" ref="G43:G77">C43+D43+E43+F43</f>
        <v>17000000</v>
      </c>
      <c r="H43" s="33"/>
      <c r="I43" s="33"/>
      <c r="J43" s="29"/>
      <c r="K43" s="29"/>
      <c r="L43" s="29"/>
      <c r="M43" s="29"/>
      <c r="N43" s="29"/>
      <c r="O43" s="29"/>
      <c r="P43" s="29"/>
      <c r="Q43" s="29"/>
      <c r="R43" s="5"/>
      <c r="V43" s="5">
        <f t="shared" si="1"/>
        <v>0</v>
      </c>
    </row>
    <row r="44" spans="1:22" s="3" customFormat="1" ht="25.5" hidden="1">
      <c r="A44" s="89" t="s">
        <v>88</v>
      </c>
      <c r="B44" s="34" t="s">
        <v>90</v>
      </c>
      <c r="C44" s="33">
        <v>79946625</v>
      </c>
      <c r="D44" s="33"/>
      <c r="E44" s="33"/>
      <c r="F44" s="33"/>
      <c r="G44" s="33">
        <f t="shared" si="5"/>
        <v>79946625</v>
      </c>
      <c r="H44" s="33"/>
      <c r="I44" s="33"/>
      <c r="J44" s="29"/>
      <c r="K44" s="29"/>
      <c r="L44" s="29"/>
      <c r="M44" s="29"/>
      <c r="N44" s="29"/>
      <c r="O44" s="29"/>
      <c r="P44" s="29"/>
      <c r="Q44" s="29"/>
      <c r="R44" s="5"/>
      <c r="V44" s="5">
        <f t="shared" si="1"/>
        <v>0</v>
      </c>
    </row>
    <row r="45" spans="1:22" s="3" customFormat="1" ht="25.5">
      <c r="A45" s="89" t="s">
        <v>89</v>
      </c>
      <c r="B45" s="34" t="s">
        <v>91</v>
      </c>
      <c r="C45" s="33">
        <v>17370586</v>
      </c>
      <c r="D45" s="33"/>
      <c r="E45" s="33"/>
      <c r="F45" s="33"/>
      <c r="G45" s="33">
        <f t="shared" si="5"/>
        <v>17370586</v>
      </c>
      <c r="H45" s="33">
        <f>H47</f>
        <v>-378370</v>
      </c>
      <c r="I45" s="33"/>
      <c r="J45" s="29">
        <f aca="true" t="shared" si="6" ref="J45:P45">J46+J47</f>
        <v>413980</v>
      </c>
      <c r="K45" s="29">
        <f t="shared" si="6"/>
        <v>0</v>
      </c>
      <c r="L45" s="29">
        <f t="shared" si="6"/>
        <v>0</v>
      </c>
      <c r="M45" s="29">
        <f t="shared" si="6"/>
        <v>0</v>
      </c>
      <c r="N45" s="29">
        <f t="shared" si="6"/>
        <v>413980</v>
      </c>
      <c r="O45" s="29">
        <f t="shared" si="6"/>
        <v>-259763</v>
      </c>
      <c r="P45" s="29">
        <f t="shared" si="6"/>
        <v>-154217</v>
      </c>
      <c r="Q45" s="29"/>
      <c r="R45" s="5"/>
      <c r="V45" s="5">
        <f t="shared" si="1"/>
        <v>0</v>
      </c>
    </row>
    <row r="46" spans="1:22" s="121" customFormat="1" ht="12.75">
      <c r="A46" s="122"/>
      <c r="B46" s="117" t="s">
        <v>368</v>
      </c>
      <c r="C46" s="119">
        <v>0</v>
      </c>
      <c r="D46" s="119"/>
      <c r="E46" s="119"/>
      <c r="F46" s="119"/>
      <c r="G46" s="119">
        <f t="shared" si="5"/>
        <v>0</v>
      </c>
      <c r="H46" s="119"/>
      <c r="I46" s="119"/>
      <c r="J46" s="123">
        <v>259763</v>
      </c>
      <c r="K46" s="123"/>
      <c r="L46" s="123"/>
      <c r="M46" s="123"/>
      <c r="N46" s="123">
        <f>J46</f>
        <v>259763</v>
      </c>
      <c r="O46" s="123">
        <f>-N46</f>
        <v>-259763</v>
      </c>
      <c r="P46" s="123">
        <v>0</v>
      </c>
      <c r="Q46" s="123">
        <f>N46+O46</f>
        <v>0</v>
      </c>
      <c r="R46" s="124"/>
      <c r="V46" s="5">
        <f t="shared" si="1"/>
        <v>0</v>
      </c>
    </row>
    <row r="47" spans="1:22" s="3" customFormat="1" ht="12.75">
      <c r="A47" s="92"/>
      <c r="B47" s="72" t="s">
        <v>334</v>
      </c>
      <c r="C47" s="73">
        <f>378370</f>
        <v>378370</v>
      </c>
      <c r="D47" s="73"/>
      <c r="E47" s="73"/>
      <c r="F47" s="73"/>
      <c r="G47" s="74">
        <f t="shared" si="5"/>
        <v>378370</v>
      </c>
      <c r="H47" s="73">
        <f>-G47</f>
        <v>-378370</v>
      </c>
      <c r="I47" s="75">
        <v>0</v>
      </c>
      <c r="J47" s="75">
        <f>154217</f>
        <v>154217</v>
      </c>
      <c r="K47" s="75">
        <v>0</v>
      </c>
      <c r="L47" s="75">
        <v>0</v>
      </c>
      <c r="M47" s="75">
        <v>0</v>
      </c>
      <c r="N47" s="75">
        <f>J47+K47+L47+M47</f>
        <v>154217</v>
      </c>
      <c r="O47" s="75">
        <v>0</v>
      </c>
      <c r="P47" s="75">
        <f>-N47</f>
        <v>-154217</v>
      </c>
      <c r="Q47" s="75">
        <v>0</v>
      </c>
      <c r="V47" s="5">
        <f t="shared" si="1"/>
        <v>0</v>
      </c>
    </row>
    <row r="48" spans="1:22" s="3" customFormat="1" ht="25.5">
      <c r="A48" s="89" t="s">
        <v>93</v>
      </c>
      <c r="B48" s="34" t="s">
        <v>92</v>
      </c>
      <c r="C48" s="33">
        <v>7927312</v>
      </c>
      <c r="D48" s="33"/>
      <c r="E48" s="33"/>
      <c r="F48" s="33"/>
      <c r="G48" s="33">
        <f t="shared" si="5"/>
        <v>7927312</v>
      </c>
      <c r="H48" s="33">
        <f>H49</f>
        <v>-182332</v>
      </c>
      <c r="I48" s="33"/>
      <c r="J48" s="29">
        <f aca="true" t="shared" si="7" ref="J48:P48">J49</f>
        <v>182455</v>
      </c>
      <c r="K48" s="29">
        <f t="shared" si="7"/>
        <v>0</v>
      </c>
      <c r="L48" s="29">
        <f t="shared" si="7"/>
        <v>0</v>
      </c>
      <c r="M48" s="29">
        <f t="shared" si="7"/>
        <v>0</v>
      </c>
      <c r="N48" s="29">
        <f t="shared" si="7"/>
        <v>182455</v>
      </c>
      <c r="O48" s="29">
        <f t="shared" si="7"/>
        <v>0</v>
      </c>
      <c r="P48" s="29">
        <f t="shared" si="7"/>
        <v>-182455</v>
      </c>
      <c r="Q48" s="29"/>
      <c r="R48" s="5"/>
      <c r="V48" s="5">
        <f t="shared" si="1"/>
        <v>0</v>
      </c>
    </row>
    <row r="49" spans="1:22" s="3" customFormat="1" ht="12.75">
      <c r="A49" s="92"/>
      <c r="B49" s="72" t="s">
        <v>334</v>
      </c>
      <c r="C49" s="73">
        <f>174567+669+7096</f>
        <v>182332</v>
      </c>
      <c r="D49" s="73"/>
      <c r="E49" s="73"/>
      <c r="F49" s="73"/>
      <c r="G49" s="74">
        <f t="shared" si="5"/>
        <v>182332</v>
      </c>
      <c r="H49" s="73">
        <f>-G49</f>
        <v>-182332</v>
      </c>
      <c r="I49" s="75">
        <f>G49+H49</f>
        <v>0</v>
      </c>
      <c r="J49" s="75">
        <f>174566+669+125+7095</f>
        <v>182455</v>
      </c>
      <c r="K49" s="75">
        <v>0</v>
      </c>
      <c r="L49" s="75">
        <v>0</v>
      </c>
      <c r="M49" s="75">
        <v>0</v>
      </c>
      <c r="N49" s="75">
        <f>J49+K49+L49+M49</f>
        <v>182455</v>
      </c>
      <c r="O49" s="75">
        <v>0</v>
      </c>
      <c r="P49" s="75">
        <f>-N49</f>
        <v>-182455</v>
      </c>
      <c r="Q49" s="75">
        <v>0</v>
      </c>
      <c r="V49" s="5">
        <f t="shared" si="1"/>
        <v>0</v>
      </c>
    </row>
    <row r="50" spans="1:22" s="3" customFormat="1" ht="25.5" hidden="1">
      <c r="A50" s="89" t="s">
        <v>94</v>
      </c>
      <c r="B50" s="34" t="s">
        <v>95</v>
      </c>
      <c r="C50" s="33">
        <v>27900000</v>
      </c>
      <c r="D50" s="33"/>
      <c r="E50" s="33"/>
      <c r="F50" s="33">
        <v>0</v>
      </c>
      <c r="G50" s="33">
        <f t="shared" si="5"/>
        <v>27900000</v>
      </c>
      <c r="H50" s="33"/>
      <c r="I50" s="33"/>
      <c r="J50" s="29"/>
      <c r="K50" s="29"/>
      <c r="L50" s="29"/>
      <c r="M50" s="29"/>
      <c r="N50" s="29"/>
      <c r="O50" s="29"/>
      <c r="P50" s="29"/>
      <c r="Q50" s="29"/>
      <c r="R50" s="5"/>
      <c r="V50" s="5">
        <f t="shared" si="1"/>
        <v>0</v>
      </c>
    </row>
    <row r="51" spans="1:22" s="3" customFormat="1" ht="25.5" hidden="1">
      <c r="A51" s="89" t="s">
        <v>97</v>
      </c>
      <c r="B51" s="34" t="s">
        <v>96</v>
      </c>
      <c r="C51" s="33">
        <v>12100000</v>
      </c>
      <c r="D51" s="33"/>
      <c r="E51" s="33"/>
      <c r="F51" s="33"/>
      <c r="G51" s="33">
        <f t="shared" si="5"/>
        <v>12100000</v>
      </c>
      <c r="H51" s="33"/>
      <c r="I51" s="29"/>
      <c r="J51" s="29"/>
      <c r="K51" s="29"/>
      <c r="L51" s="29"/>
      <c r="M51" s="29"/>
      <c r="N51" s="29"/>
      <c r="O51" s="29"/>
      <c r="P51" s="29"/>
      <c r="Q51" s="29"/>
      <c r="R51" s="5"/>
      <c r="V51" s="5">
        <f t="shared" si="1"/>
        <v>0</v>
      </c>
    </row>
    <row r="52" spans="1:22" s="3" customFormat="1" ht="25.5" hidden="1">
      <c r="A52" s="89" t="s">
        <v>291</v>
      </c>
      <c r="B52" s="34" t="s">
        <v>292</v>
      </c>
      <c r="C52" s="33">
        <v>77310000</v>
      </c>
      <c r="D52" s="33"/>
      <c r="E52" s="33"/>
      <c r="F52" s="33"/>
      <c r="G52" s="33">
        <f t="shared" si="5"/>
        <v>77310000</v>
      </c>
      <c r="H52" s="33"/>
      <c r="I52" s="33"/>
      <c r="J52" s="29"/>
      <c r="K52" s="29"/>
      <c r="L52" s="29"/>
      <c r="M52" s="29"/>
      <c r="N52" s="29"/>
      <c r="O52" s="29"/>
      <c r="P52" s="29"/>
      <c r="Q52" s="29"/>
      <c r="R52" s="5"/>
      <c r="V52" s="5">
        <f t="shared" si="1"/>
        <v>0</v>
      </c>
    </row>
    <row r="53" spans="1:22" s="3" customFormat="1" ht="12.75" hidden="1">
      <c r="A53" s="89" t="s">
        <v>98</v>
      </c>
      <c r="B53" s="34" t="s">
        <v>99</v>
      </c>
      <c r="C53" s="33"/>
      <c r="D53" s="33"/>
      <c r="E53" s="33"/>
      <c r="F53" s="33"/>
      <c r="G53" s="33">
        <f t="shared" si="5"/>
        <v>0</v>
      </c>
      <c r="H53" s="33"/>
      <c r="I53" s="29"/>
      <c r="J53" s="29"/>
      <c r="K53" s="29"/>
      <c r="L53" s="29"/>
      <c r="M53" s="29"/>
      <c r="N53" s="29"/>
      <c r="O53" s="29"/>
      <c r="P53" s="29"/>
      <c r="Q53" s="29"/>
      <c r="R53" s="5"/>
      <c r="V53" s="5">
        <f t="shared" si="1"/>
        <v>0</v>
      </c>
    </row>
    <row r="54" spans="1:22" s="3" customFormat="1" ht="13.5" hidden="1">
      <c r="A54" s="88" t="s">
        <v>24</v>
      </c>
      <c r="B54" s="36" t="s">
        <v>100</v>
      </c>
      <c r="C54" s="31">
        <f>C55+C56+C57+C60</f>
        <v>79992728</v>
      </c>
      <c r="D54" s="31"/>
      <c r="E54" s="31"/>
      <c r="F54" s="31"/>
      <c r="G54" s="31">
        <f t="shared" si="5"/>
        <v>79992728</v>
      </c>
      <c r="H54" s="31"/>
      <c r="I54" s="31"/>
      <c r="J54" s="27"/>
      <c r="K54" s="27"/>
      <c r="L54" s="27"/>
      <c r="M54" s="27"/>
      <c r="N54" s="27"/>
      <c r="O54" s="27"/>
      <c r="P54" s="27"/>
      <c r="Q54" s="27"/>
      <c r="R54" s="5">
        <f>G54+H54</f>
        <v>79992728</v>
      </c>
      <c r="V54" s="5">
        <f t="shared" si="1"/>
        <v>0</v>
      </c>
    </row>
    <row r="55" spans="1:22" s="3" customFormat="1" ht="25.5" hidden="1">
      <c r="A55" s="89" t="s">
        <v>101</v>
      </c>
      <c r="B55" s="34" t="s">
        <v>106</v>
      </c>
      <c r="C55" s="33">
        <v>35351912</v>
      </c>
      <c r="D55" s="33"/>
      <c r="E55" s="33"/>
      <c r="F55" s="33"/>
      <c r="G55" s="33">
        <f t="shared" si="5"/>
        <v>35351912</v>
      </c>
      <c r="H55" s="33"/>
      <c r="I55" s="33"/>
      <c r="J55" s="29"/>
      <c r="K55" s="29"/>
      <c r="L55" s="29"/>
      <c r="M55" s="29"/>
      <c r="N55" s="29"/>
      <c r="O55" s="29"/>
      <c r="P55" s="29"/>
      <c r="Q55" s="29"/>
      <c r="R55" s="5"/>
      <c r="V55" s="5">
        <f t="shared" si="1"/>
        <v>0</v>
      </c>
    </row>
    <row r="56" spans="1:22" s="3" customFormat="1" ht="38.25" hidden="1">
      <c r="A56" s="89" t="s">
        <v>102</v>
      </c>
      <c r="B56" s="34" t="s">
        <v>107</v>
      </c>
      <c r="C56" s="33">
        <v>990000</v>
      </c>
      <c r="D56" s="33"/>
      <c r="E56" s="33"/>
      <c r="F56" s="33"/>
      <c r="G56" s="33">
        <f t="shared" si="5"/>
        <v>990000</v>
      </c>
      <c r="H56" s="33"/>
      <c r="I56" s="33"/>
      <c r="J56" s="29"/>
      <c r="K56" s="29"/>
      <c r="L56" s="29"/>
      <c r="M56" s="29"/>
      <c r="N56" s="29"/>
      <c r="O56" s="29"/>
      <c r="P56" s="29"/>
      <c r="Q56" s="29"/>
      <c r="R56" s="5"/>
      <c r="V56" s="5">
        <f t="shared" si="1"/>
        <v>0</v>
      </c>
    </row>
    <row r="57" spans="1:22" s="3" customFormat="1" ht="12.75" hidden="1">
      <c r="A57" s="89" t="s">
        <v>103</v>
      </c>
      <c r="B57" s="34" t="s">
        <v>108</v>
      </c>
      <c r="C57" s="33">
        <v>42963216</v>
      </c>
      <c r="D57" s="33"/>
      <c r="E57" s="33"/>
      <c r="F57" s="33"/>
      <c r="G57" s="33">
        <f t="shared" si="5"/>
        <v>42963216</v>
      </c>
      <c r="H57" s="33"/>
      <c r="I57" s="33"/>
      <c r="J57" s="29"/>
      <c r="K57" s="29"/>
      <c r="L57" s="29"/>
      <c r="M57" s="29"/>
      <c r="N57" s="29"/>
      <c r="O57" s="29"/>
      <c r="P57" s="29"/>
      <c r="Q57" s="29"/>
      <c r="R57" s="5"/>
      <c r="V57" s="5">
        <f t="shared" si="1"/>
        <v>0</v>
      </c>
    </row>
    <row r="58" spans="1:22" s="3" customFormat="1" ht="12.75" hidden="1">
      <c r="A58" s="89" t="s">
        <v>104</v>
      </c>
      <c r="B58" s="34" t="s">
        <v>109</v>
      </c>
      <c r="C58" s="33"/>
      <c r="D58" s="33"/>
      <c r="E58" s="33"/>
      <c r="F58" s="33"/>
      <c r="G58" s="33">
        <f t="shared" si="5"/>
        <v>0</v>
      </c>
      <c r="H58" s="33"/>
      <c r="I58" s="29"/>
      <c r="J58" s="29"/>
      <c r="K58" s="29"/>
      <c r="L58" s="29"/>
      <c r="M58" s="29"/>
      <c r="N58" s="29"/>
      <c r="O58" s="29"/>
      <c r="P58" s="29"/>
      <c r="Q58" s="29"/>
      <c r="R58" s="5"/>
      <c r="V58" s="5">
        <f t="shared" si="1"/>
        <v>0</v>
      </c>
    </row>
    <row r="59" spans="1:22" s="3" customFormat="1" ht="12.75" hidden="1">
      <c r="A59" s="89" t="s">
        <v>25</v>
      </c>
      <c r="B59" s="34" t="s">
        <v>110</v>
      </c>
      <c r="C59" s="33"/>
      <c r="D59" s="33"/>
      <c r="E59" s="33"/>
      <c r="F59" s="33"/>
      <c r="G59" s="33">
        <f t="shared" si="5"/>
        <v>0</v>
      </c>
      <c r="H59" s="33"/>
      <c r="I59" s="29"/>
      <c r="J59" s="29"/>
      <c r="K59" s="29"/>
      <c r="L59" s="29"/>
      <c r="M59" s="29"/>
      <c r="N59" s="29"/>
      <c r="O59" s="29"/>
      <c r="P59" s="29"/>
      <c r="Q59" s="29"/>
      <c r="R59" s="5"/>
      <c r="V59" s="5">
        <f t="shared" si="1"/>
        <v>0</v>
      </c>
    </row>
    <row r="60" spans="1:22" s="3" customFormat="1" ht="12.75" hidden="1">
      <c r="A60" s="89" t="s">
        <v>105</v>
      </c>
      <c r="B60" s="34" t="s">
        <v>111</v>
      </c>
      <c r="C60" s="33">
        <v>687600</v>
      </c>
      <c r="D60" s="33"/>
      <c r="E60" s="33"/>
      <c r="F60" s="33"/>
      <c r="G60" s="33">
        <f t="shared" si="5"/>
        <v>687600</v>
      </c>
      <c r="H60" s="33"/>
      <c r="I60" s="33"/>
      <c r="J60" s="29"/>
      <c r="K60" s="29"/>
      <c r="L60" s="29"/>
      <c r="M60" s="29"/>
      <c r="N60" s="29"/>
      <c r="O60" s="29"/>
      <c r="P60" s="29"/>
      <c r="Q60" s="29"/>
      <c r="R60" s="5"/>
      <c r="V60" s="5">
        <f t="shared" si="1"/>
        <v>0</v>
      </c>
    </row>
    <row r="61" spans="1:22" s="3" customFormat="1" ht="13.5" hidden="1">
      <c r="A61" s="90" t="s">
        <v>26</v>
      </c>
      <c r="B61" s="30" t="s">
        <v>194</v>
      </c>
      <c r="C61" s="31">
        <v>16000000</v>
      </c>
      <c r="D61" s="31"/>
      <c r="E61" s="31"/>
      <c r="F61" s="31"/>
      <c r="G61" s="31">
        <f t="shared" si="5"/>
        <v>16000000</v>
      </c>
      <c r="H61" s="31"/>
      <c r="I61" s="31"/>
      <c r="J61" s="27"/>
      <c r="K61" s="27"/>
      <c r="L61" s="27"/>
      <c r="M61" s="27"/>
      <c r="N61" s="27"/>
      <c r="O61" s="27"/>
      <c r="P61" s="27"/>
      <c r="Q61" s="27"/>
      <c r="R61" s="5">
        <f>G61+H61</f>
        <v>16000000</v>
      </c>
      <c r="V61" s="5">
        <f t="shared" si="1"/>
        <v>0</v>
      </c>
    </row>
    <row r="62" spans="1:22" s="3" customFormat="1" ht="12.75" hidden="1">
      <c r="A62" s="91" t="s">
        <v>113</v>
      </c>
      <c r="B62" s="32" t="s">
        <v>112</v>
      </c>
      <c r="C62" s="33"/>
      <c r="D62" s="33"/>
      <c r="E62" s="33"/>
      <c r="F62" s="33"/>
      <c r="G62" s="33">
        <f t="shared" si="5"/>
        <v>0</v>
      </c>
      <c r="H62" s="33"/>
      <c r="I62" s="29"/>
      <c r="J62" s="29"/>
      <c r="K62" s="29"/>
      <c r="L62" s="29"/>
      <c r="M62" s="29"/>
      <c r="N62" s="29"/>
      <c r="O62" s="29"/>
      <c r="P62" s="29"/>
      <c r="Q62" s="29"/>
      <c r="R62" s="5"/>
      <c r="V62" s="5">
        <f t="shared" si="1"/>
        <v>0</v>
      </c>
    </row>
    <row r="63" spans="1:22" s="3" customFormat="1" ht="25.5" hidden="1">
      <c r="A63" s="91" t="s">
        <v>114</v>
      </c>
      <c r="B63" s="34" t="s">
        <v>321</v>
      </c>
      <c r="C63" s="33"/>
      <c r="D63" s="33"/>
      <c r="E63" s="33"/>
      <c r="F63" s="33"/>
      <c r="G63" s="33">
        <f t="shared" si="5"/>
        <v>0</v>
      </c>
      <c r="H63" s="33"/>
      <c r="I63" s="29"/>
      <c r="J63" s="29"/>
      <c r="K63" s="29"/>
      <c r="L63" s="29"/>
      <c r="M63" s="29"/>
      <c r="N63" s="29"/>
      <c r="O63" s="29"/>
      <c r="P63" s="29"/>
      <c r="Q63" s="29"/>
      <c r="R63" s="5"/>
      <c r="V63" s="5">
        <f t="shared" si="1"/>
        <v>0</v>
      </c>
    </row>
    <row r="64" spans="1:22" s="3" customFormat="1" ht="25.5" hidden="1">
      <c r="A64" s="91" t="s">
        <v>115</v>
      </c>
      <c r="B64" s="34" t="s">
        <v>322</v>
      </c>
      <c r="C64" s="33"/>
      <c r="D64" s="33"/>
      <c r="E64" s="33"/>
      <c r="F64" s="33"/>
      <c r="G64" s="33">
        <f t="shared" si="5"/>
        <v>0</v>
      </c>
      <c r="H64" s="33"/>
      <c r="I64" s="29"/>
      <c r="J64" s="29"/>
      <c r="K64" s="29"/>
      <c r="L64" s="29"/>
      <c r="M64" s="29"/>
      <c r="N64" s="29"/>
      <c r="O64" s="29"/>
      <c r="P64" s="29"/>
      <c r="Q64" s="29"/>
      <c r="R64" s="5"/>
      <c r="V64" s="5">
        <f t="shared" si="1"/>
        <v>0</v>
      </c>
    </row>
    <row r="65" spans="1:22" s="3" customFormat="1" ht="25.5" hidden="1">
      <c r="A65" s="91" t="s">
        <v>116</v>
      </c>
      <c r="B65" s="34" t="s">
        <v>323</v>
      </c>
      <c r="C65" s="33"/>
      <c r="D65" s="33"/>
      <c r="E65" s="33"/>
      <c r="F65" s="33"/>
      <c r="G65" s="33">
        <f t="shared" si="5"/>
        <v>0</v>
      </c>
      <c r="H65" s="33"/>
      <c r="I65" s="29"/>
      <c r="J65" s="29"/>
      <c r="K65" s="29"/>
      <c r="L65" s="29"/>
      <c r="M65" s="29"/>
      <c r="N65" s="29"/>
      <c r="O65" s="29"/>
      <c r="P65" s="29"/>
      <c r="Q65" s="29"/>
      <c r="R65" s="5"/>
      <c r="V65" s="5">
        <f t="shared" si="1"/>
        <v>0</v>
      </c>
    </row>
    <row r="66" spans="1:22" s="3" customFormat="1" ht="25.5" hidden="1">
      <c r="A66" s="91" t="s">
        <v>117</v>
      </c>
      <c r="B66" s="34" t="s">
        <v>324</v>
      </c>
      <c r="C66" s="33"/>
      <c r="D66" s="33"/>
      <c r="E66" s="33"/>
      <c r="F66" s="33"/>
      <c r="G66" s="33">
        <f t="shared" si="5"/>
        <v>0</v>
      </c>
      <c r="H66" s="33"/>
      <c r="I66" s="29"/>
      <c r="J66" s="29"/>
      <c r="K66" s="29"/>
      <c r="L66" s="29"/>
      <c r="M66" s="29"/>
      <c r="N66" s="29"/>
      <c r="O66" s="29"/>
      <c r="P66" s="29"/>
      <c r="Q66" s="29"/>
      <c r="R66" s="5"/>
      <c r="V66" s="5">
        <f t="shared" si="1"/>
        <v>0</v>
      </c>
    </row>
    <row r="67" spans="1:22" s="3" customFormat="1" ht="13.5">
      <c r="A67" s="90" t="s">
        <v>44</v>
      </c>
      <c r="B67" s="30" t="s">
        <v>195</v>
      </c>
      <c r="C67" s="31">
        <v>9330584</v>
      </c>
      <c r="D67" s="31"/>
      <c r="E67" s="31"/>
      <c r="F67" s="31"/>
      <c r="G67" s="31">
        <f t="shared" si="5"/>
        <v>9330584</v>
      </c>
      <c r="H67" s="31"/>
      <c r="I67" s="31"/>
      <c r="J67" s="27">
        <f aca="true" t="shared" si="8" ref="J67:P67">J70</f>
        <v>21420</v>
      </c>
      <c r="K67" s="27">
        <f t="shared" si="8"/>
        <v>0</v>
      </c>
      <c r="L67" s="27">
        <f t="shared" si="8"/>
        <v>0</v>
      </c>
      <c r="M67" s="27">
        <f t="shared" si="8"/>
        <v>0</v>
      </c>
      <c r="N67" s="27">
        <f t="shared" si="8"/>
        <v>21420</v>
      </c>
      <c r="O67" s="27">
        <f t="shared" si="8"/>
        <v>0</v>
      </c>
      <c r="P67" s="27">
        <f t="shared" si="8"/>
        <v>-21420</v>
      </c>
      <c r="Q67" s="27"/>
      <c r="R67" s="5">
        <f>G67+H67</f>
        <v>9330584</v>
      </c>
      <c r="V67" s="5">
        <f t="shared" si="1"/>
        <v>0</v>
      </c>
    </row>
    <row r="68" spans="1:22" s="3" customFormat="1" ht="12.75" hidden="1">
      <c r="A68" s="91" t="s">
        <v>118</v>
      </c>
      <c r="B68" s="32" t="s">
        <v>121</v>
      </c>
      <c r="C68" s="33"/>
      <c r="D68" s="33"/>
      <c r="E68" s="33"/>
      <c r="F68" s="33"/>
      <c r="G68" s="33">
        <f t="shared" si="5"/>
        <v>0</v>
      </c>
      <c r="H68" s="33"/>
      <c r="I68" s="128"/>
      <c r="J68" s="128"/>
      <c r="K68" s="128"/>
      <c r="L68" s="128"/>
      <c r="M68" s="128"/>
      <c r="N68" s="128"/>
      <c r="O68" s="128"/>
      <c r="P68" s="128"/>
      <c r="Q68" s="128"/>
      <c r="R68" s="5"/>
      <c r="V68" s="5">
        <f t="shared" si="1"/>
        <v>0</v>
      </c>
    </row>
    <row r="69" spans="1:22" s="3" customFormat="1" ht="25.5" hidden="1">
      <c r="A69" s="91" t="s">
        <v>119</v>
      </c>
      <c r="B69" s="34" t="s">
        <v>325</v>
      </c>
      <c r="C69" s="33"/>
      <c r="D69" s="33"/>
      <c r="E69" s="33"/>
      <c r="F69" s="33"/>
      <c r="G69" s="33">
        <f t="shared" si="5"/>
        <v>0</v>
      </c>
      <c r="H69" s="33"/>
      <c r="I69" s="128"/>
      <c r="J69" s="128"/>
      <c r="K69" s="128"/>
      <c r="L69" s="128"/>
      <c r="M69" s="128"/>
      <c r="N69" s="128"/>
      <c r="O69" s="128"/>
      <c r="P69" s="128"/>
      <c r="Q69" s="128"/>
      <c r="R69" s="5"/>
      <c r="V69" s="5">
        <f t="shared" si="1"/>
        <v>0</v>
      </c>
    </row>
    <row r="70" spans="1:22" s="3" customFormat="1" ht="12.75">
      <c r="A70" s="91" t="s">
        <v>120</v>
      </c>
      <c r="B70" s="32" t="s">
        <v>122</v>
      </c>
      <c r="C70" s="33"/>
      <c r="D70" s="33"/>
      <c r="E70" s="33"/>
      <c r="F70" s="33"/>
      <c r="G70" s="33">
        <f t="shared" si="5"/>
        <v>0</v>
      </c>
      <c r="H70" s="33"/>
      <c r="I70" s="128"/>
      <c r="J70" s="128">
        <f aca="true" t="shared" si="9" ref="J70:P70">J71</f>
        <v>21420</v>
      </c>
      <c r="K70" s="128">
        <f t="shared" si="9"/>
        <v>0</v>
      </c>
      <c r="L70" s="128">
        <f t="shared" si="9"/>
        <v>0</v>
      </c>
      <c r="M70" s="128">
        <f t="shared" si="9"/>
        <v>0</v>
      </c>
      <c r="N70" s="128">
        <f t="shared" si="9"/>
        <v>21420</v>
      </c>
      <c r="O70" s="128">
        <f t="shared" si="9"/>
        <v>0</v>
      </c>
      <c r="P70" s="128">
        <f t="shared" si="9"/>
        <v>-21420</v>
      </c>
      <c r="Q70" s="128"/>
      <c r="R70" s="5"/>
      <c r="V70" s="5">
        <f t="shared" si="1"/>
        <v>0</v>
      </c>
    </row>
    <row r="71" spans="1:22" s="3" customFormat="1" ht="12.75">
      <c r="A71" s="93"/>
      <c r="B71" s="39" t="s">
        <v>285</v>
      </c>
      <c r="C71" s="40">
        <v>0</v>
      </c>
      <c r="D71" s="40">
        <f>D69</f>
        <v>0</v>
      </c>
      <c r="E71" s="40"/>
      <c r="F71" s="40">
        <v>0</v>
      </c>
      <c r="G71" s="40">
        <f>C71+D71+E71+F71</f>
        <v>0</v>
      </c>
      <c r="H71" s="40">
        <f>-G71</f>
        <v>0</v>
      </c>
      <c r="I71" s="125">
        <v>0</v>
      </c>
      <c r="J71" s="125">
        <f>3411+17312+697</f>
        <v>21420</v>
      </c>
      <c r="K71" s="125">
        <v>0</v>
      </c>
      <c r="L71" s="125">
        <v>0</v>
      </c>
      <c r="M71" s="125">
        <v>0</v>
      </c>
      <c r="N71" s="125">
        <f>J71+K71+L71+M71</f>
        <v>21420</v>
      </c>
      <c r="O71" s="125">
        <v>0</v>
      </c>
      <c r="P71" s="125">
        <f>-N71</f>
        <v>-21420</v>
      </c>
      <c r="Q71" s="125">
        <f>N71+P71</f>
        <v>0</v>
      </c>
      <c r="V71" s="5">
        <f t="shared" si="1"/>
        <v>0</v>
      </c>
    </row>
    <row r="72" spans="1:22" s="3" customFormat="1" ht="27" hidden="1">
      <c r="A72" s="88" t="s">
        <v>27</v>
      </c>
      <c r="B72" s="36" t="s">
        <v>132</v>
      </c>
      <c r="C72" s="31"/>
      <c r="D72" s="31"/>
      <c r="E72" s="31"/>
      <c r="F72" s="31"/>
      <c r="G72" s="33">
        <f t="shared" si="5"/>
        <v>0</v>
      </c>
      <c r="H72" s="31"/>
      <c r="I72" s="132"/>
      <c r="J72" s="132"/>
      <c r="K72" s="132"/>
      <c r="L72" s="132"/>
      <c r="M72" s="132"/>
      <c r="N72" s="132"/>
      <c r="O72" s="132"/>
      <c r="P72" s="132"/>
      <c r="Q72" s="132"/>
      <c r="R72" s="5">
        <f>G72+H72</f>
        <v>0</v>
      </c>
      <c r="V72" s="5">
        <f t="shared" si="1"/>
        <v>0</v>
      </c>
    </row>
    <row r="73" spans="1:22" s="3" customFormat="1" ht="12.75" hidden="1">
      <c r="A73" s="91" t="s">
        <v>124</v>
      </c>
      <c r="B73" s="32" t="s">
        <v>123</v>
      </c>
      <c r="C73" s="33"/>
      <c r="D73" s="33"/>
      <c r="E73" s="33"/>
      <c r="F73" s="33"/>
      <c r="G73" s="33">
        <f t="shared" si="5"/>
        <v>0</v>
      </c>
      <c r="H73" s="33"/>
      <c r="I73" s="128"/>
      <c r="J73" s="128"/>
      <c r="K73" s="128"/>
      <c r="L73" s="128"/>
      <c r="M73" s="128"/>
      <c r="N73" s="128"/>
      <c r="O73" s="128"/>
      <c r="P73" s="128"/>
      <c r="Q73" s="128"/>
      <c r="R73" s="5"/>
      <c r="V73" s="5">
        <f t="shared" si="1"/>
        <v>0</v>
      </c>
    </row>
    <row r="74" spans="1:22" s="3" customFormat="1" ht="12.75" hidden="1">
      <c r="A74" s="91" t="s">
        <v>125</v>
      </c>
      <c r="B74" s="32" t="s">
        <v>129</v>
      </c>
      <c r="C74" s="33"/>
      <c r="D74" s="33"/>
      <c r="E74" s="33"/>
      <c r="F74" s="33"/>
      <c r="G74" s="33">
        <f t="shared" si="5"/>
        <v>0</v>
      </c>
      <c r="H74" s="33"/>
      <c r="I74" s="128"/>
      <c r="J74" s="128"/>
      <c r="K74" s="128"/>
      <c r="L74" s="128"/>
      <c r="M74" s="128"/>
      <c r="N74" s="128"/>
      <c r="O74" s="128"/>
      <c r="P74" s="128"/>
      <c r="Q74" s="128"/>
      <c r="R74" s="5"/>
      <c r="V74" s="5">
        <f t="shared" si="1"/>
        <v>0</v>
      </c>
    </row>
    <row r="75" spans="1:22" s="3" customFormat="1" ht="12.75" hidden="1">
      <c r="A75" s="91" t="s">
        <v>126</v>
      </c>
      <c r="B75" s="32" t="s">
        <v>130</v>
      </c>
      <c r="C75" s="33"/>
      <c r="D75" s="33"/>
      <c r="E75" s="33"/>
      <c r="F75" s="33"/>
      <c r="G75" s="33">
        <f t="shared" si="5"/>
        <v>0</v>
      </c>
      <c r="H75" s="33"/>
      <c r="I75" s="128"/>
      <c r="J75" s="128"/>
      <c r="K75" s="128"/>
      <c r="L75" s="128"/>
      <c r="M75" s="128"/>
      <c r="N75" s="128"/>
      <c r="O75" s="128"/>
      <c r="P75" s="128"/>
      <c r="Q75" s="128"/>
      <c r="R75" s="5"/>
      <c r="V75" s="5">
        <f t="shared" si="1"/>
        <v>0</v>
      </c>
    </row>
    <row r="76" spans="1:22" s="3" customFormat="1" ht="25.5" hidden="1">
      <c r="A76" s="91" t="s">
        <v>127</v>
      </c>
      <c r="B76" s="34" t="s">
        <v>326</v>
      </c>
      <c r="C76" s="33"/>
      <c r="D76" s="33"/>
      <c r="E76" s="33"/>
      <c r="F76" s="33"/>
      <c r="G76" s="33">
        <f t="shared" si="5"/>
        <v>0</v>
      </c>
      <c r="H76" s="33"/>
      <c r="I76" s="128" t="s">
        <v>17</v>
      </c>
      <c r="J76" s="128">
        <v>0</v>
      </c>
      <c r="K76" s="128">
        <v>0</v>
      </c>
      <c r="L76" s="128">
        <v>0</v>
      </c>
      <c r="M76" s="128">
        <v>0</v>
      </c>
      <c r="N76" s="128">
        <f>J76+K76+L76+M76</f>
        <v>0</v>
      </c>
      <c r="O76" s="128"/>
      <c r="P76" s="128">
        <v>0</v>
      </c>
      <c r="Q76" s="128">
        <f>N76+P76</f>
        <v>0</v>
      </c>
      <c r="R76" s="5"/>
      <c r="V76" s="5">
        <f t="shared" si="1"/>
        <v>0</v>
      </c>
    </row>
    <row r="77" spans="1:22" s="3" customFormat="1" ht="12.75" hidden="1">
      <c r="A77" s="91" t="s">
        <v>128</v>
      </c>
      <c r="B77" s="32" t="s">
        <v>131</v>
      </c>
      <c r="C77" s="33"/>
      <c r="D77" s="33"/>
      <c r="E77" s="33"/>
      <c r="F77" s="33"/>
      <c r="G77" s="33">
        <f t="shared" si="5"/>
        <v>0</v>
      </c>
      <c r="H77" s="33"/>
      <c r="I77" s="128" t="s">
        <v>17</v>
      </c>
      <c r="J77" s="128">
        <v>0</v>
      </c>
      <c r="K77" s="128">
        <v>0</v>
      </c>
      <c r="L77" s="128">
        <v>0</v>
      </c>
      <c r="M77" s="128">
        <v>0</v>
      </c>
      <c r="N77" s="128">
        <f>J77+K77+L77+M77</f>
        <v>0</v>
      </c>
      <c r="O77" s="128"/>
      <c r="P77" s="128">
        <v>0</v>
      </c>
      <c r="Q77" s="128">
        <f>N77+P77</f>
        <v>0</v>
      </c>
      <c r="R77" s="5"/>
      <c r="V77" s="5">
        <f aca="true" t="shared" si="10" ref="V77:V144">J77+K77+L77+M77-N77</f>
        <v>0</v>
      </c>
    </row>
    <row r="78" spans="1:22" s="3" customFormat="1" ht="13.5" hidden="1">
      <c r="A78" s="88" t="s">
        <v>293</v>
      </c>
      <c r="B78" s="36" t="s">
        <v>294</v>
      </c>
      <c r="C78" s="33"/>
      <c r="D78" s="33"/>
      <c r="E78" s="33"/>
      <c r="F78" s="33"/>
      <c r="G78" s="33"/>
      <c r="H78" s="33"/>
      <c r="I78" s="128" t="s">
        <v>17</v>
      </c>
      <c r="J78" s="128">
        <v>0</v>
      </c>
      <c r="K78" s="128">
        <v>0</v>
      </c>
      <c r="L78" s="128">
        <v>0</v>
      </c>
      <c r="M78" s="128">
        <v>0</v>
      </c>
      <c r="N78" s="128">
        <f>J78+K78+L78+M78</f>
        <v>0</v>
      </c>
      <c r="O78" s="128"/>
      <c r="P78" s="128">
        <v>0</v>
      </c>
      <c r="Q78" s="128">
        <f>N78+P78</f>
        <v>0</v>
      </c>
      <c r="R78" s="5"/>
      <c r="V78" s="5">
        <f t="shared" si="10"/>
        <v>0</v>
      </c>
    </row>
    <row r="79" spans="1:22" s="3" customFormat="1" ht="38.25">
      <c r="A79" s="44" t="s">
        <v>287</v>
      </c>
      <c r="B79" s="37" t="s">
        <v>286</v>
      </c>
      <c r="C79" s="23">
        <f aca="true" t="shared" si="11" ref="C79:Q79">C80+C82</f>
        <v>0</v>
      </c>
      <c r="D79" s="23">
        <f t="shared" si="11"/>
        <v>67617973</v>
      </c>
      <c r="E79" s="23">
        <f t="shared" si="11"/>
        <v>0</v>
      </c>
      <c r="F79" s="23"/>
      <c r="G79" s="23">
        <f t="shared" si="11"/>
        <v>67617973</v>
      </c>
      <c r="H79" s="23">
        <f t="shared" si="11"/>
        <v>-66609170</v>
      </c>
      <c r="I79" s="136">
        <f t="shared" si="11"/>
        <v>0</v>
      </c>
      <c r="J79" s="136">
        <f t="shared" si="11"/>
        <v>0</v>
      </c>
      <c r="K79" s="136">
        <f t="shared" si="11"/>
        <v>66605536</v>
      </c>
      <c r="L79" s="136">
        <f>L80+L82</f>
        <v>0</v>
      </c>
      <c r="M79" s="136">
        <f>M80+M82</f>
        <v>0</v>
      </c>
      <c r="N79" s="136">
        <f>N80+N82</f>
        <v>66605536</v>
      </c>
      <c r="O79" s="136">
        <f>O80</f>
        <v>3634</v>
      </c>
      <c r="P79" s="136">
        <f t="shared" si="11"/>
        <v>-66609170</v>
      </c>
      <c r="Q79" s="136">
        <f t="shared" si="11"/>
        <v>0</v>
      </c>
      <c r="R79" s="5"/>
      <c r="V79" s="5">
        <f t="shared" si="10"/>
        <v>0</v>
      </c>
    </row>
    <row r="80" spans="1:22" s="3" customFormat="1" ht="38.25">
      <c r="A80" s="89" t="s">
        <v>245</v>
      </c>
      <c r="B80" s="35" t="s">
        <v>179</v>
      </c>
      <c r="C80" s="33"/>
      <c r="D80" s="33">
        <v>541239</v>
      </c>
      <c r="E80" s="33"/>
      <c r="F80" s="33"/>
      <c r="G80" s="33">
        <f>C80+D80+E80+F80</f>
        <v>541239</v>
      </c>
      <c r="H80" s="33"/>
      <c r="I80" s="128"/>
      <c r="J80" s="128">
        <f>J81</f>
        <v>0</v>
      </c>
      <c r="K80" s="128">
        <f>K81</f>
        <v>-3634</v>
      </c>
      <c r="L80" s="128">
        <f>L81</f>
        <v>0</v>
      </c>
      <c r="M80" s="128">
        <f>M81</f>
        <v>0</v>
      </c>
      <c r="N80" s="128">
        <f>N81</f>
        <v>-3634</v>
      </c>
      <c r="O80" s="128">
        <f>O81</f>
        <v>3634</v>
      </c>
      <c r="P80" s="128"/>
      <c r="Q80" s="128"/>
      <c r="R80" s="5"/>
      <c r="V80" s="5">
        <f t="shared" si="10"/>
        <v>0</v>
      </c>
    </row>
    <row r="81" spans="1:22" s="3" customFormat="1" ht="12.75">
      <c r="A81" s="122"/>
      <c r="B81" s="117" t="s">
        <v>371</v>
      </c>
      <c r="C81" s="119"/>
      <c r="D81" s="119"/>
      <c r="E81" s="119"/>
      <c r="F81" s="119"/>
      <c r="G81" s="119"/>
      <c r="H81" s="119"/>
      <c r="I81" s="134" t="s">
        <v>17</v>
      </c>
      <c r="J81" s="134"/>
      <c r="K81" s="134">
        <v>-3634</v>
      </c>
      <c r="L81" s="134"/>
      <c r="M81" s="134"/>
      <c r="N81" s="134">
        <f>K81</f>
        <v>-3634</v>
      </c>
      <c r="O81" s="134">
        <f>-N81</f>
        <v>3634</v>
      </c>
      <c r="P81" s="134"/>
      <c r="Q81" s="123">
        <f>N81+O81</f>
        <v>0</v>
      </c>
      <c r="R81" s="5"/>
      <c r="V81" s="5"/>
    </row>
    <row r="82" spans="1:22" s="3" customFormat="1" ht="26.25" customHeight="1">
      <c r="A82" s="89" t="s">
        <v>246</v>
      </c>
      <c r="B82" s="35" t="s">
        <v>181</v>
      </c>
      <c r="C82" s="33"/>
      <c r="D82" s="33">
        <v>67076734</v>
      </c>
      <c r="E82" s="33"/>
      <c r="F82" s="33"/>
      <c r="G82" s="33">
        <f>C82+D82+E82+F82</f>
        <v>67076734</v>
      </c>
      <c r="H82" s="33">
        <f>H83</f>
        <v>-66609170</v>
      </c>
      <c r="I82" s="128"/>
      <c r="J82" s="128">
        <f aca="true" t="shared" si="12" ref="J82:P82">J83</f>
        <v>0</v>
      </c>
      <c r="K82" s="128">
        <f t="shared" si="12"/>
        <v>66609170</v>
      </c>
      <c r="L82" s="128">
        <f t="shared" si="12"/>
        <v>0</v>
      </c>
      <c r="M82" s="128">
        <f t="shared" si="12"/>
        <v>0</v>
      </c>
      <c r="N82" s="128">
        <f t="shared" si="12"/>
        <v>66609170</v>
      </c>
      <c r="O82" s="128">
        <f t="shared" si="12"/>
        <v>0</v>
      </c>
      <c r="P82" s="128">
        <f t="shared" si="12"/>
        <v>-66609170</v>
      </c>
      <c r="Q82" s="128"/>
      <c r="R82" s="5"/>
      <c r="V82" s="5">
        <f t="shared" si="10"/>
        <v>0</v>
      </c>
    </row>
    <row r="83" spans="1:22" s="3" customFormat="1" ht="12.75">
      <c r="A83" s="92"/>
      <c r="B83" s="72" t="s">
        <v>334</v>
      </c>
      <c r="C83" s="73"/>
      <c r="D83" s="73">
        <v>66609170</v>
      </c>
      <c r="E83" s="73"/>
      <c r="F83" s="73"/>
      <c r="G83" s="74">
        <f>C83+D83+E83+F83</f>
        <v>66609170</v>
      </c>
      <c r="H83" s="73">
        <f>-G83</f>
        <v>-66609170</v>
      </c>
      <c r="I83" s="131">
        <v>0</v>
      </c>
      <c r="J83" s="131">
        <v>0</v>
      </c>
      <c r="K83" s="131">
        <v>66609170</v>
      </c>
      <c r="L83" s="131">
        <v>0</v>
      </c>
      <c r="M83" s="131">
        <v>0</v>
      </c>
      <c r="N83" s="131">
        <f>J83+K83+L83+M83</f>
        <v>66609170</v>
      </c>
      <c r="O83" s="131">
        <v>0</v>
      </c>
      <c r="P83" s="131">
        <f>-N83</f>
        <v>-66609170</v>
      </c>
      <c r="Q83" s="131">
        <v>0</v>
      </c>
      <c r="V83" s="5">
        <f t="shared" si="10"/>
        <v>0</v>
      </c>
    </row>
    <row r="84" spans="1:22" s="3" customFormat="1" ht="12.75">
      <c r="A84" s="87" t="s">
        <v>208</v>
      </c>
      <c r="B84" s="24" t="s">
        <v>209</v>
      </c>
      <c r="C84" s="25">
        <v>75427332</v>
      </c>
      <c r="D84" s="25">
        <v>129110</v>
      </c>
      <c r="E84" s="25">
        <v>0</v>
      </c>
      <c r="F84" s="25">
        <v>70169510</v>
      </c>
      <c r="G84" s="23">
        <f aca="true" t="shared" si="13" ref="G84:G92">C84+D84+E84+F84</f>
        <v>145725952</v>
      </c>
      <c r="H84" s="25">
        <v>0</v>
      </c>
      <c r="I84" s="136">
        <v>0</v>
      </c>
      <c r="J84" s="135">
        <f>J85+J88+J90+J91+J92</f>
        <v>1825745</v>
      </c>
      <c r="K84" s="135">
        <f>K85+K88+K90+K91+K92</f>
        <v>0</v>
      </c>
      <c r="L84" s="135">
        <f>L85+L88+L90+L91+L92</f>
        <v>0</v>
      </c>
      <c r="M84" s="135">
        <f>M85+M88+M90+M91+M92</f>
        <v>520685</v>
      </c>
      <c r="N84" s="135">
        <f>N85+N88+N90+N91+N92</f>
        <v>2346430</v>
      </c>
      <c r="O84" s="135">
        <v>0</v>
      </c>
      <c r="P84" s="135">
        <f>P85+P88</f>
        <v>-2346430</v>
      </c>
      <c r="Q84" s="135"/>
      <c r="R84" s="5"/>
      <c r="V84" s="5">
        <f t="shared" si="10"/>
        <v>0</v>
      </c>
    </row>
    <row r="85" spans="1:22" s="3" customFormat="1" ht="25.5">
      <c r="A85" s="89" t="s">
        <v>212</v>
      </c>
      <c r="B85" s="35" t="s">
        <v>174</v>
      </c>
      <c r="C85" s="33"/>
      <c r="D85" s="33"/>
      <c r="E85" s="33"/>
      <c r="F85" s="33"/>
      <c r="G85" s="33">
        <f t="shared" si="13"/>
        <v>0</v>
      </c>
      <c r="H85" s="33"/>
      <c r="I85" s="128"/>
      <c r="J85" s="128">
        <f aca="true" t="shared" si="14" ref="J85:P85">J86+J87</f>
        <v>1685416</v>
      </c>
      <c r="K85" s="128">
        <f t="shared" si="14"/>
        <v>0</v>
      </c>
      <c r="L85" s="128">
        <f t="shared" si="14"/>
        <v>0</v>
      </c>
      <c r="M85" s="128">
        <f t="shared" si="14"/>
        <v>520685</v>
      </c>
      <c r="N85" s="128">
        <f t="shared" si="14"/>
        <v>2206101</v>
      </c>
      <c r="O85" s="128">
        <f t="shared" si="14"/>
        <v>0</v>
      </c>
      <c r="P85" s="128">
        <f t="shared" si="14"/>
        <v>-2206101</v>
      </c>
      <c r="Q85" s="128"/>
      <c r="R85" s="5"/>
      <c r="V85" s="5">
        <f t="shared" si="10"/>
        <v>0</v>
      </c>
    </row>
    <row r="86" spans="1:22" s="3" customFormat="1" ht="12.75">
      <c r="A86" s="92"/>
      <c r="B86" s="72" t="s">
        <v>334</v>
      </c>
      <c r="C86" s="73"/>
      <c r="D86" s="73"/>
      <c r="E86" s="73"/>
      <c r="F86" s="73"/>
      <c r="G86" s="74"/>
      <c r="H86" s="73"/>
      <c r="I86" s="131"/>
      <c r="J86" s="131"/>
      <c r="K86" s="131"/>
      <c r="L86" s="131"/>
      <c r="M86" s="131">
        <v>2664</v>
      </c>
      <c r="N86" s="131">
        <f>M86</f>
        <v>2664</v>
      </c>
      <c r="O86" s="131">
        <v>0</v>
      </c>
      <c r="P86" s="131">
        <f>-N86</f>
        <v>-2664</v>
      </c>
      <c r="Q86" s="131">
        <f aca="true" t="shared" si="15" ref="Q86:Q92">N86+P86</f>
        <v>0</v>
      </c>
      <c r="V86" s="5">
        <f t="shared" si="10"/>
        <v>0</v>
      </c>
    </row>
    <row r="87" spans="1:22" s="3" customFormat="1" ht="12.75">
      <c r="A87" s="93"/>
      <c r="B87" s="39" t="s">
        <v>285</v>
      </c>
      <c r="C87" s="40">
        <v>0</v>
      </c>
      <c r="D87" s="40">
        <v>0</v>
      </c>
      <c r="E87" s="40"/>
      <c r="F87" s="40">
        <v>0</v>
      </c>
      <c r="G87" s="40">
        <f>C87+D87+E87+F87</f>
        <v>0</v>
      </c>
      <c r="H87" s="40">
        <f>-G87</f>
        <v>0</v>
      </c>
      <c r="I87" s="125">
        <v>0</v>
      </c>
      <c r="J87" s="125">
        <f>1206528+478888</f>
        <v>1685416</v>
      </c>
      <c r="K87" s="125">
        <v>0</v>
      </c>
      <c r="L87" s="125">
        <v>0</v>
      </c>
      <c r="M87" s="125">
        <f>283396+234625</f>
        <v>518021</v>
      </c>
      <c r="N87" s="125">
        <f>J87+K87+L87+M87</f>
        <v>2203437</v>
      </c>
      <c r="O87" s="125">
        <v>0</v>
      </c>
      <c r="P87" s="125">
        <f>-N87</f>
        <v>-2203437</v>
      </c>
      <c r="Q87" s="125">
        <f>N87+P87</f>
        <v>0</v>
      </c>
      <c r="V87" s="5">
        <f>J87+K87+L87+M87-N87</f>
        <v>0</v>
      </c>
    </row>
    <row r="88" spans="1:22" s="3" customFormat="1" ht="38.25" customHeight="1">
      <c r="A88" s="89" t="s">
        <v>213</v>
      </c>
      <c r="B88" s="35" t="s">
        <v>175</v>
      </c>
      <c r="C88" s="33"/>
      <c r="D88" s="33"/>
      <c r="E88" s="33"/>
      <c r="F88" s="33"/>
      <c r="G88" s="33">
        <f t="shared" si="13"/>
        <v>0</v>
      </c>
      <c r="H88" s="33"/>
      <c r="I88" s="128"/>
      <c r="J88" s="128">
        <f aca="true" t="shared" si="16" ref="J88:P88">J89</f>
        <v>140329</v>
      </c>
      <c r="K88" s="128">
        <f t="shared" si="16"/>
        <v>0</v>
      </c>
      <c r="L88" s="128">
        <f t="shared" si="16"/>
        <v>0</v>
      </c>
      <c r="M88" s="128">
        <f t="shared" si="16"/>
        <v>0</v>
      </c>
      <c r="N88" s="128">
        <f t="shared" si="16"/>
        <v>140329</v>
      </c>
      <c r="O88" s="128">
        <f t="shared" si="16"/>
        <v>0</v>
      </c>
      <c r="P88" s="128">
        <f t="shared" si="16"/>
        <v>-140329</v>
      </c>
      <c r="Q88" s="128"/>
      <c r="R88" s="5"/>
      <c r="V88" s="5">
        <f t="shared" si="10"/>
        <v>0</v>
      </c>
    </row>
    <row r="89" spans="1:22" s="3" customFormat="1" ht="12.75">
      <c r="A89" s="93"/>
      <c r="B89" s="39" t="s">
        <v>285</v>
      </c>
      <c r="C89" s="40">
        <v>0</v>
      </c>
      <c r="D89" s="40">
        <f>D86</f>
        <v>0</v>
      </c>
      <c r="E89" s="40"/>
      <c r="F89" s="40">
        <v>0</v>
      </c>
      <c r="G89" s="40">
        <f>C89+D89+E89+F89</f>
        <v>0</v>
      </c>
      <c r="H89" s="40">
        <f>-G89</f>
        <v>0</v>
      </c>
      <c r="I89" s="125">
        <v>0</v>
      </c>
      <c r="J89" s="125">
        <f>4861+22489+948+106631+5400</f>
        <v>140329</v>
      </c>
      <c r="K89" s="125">
        <v>0</v>
      </c>
      <c r="L89" s="125">
        <v>0</v>
      </c>
      <c r="M89" s="125">
        <v>0</v>
      </c>
      <c r="N89" s="125">
        <f>J89+K89+L89+M89</f>
        <v>140329</v>
      </c>
      <c r="O89" s="125">
        <v>0</v>
      </c>
      <c r="P89" s="125">
        <f>-N89</f>
        <v>-140329</v>
      </c>
      <c r="Q89" s="125">
        <f>N89+P89</f>
        <v>0</v>
      </c>
      <c r="V89" s="5">
        <f t="shared" si="10"/>
        <v>0</v>
      </c>
    </row>
    <row r="90" spans="1:22" s="3" customFormat="1" ht="25.5" hidden="1">
      <c r="A90" s="89" t="s">
        <v>214</v>
      </c>
      <c r="B90" s="35" t="s">
        <v>176</v>
      </c>
      <c r="C90" s="33"/>
      <c r="D90" s="33"/>
      <c r="E90" s="33"/>
      <c r="F90" s="33"/>
      <c r="G90" s="33">
        <f t="shared" si="13"/>
        <v>0</v>
      </c>
      <c r="H90" s="33"/>
      <c r="I90" s="128" t="s">
        <v>17</v>
      </c>
      <c r="J90" s="128">
        <v>0</v>
      </c>
      <c r="K90" s="128">
        <v>0</v>
      </c>
      <c r="L90" s="128">
        <v>0</v>
      </c>
      <c r="M90" s="128"/>
      <c r="N90" s="128">
        <f>J90+K90+L90+M90</f>
        <v>0</v>
      </c>
      <c r="O90" s="128"/>
      <c r="P90" s="128">
        <v>0</v>
      </c>
      <c r="Q90" s="128">
        <f t="shared" si="15"/>
        <v>0</v>
      </c>
      <c r="R90" s="5"/>
      <c r="V90" s="5">
        <f t="shared" si="10"/>
        <v>0</v>
      </c>
    </row>
    <row r="91" spans="1:22" s="3" customFormat="1" ht="25.5" hidden="1">
      <c r="A91" s="89" t="s">
        <v>215</v>
      </c>
      <c r="B91" s="35" t="s">
        <v>177</v>
      </c>
      <c r="C91" s="33"/>
      <c r="D91" s="33"/>
      <c r="E91" s="33"/>
      <c r="F91" s="33"/>
      <c r="G91" s="33">
        <f t="shared" si="13"/>
        <v>0</v>
      </c>
      <c r="H91" s="33"/>
      <c r="I91" s="128" t="s">
        <v>17</v>
      </c>
      <c r="J91" s="128">
        <v>0</v>
      </c>
      <c r="K91" s="128">
        <v>0</v>
      </c>
      <c r="L91" s="128">
        <v>0</v>
      </c>
      <c r="M91" s="128"/>
      <c r="N91" s="128">
        <f>J91+K91+L91+M91</f>
        <v>0</v>
      </c>
      <c r="O91" s="128"/>
      <c r="P91" s="128">
        <v>0</v>
      </c>
      <c r="Q91" s="128">
        <f t="shared" si="15"/>
        <v>0</v>
      </c>
      <c r="R91" s="5"/>
      <c r="V91" s="5">
        <f t="shared" si="10"/>
        <v>0</v>
      </c>
    </row>
    <row r="92" spans="1:22" s="3" customFormat="1" ht="25.5" hidden="1">
      <c r="A92" s="89" t="s">
        <v>216</v>
      </c>
      <c r="B92" s="35" t="s">
        <v>178</v>
      </c>
      <c r="C92" s="33"/>
      <c r="D92" s="33"/>
      <c r="E92" s="33"/>
      <c r="F92" s="33"/>
      <c r="G92" s="33">
        <f t="shared" si="13"/>
        <v>0</v>
      </c>
      <c r="H92" s="33"/>
      <c r="I92" s="29" t="s">
        <v>17</v>
      </c>
      <c r="J92" s="29">
        <v>0</v>
      </c>
      <c r="K92" s="29">
        <v>0</v>
      </c>
      <c r="L92" s="29">
        <v>0</v>
      </c>
      <c r="M92" s="29"/>
      <c r="N92" s="29">
        <f>J92+K92+L92+M92</f>
        <v>0</v>
      </c>
      <c r="O92" s="29"/>
      <c r="P92" s="29">
        <v>0</v>
      </c>
      <c r="Q92" s="29">
        <f t="shared" si="15"/>
        <v>0</v>
      </c>
      <c r="R92" s="5"/>
      <c r="V92" s="5">
        <f t="shared" si="10"/>
        <v>0</v>
      </c>
    </row>
    <row r="93" spans="1:22" s="3" customFormat="1" ht="12.75" hidden="1">
      <c r="A93" s="89"/>
      <c r="B93" s="35"/>
      <c r="C93" s="33"/>
      <c r="D93" s="33"/>
      <c r="E93" s="33"/>
      <c r="F93" s="33"/>
      <c r="G93" s="33"/>
      <c r="H93" s="33"/>
      <c r="I93" s="29"/>
      <c r="J93" s="29"/>
      <c r="K93" s="29"/>
      <c r="L93" s="29"/>
      <c r="M93" s="29"/>
      <c r="N93" s="29">
        <f>J93+K93+L93+M93</f>
        <v>0</v>
      </c>
      <c r="O93" s="29"/>
      <c r="P93" s="29"/>
      <c r="Q93" s="29"/>
      <c r="R93" s="5"/>
      <c r="V93" s="5">
        <f t="shared" si="10"/>
        <v>0</v>
      </c>
    </row>
    <row r="94" spans="1:22" s="3" customFormat="1" ht="12.75">
      <c r="A94" s="87" t="s">
        <v>206</v>
      </c>
      <c r="B94" s="24" t="s">
        <v>207</v>
      </c>
      <c r="C94" s="25">
        <v>832332066</v>
      </c>
      <c r="D94" s="25">
        <v>0</v>
      </c>
      <c r="E94" s="25">
        <v>0</v>
      </c>
      <c r="F94" s="25">
        <v>616532</v>
      </c>
      <c r="G94" s="23">
        <f>C94+D94+E94+F94</f>
        <v>832948598</v>
      </c>
      <c r="H94" s="25">
        <f>H106</f>
        <v>-5730</v>
      </c>
      <c r="I94" s="23">
        <v>0</v>
      </c>
      <c r="J94" s="25">
        <f aca="true" t="shared" si="17" ref="J94:P94">J95+J104</f>
        <v>34663</v>
      </c>
      <c r="K94" s="25">
        <f t="shared" si="17"/>
        <v>0</v>
      </c>
      <c r="L94" s="25">
        <f t="shared" si="17"/>
        <v>0</v>
      </c>
      <c r="M94" s="25">
        <f t="shared" si="17"/>
        <v>0</v>
      </c>
      <c r="N94" s="25">
        <f t="shared" si="17"/>
        <v>34663</v>
      </c>
      <c r="O94" s="25">
        <f>O104</f>
        <v>33206</v>
      </c>
      <c r="P94" s="25">
        <f t="shared" si="17"/>
        <v>-67869</v>
      </c>
      <c r="Q94" s="25">
        <v>0</v>
      </c>
      <c r="R94" s="5"/>
      <c r="V94" s="5">
        <f t="shared" si="10"/>
        <v>0</v>
      </c>
    </row>
    <row r="95" spans="1:22" s="3" customFormat="1" ht="67.5" hidden="1">
      <c r="A95" s="88" t="s">
        <v>295</v>
      </c>
      <c r="B95" s="38" t="s">
        <v>296</v>
      </c>
      <c r="C95" s="31">
        <f>C96+C97+C98+C99+C100+C101+C102+C103</f>
        <v>0</v>
      </c>
      <c r="D95" s="31">
        <f>D96+D97+D98+D99+D100+D101+D102+D103</f>
        <v>0</v>
      </c>
      <c r="E95" s="31">
        <f>E96+E97+E98+E99+E100+E101+E102+E103</f>
        <v>0</v>
      </c>
      <c r="F95" s="31"/>
      <c r="G95" s="31">
        <f>C95+D95+E95+F95</f>
        <v>0</v>
      </c>
      <c r="H95" s="31"/>
      <c r="I95" s="27"/>
      <c r="J95" s="27"/>
      <c r="K95" s="27"/>
      <c r="L95" s="27"/>
      <c r="M95" s="27"/>
      <c r="N95" s="27"/>
      <c r="O95" s="27"/>
      <c r="P95" s="27"/>
      <c r="Q95" s="27"/>
      <c r="R95" s="5">
        <f>G95+H95</f>
        <v>0</v>
      </c>
      <c r="V95" s="5">
        <f t="shared" si="10"/>
        <v>0</v>
      </c>
    </row>
    <row r="96" spans="1:22" s="3" customFormat="1" ht="25.5" hidden="1">
      <c r="A96" s="91" t="s">
        <v>156</v>
      </c>
      <c r="B96" s="35" t="s">
        <v>164</v>
      </c>
      <c r="C96" s="33"/>
      <c r="D96" s="33"/>
      <c r="E96" s="33"/>
      <c r="F96" s="33"/>
      <c r="G96" s="33">
        <f>C96+D96+E96+F96</f>
        <v>0</v>
      </c>
      <c r="H96" s="33"/>
      <c r="I96" s="29"/>
      <c r="J96" s="29"/>
      <c r="K96" s="29"/>
      <c r="L96" s="29"/>
      <c r="M96" s="29"/>
      <c r="N96" s="29"/>
      <c r="O96" s="29"/>
      <c r="P96" s="29"/>
      <c r="Q96" s="29"/>
      <c r="R96" s="5"/>
      <c r="V96" s="5">
        <f t="shared" si="10"/>
        <v>0</v>
      </c>
    </row>
    <row r="97" spans="1:22" s="3" customFormat="1" ht="25.5" hidden="1">
      <c r="A97" s="91" t="s">
        <v>157</v>
      </c>
      <c r="B97" s="35" t="s">
        <v>165</v>
      </c>
      <c r="C97" s="33"/>
      <c r="D97" s="33"/>
      <c r="E97" s="33"/>
      <c r="F97" s="33"/>
      <c r="G97" s="33">
        <f aca="true" t="shared" si="18" ref="G97:G122">C97+D97+E97+F97</f>
        <v>0</v>
      </c>
      <c r="H97" s="33"/>
      <c r="I97" s="29"/>
      <c r="J97" s="29"/>
      <c r="K97" s="29"/>
      <c r="L97" s="29"/>
      <c r="M97" s="29"/>
      <c r="N97" s="29"/>
      <c r="O97" s="29"/>
      <c r="P97" s="29"/>
      <c r="Q97" s="29"/>
      <c r="R97" s="5"/>
      <c r="V97" s="5">
        <f t="shared" si="10"/>
        <v>0</v>
      </c>
    </row>
    <row r="98" spans="1:22" s="3" customFormat="1" ht="12.75" hidden="1">
      <c r="A98" s="91" t="s">
        <v>158</v>
      </c>
      <c r="B98" s="35" t="s">
        <v>166</v>
      </c>
      <c r="C98" s="33"/>
      <c r="D98" s="33"/>
      <c r="E98" s="33"/>
      <c r="F98" s="33"/>
      <c r="G98" s="33">
        <f t="shared" si="18"/>
        <v>0</v>
      </c>
      <c r="H98" s="33"/>
      <c r="I98" s="29"/>
      <c r="J98" s="29"/>
      <c r="K98" s="29"/>
      <c r="L98" s="29"/>
      <c r="M98" s="29"/>
      <c r="N98" s="29"/>
      <c r="O98" s="29"/>
      <c r="P98" s="29"/>
      <c r="Q98" s="29"/>
      <c r="R98" s="5"/>
      <c r="V98" s="5">
        <f t="shared" si="10"/>
        <v>0</v>
      </c>
    </row>
    <row r="99" spans="1:22" s="3" customFormat="1" ht="12.75" hidden="1">
      <c r="A99" s="91" t="s">
        <v>159</v>
      </c>
      <c r="B99" s="35" t="s">
        <v>167</v>
      </c>
      <c r="C99" s="33"/>
      <c r="D99" s="33"/>
      <c r="E99" s="33"/>
      <c r="F99" s="33"/>
      <c r="G99" s="33">
        <f t="shared" si="18"/>
        <v>0</v>
      </c>
      <c r="H99" s="33"/>
      <c r="I99" s="29"/>
      <c r="J99" s="29"/>
      <c r="K99" s="29"/>
      <c r="L99" s="29"/>
      <c r="M99" s="29"/>
      <c r="N99" s="29"/>
      <c r="O99" s="29"/>
      <c r="P99" s="29"/>
      <c r="Q99" s="29"/>
      <c r="R99" s="5"/>
      <c r="V99" s="5">
        <f t="shared" si="10"/>
        <v>0</v>
      </c>
    </row>
    <row r="100" spans="1:22" s="3" customFormat="1" ht="25.5" hidden="1">
      <c r="A100" s="91" t="s">
        <v>160</v>
      </c>
      <c r="B100" s="35" t="s">
        <v>168</v>
      </c>
      <c r="C100" s="33"/>
      <c r="D100" s="33"/>
      <c r="E100" s="33"/>
      <c r="F100" s="33"/>
      <c r="G100" s="33">
        <f t="shared" si="18"/>
        <v>0</v>
      </c>
      <c r="H100" s="33"/>
      <c r="I100" s="29"/>
      <c r="J100" s="29"/>
      <c r="K100" s="29"/>
      <c r="L100" s="29"/>
      <c r="M100" s="29"/>
      <c r="N100" s="29"/>
      <c r="O100" s="29"/>
      <c r="P100" s="29"/>
      <c r="Q100" s="29"/>
      <c r="R100" s="5"/>
      <c r="V100" s="5">
        <f t="shared" si="10"/>
        <v>0</v>
      </c>
    </row>
    <row r="101" spans="1:22" s="3" customFormat="1" ht="12.75" hidden="1">
      <c r="A101" s="91" t="s">
        <v>161</v>
      </c>
      <c r="B101" s="35" t="s">
        <v>169</v>
      </c>
      <c r="C101" s="33"/>
      <c r="D101" s="33"/>
      <c r="E101" s="33"/>
      <c r="F101" s="33"/>
      <c r="G101" s="33">
        <f t="shared" si="18"/>
        <v>0</v>
      </c>
      <c r="H101" s="33"/>
      <c r="I101" s="29"/>
      <c r="J101" s="29"/>
      <c r="K101" s="29"/>
      <c r="L101" s="29"/>
      <c r="M101" s="29"/>
      <c r="N101" s="29"/>
      <c r="O101" s="29"/>
      <c r="P101" s="29"/>
      <c r="Q101" s="29"/>
      <c r="R101" s="5"/>
      <c r="V101" s="5">
        <f t="shared" si="10"/>
        <v>0</v>
      </c>
    </row>
    <row r="102" spans="1:22" s="3" customFormat="1" ht="38.25" customHeight="1" hidden="1">
      <c r="A102" s="91" t="s">
        <v>162</v>
      </c>
      <c r="B102" s="35" t="s">
        <v>170</v>
      </c>
      <c r="C102" s="33"/>
      <c r="D102" s="33"/>
      <c r="E102" s="33"/>
      <c r="F102" s="33"/>
      <c r="G102" s="33">
        <f t="shared" si="18"/>
        <v>0</v>
      </c>
      <c r="H102" s="33"/>
      <c r="I102" s="128"/>
      <c r="J102" s="128"/>
      <c r="K102" s="128"/>
      <c r="L102" s="128"/>
      <c r="M102" s="128"/>
      <c r="N102" s="128"/>
      <c r="O102" s="128"/>
      <c r="P102" s="128"/>
      <c r="Q102" s="29"/>
      <c r="R102" s="5"/>
      <c r="V102" s="5">
        <f t="shared" si="10"/>
        <v>0</v>
      </c>
    </row>
    <row r="103" spans="1:22" s="3" customFormat="1" ht="38.25" hidden="1">
      <c r="A103" s="91" t="s">
        <v>163</v>
      </c>
      <c r="B103" s="35" t="s">
        <v>171</v>
      </c>
      <c r="C103" s="33"/>
      <c r="D103" s="33"/>
      <c r="E103" s="33"/>
      <c r="F103" s="33"/>
      <c r="G103" s="33">
        <f t="shared" si="18"/>
        <v>0</v>
      </c>
      <c r="H103" s="33"/>
      <c r="I103" s="128"/>
      <c r="J103" s="128"/>
      <c r="K103" s="128"/>
      <c r="L103" s="128"/>
      <c r="M103" s="128"/>
      <c r="N103" s="128"/>
      <c r="O103" s="128"/>
      <c r="P103" s="128"/>
      <c r="Q103" s="29"/>
      <c r="R103" s="5"/>
      <c r="V103" s="5">
        <f t="shared" si="10"/>
        <v>0</v>
      </c>
    </row>
    <row r="104" spans="1:22" s="3" customFormat="1" ht="27">
      <c r="A104" s="88" t="s">
        <v>251</v>
      </c>
      <c r="B104" s="38" t="s">
        <v>252</v>
      </c>
      <c r="C104" s="31">
        <f>C105+C107</f>
        <v>0</v>
      </c>
      <c r="D104" s="31">
        <f>D105+D107</f>
        <v>0</v>
      </c>
      <c r="E104" s="31">
        <f>E105+E107</f>
        <v>0</v>
      </c>
      <c r="F104" s="31"/>
      <c r="G104" s="31">
        <f t="shared" si="18"/>
        <v>0</v>
      </c>
      <c r="H104" s="31"/>
      <c r="I104" s="132" t="s">
        <v>17</v>
      </c>
      <c r="J104" s="132">
        <f aca="true" t="shared" si="19" ref="J104:P104">J105+J107</f>
        <v>34663</v>
      </c>
      <c r="K104" s="132">
        <f t="shared" si="19"/>
        <v>0</v>
      </c>
      <c r="L104" s="132">
        <f t="shared" si="19"/>
        <v>0</v>
      </c>
      <c r="M104" s="132">
        <f t="shared" si="19"/>
        <v>0</v>
      </c>
      <c r="N104" s="132">
        <f t="shared" si="19"/>
        <v>34663</v>
      </c>
      <c r="O104" s="132">
        <f>O107</f>
        <v>33206</v>
      </c>
      <c r="P104" s="132">
        <f t="shared" si="19"/>
        <v>-67869</v>
      </c>
      <c r="Q104" s="27">
        <v>0</v>
      </c>
      <c r="R104" s="5">
        <f>G104+H104</f>
        <v>0</v>
      </c>
      <c r="V104" s="5">
        <f t="shared" si="10"/>
        <v>0</v>
      </c>
    </row>
    <row r="105" spans="1:22" s="3" customFormat="1" ht="25.5">
      <c r="A105" s="91" t="s">
        <v>249</v>
      </c>
      <c r="B105" s="35" t="s">
        <v>172</v>
      </c>
      <c r="C105" s="33"/>
      <c r="D105" s="33"/>
      <c r="E105" s="33"/>
      <c r="F105" s="33"/>
      <c r="G105" s="33">
        <f t="shared" si="18"/>
        <v>0</v>
      </c>
      <c r="H105" s="33"/>
      <c r="I105" s="128"/>
      <c r="J105" s="128">
        <f aca="true" t="shared" si="20" ref="J105:P105">J106</f>
        <v>34663</v>
      </c>
      <c r="K105" s="128">
        <f t="shared" si="20"/>
        <v>0</v>
      </c>
      <c r="L105" s="128">
        <f t="shared" si="20"/>
        <v>0</v>
      </c>
      <c r="M105" s="128">
        <f t="shared" si="20"/>
        <v>0</v>
      </c>
      <c r="N105" s="128">
        <f t="shared" si="20"/>
        <v>34663</v>
      </c>
      <c r="O105" s="128">
        <f t="shared" si="20"/>
        <v>0</v>
      </c>
      <c r="P105" s="128">
        <f t="shared" si="20"/>
        <v>-34663</v>
      </c>
      <c r="Q105" s="29"/>
      <c r="R105" s="5"/>
      <c r="V105" s="5">
        <f t="shared" si="10"/>
        <v>0</v>
      </c>
    </row>
    <row r="106" spans="1:22" s="3" customFormat="1" ht="12.75">
      <c r="A106" s="92"/>
      <c r="B106" s="72" t="s">
        <v>334</v>
      </c>
      <c r="C106" s="73">
        <v>5730</v>
      </c>
      <c r="D106" s="73"/>
      <c r="E106" s="73"/>
      <c r="F106" s="73"/>
      <c r="G106" s="74">
        <f>C106</f>
        <v>5730</v>
      </c>
      <c r="H106" s="73">
        <f>-G106</f>
        <v>-5730</v>
      </c>
      <c r="I106" s="131">
        <f>G106+H106</f>
        <v>0</v>
      </c>
      <c r="J106" s="131">
        <v>34663</v>
      </c>
      <c r="K106" s="131">
        <v>0</v>
      </c>
      <c r="L106" s="131">
        <v>0</v>
      </c>
      <c r="M106" s="131">
        <v>0</v>
      </c>
      <c r="N106" s="131">
        <f>J106+K106+L106+M106</f>
        <v>34663</v>
      </c>
      <c r="O106" s="131">
        <v>0</v>
      </c>
      <c r="P106" s="131">
        <f>-N106</f>
        <v>-34663</v>
      </c>
      <c r="Q106" s="75">
        <v>0</v>
      </c>
      <c r="V106" s="5">
        <f t="shared" si="10"/>
        <v>0</v>
      </c>
    </row>
    <row r="107" spans="1:22" s="3" customFormat="1" ht="25.5">
      <c r="A107" s="91" t="s">
        <v>250</v>
      </c>
      <c r="B107" s="35" t="s">
        <v>173</v>
      </c>
      <c r="C107" s="33"/>
      <c r="D107" s="33"/>
      <c r="E107" s="33"/>
      <c r="F107" s="33"/>
      <c r="G107" s="33">
        <f t="shared" si="18"/>
        <v>0</v>
      </c>
      <c r="H107" s="33"/>
      <c r="I107" s="128"/>
      <c r="J107" s="128">
        <f>J108+J109</f>
        <v>0</v>
      </c>
      <c r="K107" s="128">
        <f>K108+K109</f>
        <v>0</v>
      </c>
      <c r="L107" s="128">
        <f>L108+L109</f>
        <v>0</v>
      </c>
      <c r="M107" s="128">
        <f>M108+M109</f>
        <v>0</v>
      </c>
      <c r="N107" s="128">
        <f>N108+N109</f>
        <v>0</v>
      </c>
      <c r="O107" s="128">
        <f>O108</f>
        <v>33206</v>
      </c>
      <c r="P107" s="128">
        <f>P108+P109</f>
        <v>-33206</v>
      </c>
      <c r="Q107" s="29"/>
      <c r="R107" s="5"/>
      <c r="V107" s="5">
        <f t="shared" si="10"/>
        <v>0</v>
      </c>
    </row>
    <row r="108" spans="1:22" s="121" customFormat="1" ht="25.5">
      <c r="A108" s="122"/>
      <c r="B108" s="139" t="s">
        <v>373</v>
      </c>
      <c r="C108" s="119">
        <v>0</v>
      </c>
      <c r="D108" s="119"/>
      <c r="E108" s="119"/>
      <c r="F108" s="119"/>
      <c r="G108" s="119">
        <f>C108+D108+E108+F108</f>
        <v>0</v>
      </c>
      <c r="H108" s="119"/>
      <c r="I108" s="133"/>
      <c r="J108" s="134">
        <v>-33206</v>
      </c>
      <c r="K108" s="134"/>
      <c r="L108" s="134">
        <v>0</v>
      </c>
      <c r="M108" s="134"/>
      <c r="N108" s="134">
        <f>J108</f>
        <v>-33206</v>
      </c>
      <c r="O108" s="134">
        <f>-N108</f>
        <v>33206</v>
      </c>
      <c r="P108" s="134">
        <v>0</v>
      </c>
      <c r="Q108" s="123">
        <f>N108+O108</f>
        <v>0</v>
      </c>
      <c r="R108" s="124"/>
      <c r="V108" s="5">
        <f t="shared" si="10"/>
        <v>0</v>
      </c>
    </row>
    <row r="109" spans="1:22" s="3" customFormat="1" ht="12.75">
      <c r="A109" s="93"/>
      <c r="B109" s="39" t="s">
        <v>285</v>
      </c>
      <c r="C109" s="40">
        <v>0</v>
      </c>
      <c r="D109" s="40">
        <f>D107</f>
        <v>0</v>
      </c>
      <c r="E109" s="40"/>
      <c r="F109" s="40">
        <v>0</v>
      </c>
      <c r="G109" s="40">
        <f>C109+D109+E109+F109</f>
        <v>0</v>
      </c>
      <c r="H109" s="40">
        <f>-G109</f>
        <v>0</v>
      </c>
      <c r="I109" s="125">
        <v>0</v>
      </c>
      <c r="J109" s="125">
        <v>33206</v>
      </c>
      <c r="K109" s="125">
        <v>0</v>
      </c>
      <c r="L109" s="125">
        <v>0</v>
      </c>
      <c r="M109" s="125">
        <v>0</v>
      </c>
      <c r="N109" s="125">
        <f>J109+K109+L109+M109</f>
        <v>33206</v>
      </c>
      <c r="O109" s="125">
        <v>0</v>
      </c>
      <c r="P109" s="125">
        <f>-N109</f>
        <v>-33206</v>
      </c>
      <c r="Q109" s="40">
        <f>N109+P109</f>
        <v>0</v>
      </c>
      <c r="V109" s="5">
        <f t="shared" si="10"/>
        <v>0</v>
      </c>
    </row>
    <row r="110" spans="1:22" s="3" customFormat="1" ht="12.75">
      <c r="A110" s="87" t="s">
        <v>210</v>
      </c>
      <c r="B110" s="24" t="s">
        <v>211</v>
      </c>
      <c r="C110" s="25">
        <f>C111+C130</f>
        <v>7462507</v>
      </c>
      <c r="D110" s="25">
        <f>D111+D130</f>
        <v>17419105</v>
      </c>
      <c r="E110" s="25">
        <f>E111+E130</f>
        <v>0</v>
      </c>
      <c r="F110" s="25">
        <f>F111+F130</f>
        <v>143021573</v>
      </c>
      <c r="G110" s="25">
        <f t="shared" si="18"/>
        <v>167903185</v>
      </c>
      <c r="H110" s="25">
        <f>H111</f>
        <v>-166948876</v>
      </c>
      <c r="I110" s="135">
        <v>0</v>
      </c>
      <c r="J110" s="135">
        <f>J111+J130</f>
        <v>6313493</v>
      </c>
      <c r="K110" s="135">
        <f>K111+K130</f>
        <v>16365736</v>
      </c>
      <c r="L110" s="135">
        <f>L111+L130</f>
        <v>20948</v>
      </c>
      <c r="M110" s="135">
        <f>M111+M130</f>
        <v>151685399</v>
      </c>
      <c r="N110" s="135">
        <f>N111+N130</f>
        <v>174385576</v>
      </c>
      <c r="O110" s="135">
        <f>O111</f>
        <v>-24582</v>
      </c>
      <c r="P110" s="135">
        <f>P111</f>
        <v>-174360994</v>
      </c>
      <c r="Q110" s="25">
        <f>N110+P110</f>
        <v>24582</v>
      </c>
      <c r="R110" s="5"/>
      <c r="V110" s="5">
        <f t="shared" si="10"/>
        <v>0</v>
      </c>
    </row>
    <row r="111" spans="1:22" s="3" customFormat="1" ht="13.5">
      <c r="A111" s="90" t="s">
        <v>28</v>
      </c>
      <c r="B111" s="30" t="s">
        <v>45</v>
      </c>
      <c r="C111" s="31">
        <v>6508198</v>
      </c>
      <c r="D111" s="31">
        <f>D115</f>
        <v>17419105</v>
      </c>
      <c r="E111" s="31"/>
      <c r="F111" s="31">
        <f>F112</f>
        <v>143021573</v>
      </c>
      <c r="G111" s="31">
        <f t="shared" si="18"/>
        <v>166948876</v>
      </c>
      <c r="H111" s="31">
        <f>H114+H116</f>
        <v>-166948876</v>
      </c>
      <c r="I111" s="132">
        <v>0</v>
      </c>
      <c r="J111" s="132">
        <f>J112+J115+J117+J118+J120</f>
        <v>6313493</v>
      </c>
      <c r="K111" s="132">
        <f>K115+K120</f>
        <v>16365736</v>
      </c>
      <c r="L111" s="132">
        <f>L112</f>
        <v>20948</v>
      </c>
      <c r="M111" s="132">
        <f>M112</f>
        <v>151685399</v>
      </c>
      <c r="N111" s="132">
        <f>J111+K111+L111+M111</f>
        <v>174385576</v>
      </c>
      <c r="O111" s="132">
        <f>O112+O120</f>
        <v>-24582</v>
      </c>
      <c r="P111" s="132">
        <f>P112+P115+P118</f>
        <v>-174360994</v>
      </c>
      <c r="Q111" s="27">
        <f>N111+P111</f>
        <v>24582</v>
      </c>
      <c r="R111" s="5">
        <f>G111+H111</f>
        <v>0</v>
      </c>
      <c r="V111" s="5">
        <f t="shared" si="10"/>
        <v>0</v>
      </c>
    </row>
    <row r="112" spans="1:22" s="3" customFormat="1" ht="12.75">
      <c r="A112" s="91" t="s">
        <v>133</v>
      </c>
      <c r="B112" s="32" t="s">
        <v>142</v>
      </c>
      <c r="C112" s="33"/>
      <c r="D112" s="33"/>
      <c r="E112" s="33"/>
      <c r="F112" s="33">
        <v>143021573</v>
      </c>
      <c r="G112" s="33">
        <f t="shared" si="18"/>
        <v>143021573</v>
      </c>
      <c r="H112" s="33">
        <f>H114</f>
        <v>-149529771</v>
      </c>
      <c r="I112" s="128"/>
      <c r="J112" s="128">
        <f>J113+J114</f>
        <v>0</v>
      </c>
      <c r="K112" s="128">
        <f>K113+K114</f>
        <v>0</v>
      </c>
      <c r="L112" s="128">
        <f>L113+L114</f>
        <v>20948</v>
      </c>
      <c r="M112" s="128">
        <f>M113+M114</f>
        <v>151685399</v>
      </c>
      <c r="N112" s="128">
        <f>N113+N114</f>
        <v>151706347</v>
      </c>
      <c r="O112" s="128">
        <f>O113</f>
        <v>-20948</v>
      </c>
      <c r="P112" s="128">
        <f>P113+P114</f>
        <v>-151685399</v>
      </c>
      <c r="Q112" s="29"/>
      <c r="R112" s="5"/>
      <c r="V112" s="5">
        <f t="shared" si="10"/>
        <v>0</v>
      </c>
    </row>
    <row r="113" spans="1:22" s="121" customFormat="1" ht="12.75">
      <c r="A113" s="122"/>
      <c r="B113" s="117" t="s">
        <v>372</v>
      </c>
      <c r="C113" s="119">
        <v>0</v>
      </c>
      <c r="D113" s="119"/>
      <c r="E113" s="119"/>
      <c r="F113" s="119"/>
      <c r="G113" s="119">
        <f t="shared" si="18"/>
        <v>0</v>
      </c>
      <c r="H113" s="119"/>
      <c r="I113" s="133"/>
      <c r="J113" s="134">
        <v>0</v>
      </c>
      <c r="K113" s="134"/>
      <c r="L113" s="134">
        <v>20948</v>
      </c>
      <c r="M113" s="134"/>
      <c r="N113" s="134">
        <f>L113</f>
        <v>20948</v>
      </c>
      <c r="O113" s="134">
        <f>-N113</f>
        <v>-20948</v>
      </c>
      <c r="P113" s="134">
        <v>0</v>
      </c>
      <c r="Q113" s="123">
        <f>N113+O113</f>
        <v>0</v>
      </c>
      <c r="R113" s="124"/>
      <c r="V113" s="5">
        <f t="shared" si="10"/>
        <v>0</v>
      </c>
    </row>
    <row r="114" spans="1:22" s="3" customFormat="1" ht="12.75">
      <c r="A114" s="93"/>
      <c r="B114" s="39" t="s">
        <v>285</v>
      </c>
      <c r="C114" s="40">
        <v>6508198</v>
      </c>
      <c r="D114" s="40">
        <f>D112</f>
        <v>0</v>
      </c>
      <c r="E114" s="40"/>
      <c r="F114" s="40">
        <v>143021573</v>
      </c>
      <c r="G114" s="40">
        <f>C114+D114+E114+F114</f>
        <v>149529771</v>
      </c>
      <c r="H114" s="40">
        <f>-G114</f>
        <v>-149529771</v>
      </c>
      <c r="I114" s="125">
        <v>0</v>
      </c>
      <c r="J114" s="125">
        <v>0</v>
      </c>
      <c r="K114" s="125">
        <v>0</v>
      </c>
      <c r="L114" s="125">
        <v>0</v>
      </c>
      <c r="M114" s="125">
        <f>118525507+33103354+56538</f>
        <v>151685399</v>
      </c>
      <c r="N114" s="125">
        <f>J114+K114+L114+M114</f>
        <v>151685399</v>
      </c>
      <c r="O114" s="125">
        <v>0</v>
      </c>
      <c r="P114" s="125">
        <f>-N114</f>
        <v>-151685399</v>
      </c>
      <c r="Q114" s="40">
        <f>N114+P114</f>
        <v>0</v>
      </c>
      <c r="V114" s="5">
        <f t="shared" si="10"/>
        <v>0</v>
      </c>
    </row>
    <row r="115" spans="1:22" s="3" customFormat="1" ht="25.5">
      <c r="A115" s="91" t="s">
        <v>134</v>
      </c>
      <c r="B115" s="34" t="s">
        <v>327</v>
      </c>
      <c r="C115" s="33"/>
      <c r="D115" s="33">
        <v>17419105</v>
      </c>
      <c r="E115" s="33"/>
      <c r="F115" s="33"/>
      <c r="G115" s="33">
        <f t="shared" si="18"/>
        <v>17419105</v>
      </c>
      <c r="H115" s="33">
        <f>H116</f>
        <v>-17419105</v>
      </c>
      <c r="I115" s="128"/>
      <c r="J115" s="128">
        <f aca="true" t="shared" si="21" ref="J115:P115">J116</f>
        <v>0</v>
      </c>
      <c r="K115" s="128">
        <f t="shared" si="21"/>
        <v>16362102</v>
      </c>
      <c r="L115" s="128">
        <f t="shared" si="21"/>
        <v>0</v>
      </c>
      <c r="M115" s="128">
        <f t="shared" si="21"/>
        <v>0</v>
      </c>
      <c r="N115" s="128">
        <f t="shared" si="21"/>
        <v>16362102</v>
      </c>
      <c r="O115" s="128">
        <f t="shared" si="21"/>
        <v>0</v>
      </c>
      <c r="P115" s="128">
        <f t="shared" si="21"/>
        <v>-16362102</v>
      </c>
      <c r="Q115" s="29"/>
      <c r="R115" s="5"/>
      <c r="V115" s="5">
        <f t="shared" si="10"/>
        <v>0</v>
      </c>
    </row>
    <row r="116" spans="1:22" s="3" customFormat="1" ht="12.75">
      <c r="A116" s="93"/>
      <c r="B116" s="39" t="s">
        <v>285</v>
      </c>
      <c r="C116" s="40"/>
      <c r="D116" s="40">
        <f>D115</f>
        <v>17419105</v>
      </c>
      <c r="E116" s="40"/>
      <c r="F116" s="40"/>
      <c r="G116" s="40">
        <f t="shared" si="18"/>
        <v>17419105</v>
      </c>
      <c r="H116" s="40">
        <f>-G116</f>
        <v>-17419105</v>
      </c>
      <c r="I116" s="125">
        <v>0</v>
      </c>
      <c r="J116" s="125">
        <v>0</v>
      </c>
      <c r="K116" s="125">
        <v>16362102</v>
      </c>
      <c r="L116" s="125">
        <v>0</v>
      </c>
      <c r="M116" s="125">
        <v>0</v>
      </c>
      <c r="N116" s="125">
        <f>J116+K116+L116+M116</f>
        <v>16362102</v>
      </c>
      <c r="O116" s="125">
        <v>0</v>
      </c>
      <c r="P116" s="125">
        <f>-N116</f>
        <v>-16362102</v>
      </c>
      <c r="Q116" s="40">
        <f>N116+P116</f>
        <v>0</v>
      </c>
      <c r="V116" s="5">
        <f t="shared" si="10"/>
        <v>0</v>
      </c>
    </row>
    <row r="117" spans="1:22" s="3" customFormat="1" ht="25.5" hidden="1">
      <c r="A117" s="91" t="s">
        <v>135</v>
      </c>
      <c r="B117" s="34" t="s">
        <v>328</v>
      </c>
      <c r="C117" s="33"/>
      <c r="D117" s="33"/>
      <c r="E117" s="33"/>
      <c r="F117" s="33"/>
      <c r="G117" s="33">
        <f t="shared" si="18"/>
        <v>0</v>
      </c>
      <c r="H117" s="33"/>
      <c r="I117" s="128" t="s">
        <v>17</v>
      </c>
      <c r="J117" s="128">
        <v>0</v>
      </c>
      <c r="K117" s="128">
        <v>0</v>
      </c>
      <c r="L117" s="128">
        <v>0</v>
      </c>
      <c r="M117" s="128">
        <v>0</v>
      </c>
      <c r="N117" s="128">
        <f>J117+K117+L117+M117</f>
        <v>0</v>
      </c>
      <c r="O117" s="128"/>
      <c r="P117" s="128">
        <v>0</v>
      </c>
      <c r="Q117" s="29">
        <f>N117+P117</f>
        <v>0</v>
      </c>
      <c r="R117" s="5"/>
      <c r="V117" s="5">
        <f t="shared" si="10"/>
        <v>0</v>
      </c>
    </row>
    <row r="118" spans="1:22" s="3" customFormat="1" ht="38.25">
      <c r="A118" s="91" t="s">
        <v>136</v>
      </c>
      <c r="B118" s="34" t="s">
        <v>329</v>
      </c>
      <c r="C118" s="33"/>
      <c r="D118" s="33"/>
      <c r="E118" s="33"/>
      <c r="F118" s="33"/>
      <c r="G118" s="33">
        <f t="shared" si="18"/>
        <v>0</v>
      </c>
      <c r="H118" s="33"/>
      <c r="I118" s="128"/>
      <c r="J118" s="128">
        <f>J119</f>
        <v>6313493</v>
      </c>
      <c r="K118" s="128">
        <f>K119</f>
        <v>0</v>
      </c>
      <c r="L118" s="128">
        <f>L119</f>
        <v>0</v>
      </c>
      <c r="M118" s="128">
        <f>M119</f>
        <v>0</v>
      </c>
      <c r="N118" s="128">
        <f>N119</f>
        <v>6313493</v>
      </c>
      <c r="O118" s="128">
        <f>O119+P119</f>
        <v>-6313493</v>
      </c>
      <c r="P118" s="128">
        <f>P119</f>
        <v>-6313493</v>
      </c>
      <c r="Q118" s="29"/>
      <c r="R118" s="5"/>
      <c r="V118" s="5">
        <f t="shared" si="10"/>
        <v>0</v>
      </c>
    </row>
    <row r="119" spans="1:22" s="3" customFormat="1" ht="12.75">
      <c r="A119" s="93"/>
      <c r="B119" s="39" t="s">
        <v>285</v>
      </c>
      <c r="C119" s="33"/>
      <c r="D119" s="33"/>
      <c r="E119" s="33"/>
      <c r="F119" s="33"/>
      <c r="G119" s="33"/>
      <c r="H119" s="33"/>
      <c r="I119" s="125">
        <v>0</v>
      </c>
      <c r="J119" s="125">
        <f>6152223+161270</f>
        <v>6313493</v>
      </c>
      <c r="K119" s="125">
        <v>0</v>
      </c>
      <c r="L119" s="125">
        <v>0</v>
      </c>
      <c r="M119" s="125">
        <v>0</v>
      </c>
      <c r="N119" s="125">
        <f>J119+K119+L119+M119</f>
        <v>6313493</v>
      </c>
      <c r="O119" s="125">
        <v>0</v>
      </c>
      <c r="P119" s="125">
        <f>-N119</f>
        <v>-6313493</v>
      </c>
      <c r="Q119" s="40">
        <f>N119+P119</f>
        <v>0</v>
      </c>
      <c r="R119" s="5"/>
      <c r="V119" s="5"/>
    </row>
    <row r="120" spans="1:22" s="3" customFormat="1" ht="12.75">
      <c r="A120" s="91" t="s">
        <v>137</v>
      </c>
      <c r="B120" s="32" t="s">
        <v>143</v>
      </c>
      <c r="C120" s="33"/>
      <c r="D120" s="33"/>
      <c r="E120" s="33"/>
      <c r="F120" s="33"/>
      <c r="G120" s="33">
        <f t="shared" si="18"/>
        <v>0</v>
      </c>
      <c r="H120" s="33"/>
      <c r="I120" s="128"/>
      <c r="J120" s="128"/>
      <c r="K120" s="128">
        <f>K121</f>
        <v>3634</v>
      </c>
      <c r="L120" s="128">
        <f>L121</f>
        <v>0</v>
      </c>
      <c r="M120" s="128">
        <f>M121</f>
        <v>0</v>
      </c>
      <c r="N120" s="128">
        <f>N121</f>
        <v>3634</v>
      </c>
      <c r="O120" s="128">
        <f>O121</f>
        <v>-3634</v>
      </c>
      <c r="P120" s="128"/>
      <c r="Q120" s="29"/>
      <c r="R120" s="5"/>
      <c r="V120" s="5">
        <f t="shared" si="10"/>
        <v>0</v>
      </c>
    </row>
    <row r="121" spans="1:22" s="3" customFormat="1" ht="12.75">
      <c r="A121" s="122"/>
      <c r="B121" s="117" t="s">
        <v>371</v>
      </c>
      <c r="C121" s="119"/>
      <c r="D121" s="119"/>
      <c r="E121" s="119"/>
      <c r="F121" s="119"/>
      <c r="G121" s="119"/>
      <c r="H121" s="119"/>
      <c r="I121" s="134" t="s">
        <v>17</v>
      </c>
      <c r="J121" s="134"/>
      <c r="K121" s="134">
        <v>3634</v>
      </c>
      <c r="L121" s="134"/>
      <c r="M121" s="134"/>
      <c r="N121" s="134">
        <f>K121</f>
        <v>3634</v>
      </c>
      <c r="O121" s="134">
        <f>-N121</f>
        <v>-3634</v>
      </c>
      <c r="P121" s="134">
        <v>0</v>
      </c>
      <c r="Q121" s="123">
        <f>N121+O121</f>
        <v>0</v>
      </c>
      <c r="R121" s="5"/>
      <c r="V121" s="5"/>
    </row>
    <row r="122" spans="1:22" s="3" customFormat="1" ht="25.5" hidden="1">
      <c r="A122" s="91" t="s">
        <v>138</v>
      </c>
      <c r="B122" s="34" t="s">
        <v>330</v>
      </c>
      <c r="C122" s="33"/>
      <c r="D122" s="33"/>
      <c r="E122" s="33"/>
      <c r="F122" s="33"/>
      <c r="G122" s="33">
        <f t="shared" si="18"/>
        <v>0</v>
      </c>
      <c r="H122" s="33"/>
      <c r="I122" s="128" t="s">
        <v>17</v>
      </c>
      <c r="J122" s="128">
        <v>0</v>
      </c>
      <c r="K122" s="128">
        <v>0</v>
      </c>
      <c r="L122" s="128">
        <v>0</v>
      </c>
      <c r="M122" s="128">
        <v>0</v>
      </c>
      <c r="N122" s="128">
        <f aca="true" t="shared" si="22" ref="N122:N129">J122+K122+L122+M122</f>
        <v>0</v>
      </c>
      <c r="O122" s="128"/>
      <c r="P122" s="128">
        <v>0</v>
      </c>
      <c r="Q122" s="29">
        <f>N122+P122</f>
        <v>0</v>
      </c>
      <c r="R122" s="5"/>
      <c r="V122" s="5">
        <f t="shared" si="10"/>
        <v>0</v>
      </c>
    </row>
    <row r="123" spans="1:22" s="3" customFormat="1" ht="12.75" hidden="1">
      <c r="A123" s="93"/>
      <c r="B123" s="39"/>
      <c r="C123" s="40"/>
      <c r="D123" s="40"/>
      <c r="E123" s="40"/>
      <c r="F123" s="40"/>
      <c r="G123" s="40"/>
      <c r="H123" s="40"/>
      <c r="I123" s="125"/>
      <c r="J123" s="125"/>
      <c r="K123" s="125"/>
      <c r="L123" s="125"/>
      <c r="M123" s="125"/>
      <c r="N123" s="125">
        <f t="shared" si="22"/>
        <v>0</v>
      </c>
      <c r="O123" s="125"/>
      <c r="P123" s="125"/>
      <c r="Q123" s="40"/>
      <c r="V123" s="5">
        <f t="shared" si="10"/>
        <v>0</v>
      </c>
    </row>
    <row r="124" spans="1:22" s="3" customFormat="1" ht="25.5" hidden="1">
      <c r="A124" s="91" t="s">
        <v>139</v>
      </c>
      <c r="B124" s="34" t="s">
        <v>331</v>
      </c>
      <c r="C124" s="33"/>
      <c r="D124" s="33"/>
      <c r="E124" s="33"/>
      <c r="F124" s="33"/>
      <c r="G124" s="33">
        <f aca="true" t="shared" si="23" ref="G124:G144">C124+D124+E124+F124</f>
        <v>0</v>
      </c>
      <c r="H124" s="33"/>
      <c r="I124" s="128" t="s">
        <v>17</v>
      </c>
      <c r="J124" s="128">
        <v>0</v>
      </c>
      <c r="K124" s="128">
        <v>0</v>
      </c>
      <c r="L124" s="128">
        <v>0</v>
      </c>
      <c r="M124" s="128">
        <v>0</v>
      </c>
      <c r="N124" s="128">
        <f t="shared" si="22"/>
        <v>0</v>
      </c>
      <c r="O124" s="128"/>
      <c r="P124" s="128">
        <v>0</v>
      </c>
      <c r="Q124" s="29">
        <f>N124+P124</f>
        <v>0</v>
      </c>
      <c r="R124" s="5"/>
      <c r="V124" s="5">
        <f t="shared" si="10"/>
        <v>0</v>
      </c>
    </row>
    <row r="125" spans="1:22" s="3" customFormat="1" ht="12.75" hidden="1">
      <c r="A125" s="91"/>
      <c r="B125" s="34"/>
      <c r="C125" s="33"/>
      <c r="D125" s="33"/>
      <c r="E125" s="33"/>
      <c r="F125" s="33"/>
      <c r="G125" s="33">
        <f t="shared" si="23"/>
        <v>0</v>
      </c>
      <c r="H125" s="33"/>
      <c r="I125" s="128"/>
      <c r="J125" s="128"/>
      <c r="K125" s="128"/>
      <c r="L125" s="128"/>
      <c r="M125" s="128"/>
      <c r="N125" s="128">
        <f t="shared" si="22"/>
        <v>0</v>
      </c>
      <c r="O125" s="128"/>
      <c r="P125" s="128"/>
      <c r="Q125" s="29"/>
      <c r="R125" s="5"/>
      <c r="V125" s="5">
        <f t="shared" si="10"/>
        <v>0</v>
      </c>
    </row>
    <row r="126" spans="1:22" s="3" customFormat="1" ht="38.25" hidden="1">
      <c r="A126" s="91" t="s">
        <v>140</v>
      </c>
      <c r="B126" s="34" t="s">
        <v>332</v>
      </c>
      <c r="C126" s="33"/>
      <c r="D126" s="33"/>
      <c r="E126" s="33"/>
      <c r="F126" s="33"/>
      <c r="G126" s="33">
        <f t="shared" si="23"/>
        <v>0</v>
      </c>
      <c r="H126" s="33"/>
      <c r="I126" s="128" t="s">
        <v>17</v>
      </c>
      <c r="J126" s="128">
        <v>0</v>
      </c>
      <c r="K126" s="128">
        <v>0</v>
      </c>
      <c r="L126" s="128">
        <v>0</v>
      </c>
      <c r="M126" s="128">
        <v>0</v>
      </c>
      <c r="N126" s="128">
        <f t="shared" si="22"/>
        <v>0</v>
      </c>
      <c r="O126" s="128"/>
      <c r="P126" s="128">
        <v>0</v>
      </c>
      <c r="Q126" s="29">
        <f>N126+P126</f>
        <v>0</v>
      </c>
      <c r="R126" s="5"/>
      <c r="V126" s="5">
        <f t="shared" si="10"/>
        <v>0</v>
      </c>
    </row>
    <row r="127" spans="1:22" s="3" customFormat="1" ht="12.75" hidden="1">
      <c r="A127" s="91"/>
      <c r="B127" s="34"/>
      <c r="C127" s="33"/>
      <c r="D127" s="33"/>
      <c r="E127" s="33"/>
      <c r="F127" s="33"/>
      <c r="G127" s="33">
        <f t="shared" si="23"/>
        <v>0</v>
      </c>
      <c r="H127" s="33"/>
      <c r="I127" s="128"/>
      <c r="J127" s="128"/>
      <c r="K127" s="128"/>
      <c r="L127" s="128"/>
      <c r="M127" s="128"/>
      <c r="N127" s="128">
        <f t="shared" si="22"/>
        <v>0</v>
      </c>
      <c r="O127" s="128"/>
      <c r="P127" s="128"/>
      <c r="Q127" s="29"/>
      <c r="R127" s="5"/>
      <c r="V127" s="5">
        <f t="shared" si="10"/>
        <v>0</v>
      </c>
    </row>
    <row r="128" spans="1:22" s="3" customFormat="1" ht="25.5" hidden="1">
      <c r="A128" s="91" t="s">
        <v>141</v>
      </c>
      <c r="B128" s="34" t="s">
        <v>333</v>
      </c>
      <c r="C128" s="33"/>
      <c r="D128" s="33"/>
      <c r="E128" s="33"/>
      <c r="F128" s="33"/>
      <c r="G128" s="33">
        <f t="shared" si="23"/>
        <v>0</v>
      </c>
      <c r="H128" s="33"/>
      <c r="I128" s="128" t="s">
        <v>17</v>
      </c>
      <c r="J128" s="128">
        <v>0</v>
      </c>
      <c r="K128" s="128">
        <v>0</v>
      </c>
      <c r="L128" s="128">
        <v>0</v>
      </c>
      <c r="M128" s="128">
        <v>0</v>
      </c>
      <c r="N128" s="128">
        <f t="shared" si="22"/>
        <v>0</v>
      </c>
      <c r="O128" s="128"/>
      <c r="P128" s="128">
        <v>0</v>
      </c>
      <c r="Q128" s="29">
        <f>N128+P128</f>
        <v>0</v>
      </c>
      <c r="R128" s="5"/>
      <c r="V128" s="5">
        <f t="shared" si="10"/>
        <v>0</v>
      </c>
    </row>
    <row r="129" spans="1:22" s="3" customFormat="1" ht="12.75" hidden="1">
      <c r="A129" s="91"/>
      <c r="B129" s="32"/>
      <c r="C129" s="33"/>
      <c r="D129" s="33"/>
      <c r="E129" s="33"/>
      <c r="F129" s="33"/>
      <c r="G129" s="33">
        <f t="shared" si="23"/>
        <v>0</v>
      </c>
      <c r="H129" s="33"/>
      <c r="I129" s="128"/>
      <c r="J129" s="128"/>
      <c r="K129" s="128"/>
      <c r="L129" s="128"/>
      <c r="M129" s="128"/>
      <c r="N129" s="128">
        <f t="shared" si="22"/>
        <v>0</v>
      </c>
      <c r="O129" s="128"/>
      <c r="P129" s="128"/>
      <c r="Q129" s="29"/>
      <c r="R129" s="5"/>
      <c r="V129" s="5">
        <f t="shared" si="10"/>
        <v>0</v>
      </c>
    </row>
    <row r="130" spans="1:22" s="3" customFormat="1" ht="13.5" hidden="1">
      <c r="A130" s="90" t="s">
        <v>46</v>
      </c>
      <c r="B130" s="30" t="s">
        <v>47</v>
      </c>
      <c r="C130" s="31">
        <v>954309</v>
      </c>
      <c r="D130" s="31"/>
      <c r="E130" s="31"/>
      <c r="F130" s="31"/>
      <c r="G130" s="31">
        <f t="shared" si="23"/>
        <v>954309</v>
      </c>
      <c r="H130" s="31"/>
      <c r="I130" s="132"/>
      <c r="J130" s="132"/>
      <c r="K130" s="132"/>
      <c r="L130" s="132"/>
      <c r="M130" s="132"/>
      <c r="N130" s="132"/>
      <c r="O130" s="132"/>
      <c r="P130" s="132"/>
      <c r="Q130" s="27"/>
      <c r="R130" s="5">
        <f>G130+H130</f>
        <v>954309</v>
      </c>
      <c r="V130" s="5">
        <f t="shared" si="10"/>
        <v>0</v>
      </c>
    </row>
    <row r="131" spans="1:22" s="3" customFormat="1" ht="12.75" hidden="1">
      <c r="A131" s="91" t="s">
        <v>144</v>
      </c>
      <c r="B131" s="32" t="s">
        <v>150</v>
      </c>
      <c r="C131" s="33"/>
      <c r="D131" s="33"/>
      <c r="E131" s="33"/>
      <c r="F131" s="33"/>
      <c r="G131" s="33">
        <f t="shared" si="23"/>
        <v>0</v>
      </c>
      <c r="H131" s="33"/>
      <c r="I131" s="128"/>
      <c r="J131" s="128"/>
      <c r="K131" s="128"/>
      <c r="L131" s="128"/>
      <c r="M131" s="128"/>
      <c r="N131" s="128"/>
      <c r="O131" s="128"/>
      <c r="P131" s="128"/>
      <c r="Q131" s="29"/>
      <c r="R131" s="5"/>
      <c r="V131" s="5">
        <f t="shared" si="10"/>
        <v>0</v>
      </c>
    </row>
    <row r="132" spans="1:22" s="3" customFormat="1" ht="12.75" hidden="1">
      <c r="A132" s="91" t="s">
        <v>145</v>
      </c>
      <c r="B132" s="32" t="s">
        <v>151</v>
      </c>
      <c r="C132" s="33"/>
      <c r="D132" s="33"/>
      <c r="E132" s="33"/>
      <c r="F132" s="33"/>
      <c r="G132" s="33">
        <f t="shared" si="23"/>
        <v>0</v>
      </c>
      <c r="H132" s="33"/>
      <c r="I132" s="128"/>
      <c r="J132" s="128"/>
      <c r="K132" s="128"/>
      <c r="L132" s="128"/>
      <c r="M132" s="128"/>
      <c r="N132" s="128"/>
      <c r="O132" s="128"/>
      <c r="P132" s="128"/>
      <c r="Q132" s="29"/>
      <c r="R132" s="5"/>
      <c r="V132" s="5">
        <f t="shared" si="10"/>
        <v>0</v>
      </c>
    </row>
    <row r="133" spans="1:22" s="3" customFormat="1" ht="12.75" hidden="1">
      <c r="A133" s="91" t="s">
        <v>146</v>
      </c>
      <c r="B133" s="32" t="s">
        <v>152</v>
      </c>
      <c r="C133" s="33"/>
      <c r="D133" s="33"/>
      <c r="E133" s="33"/>
      <c r="F133" s="33"/>
      <c r="G133" s="33">
        <f t="shared" si="23"/>
        <v>0</v>
      </c>
      <c r="H133" s="33"/>
      <c r="I133" s="29"/>
      <c r="J133" s="29"/>
      <c r="K133" s="29"/>
      <c r="L133" s="29"/>
      <c r="M133" s="29"/>
      <c r="N133" s="29"/>
      <c r="O133" s="29"/>
      <c r="P133" s="29"/>
      <c r="Q133" s="29"/>
      <c r="R133" s="5"/>
      <c r="V133" s="5">
        <f t="shared" si="10"/>
        <v>0</v>
      </c>
    </row>
    <row r="134" spans="1:22" s="3" customFormat="1" ht="12.75" hidden="1">
      <c r="A134" s="91" t="s">
        <v>147</v>
      </c>
      <c r="B134" s="32" t="s">
        <v>153</v>
      </c>
      <c r="C134" s="33"/>
      <c r="D134" s="33"/>
      <c r="E134" s="33"/>
      <c r="F134" s="33"/>
      <c r="G134" s="33">
        <f t="shared" si="23"/>
        <v>0</v>
      </c>
      <c r="H134" s="33"/>
      <c r="I134" s="29"/>
      <c r="J134" s="29"/>
      <c r="K134" s="29"/>
      <c r="L134" s="29"/>
      <c r="M134" s="29"/>
      <c r="N134" s="29"/>
      <c r="O134" s="29"/>
      <c r="P134" s="29"/>
      <c r="Q134" s="29"/>
      <c r="R134" s="5"/>
      <c r="V134" s="5">
        <f t="shared" si="10"/>
        <v>0</v>
      </c>
    </row>
    <row r="135" spans="1:22" s="3" customFormat="1" ht="12.75" hidden="1">
      <c r="A135" s="91" t="s">
        <v>148</v>
      </c>
      <c r="B135" s="32" t="s">
        <v>154</v>
      </c>
      <c r="C135" s="33"/>
      <c r="D135" s="33"/>
      <c r="E135" s="33"/>
      <c r="F135" s="33"/>
      <c r="G135" s="33">
        <f t="shared" si="23"/>
        <v>0</v>
      </c>
      <c r="H135" s="33"/>
      <c r="I135" s="29"/>
      <c r="J135" s="29"/>
      <c r="K135" s="29"/>
      <c r="L135" s="29"/>
      <c r="M135" s="29"/>
      <c r="N135" s="29"/>
      <c r="O135" s="29"/>
      <c r="P135" s="29"/>
      <c r="Q135" s="29"/>
      <c r="R135" s="5"/>
      <c r="V135" s="5">
        <f t="shared" si="10"/>
        <v>0</v>
      </c>
    </row>
    <row r="136" spans="1:22" s="3" customFormat="1" ht="13.5" customHeight="1" hidden="1">
      <c r="A136" s="91" t="s">
        <v>149</v>
      </c>
      <c r="B136" s="32" t="s">
        <v>155</v>
      </c>
      <c r="C136" s="33"/>
      <c r="D136" s="33"/>
      <c r="E136" s="33"/>
      <c r="F136" s="33"/>
      <c r="G136" s="33">
        <f t="shared" si="23"/>
        <v>0</v>
      </c>
      <c r="H136" s="33"/>
      <c r="I136" s="29"/>
      <c r="J136" s="29"/>
      <c r="K136" s="29"/>
      <c r="L136" s="29"/>
      <c r="M136" s="29"/>
      <c r="N136" s="29"/>
      <c r="O136" s="29"/>
      <c r="P136" s="29"/>
      <c r="Q136" s="29"/>
      <c r="R136" s="5"/>
      <c r="V136" s="5">
        <f t="shared" si="10"/>
        <v>0</v>
      </c>
    </row>
    <row r="137" spans="1:22" s="3" customFormat="1" ht="12.75" hidden="1">
      <c r="A137" s="24" t="s">
        <v>247</v>
      </c>
      <c r="B137" s="41" t="s">
        <v>248</v>
      </c>
      <c r="C137" s="42"/>
      <c r="D137" s="42"/>
      <c r="E137" s="25"/>
      <c r="F137" s="25"/>
      <c r="G137" s="33">
        <f t="shared" si="23"/>
        <v>0</v>
      </c>
      <c r="H137" s="23"/>
      <c r="I137" s="25"/>
      <c r="J137" s="25"/>
      <c r="K137" s="25"/>
      <c r="L137" s="25"/>
      <c r="M137" s="25"/>
      <c r="N137" s="25"/>
      <c r="O137" s="25"/>
      <c r="P137" s="25"/>
      <c r="Q137" s="25"/>
      <c r="V137" s="5">
        <f t="shared" si="10"/>
        <v>0</v>
      </c>
    </row>
    <row r="138" spans="1:22" s="3" customFormat="1" ht="12.75" hidden="1">
      <c r="A138" s="24" t="s">
        <v>48</v>
      </c>
      <c r="B138" s="41" t="s">
        <v>29</v>
      </c>
      <c r="C138" s="25">
        <f>C139+C140+C141+C142+C143+C144</f>
        <v>0</v>
      </c>
      <c r="D138" s="42"/>
      <c r="E138" s="25"/>
      <c r="F138" s="25"/>
      <c r="G138" s="25">
        <f t="shared" si="23"/>
        <v>0</v>
      </c>
      <c r="H138" s="23"/>
      <c r="I138" s="25"/>
      <c r="J138" s="25"/>
      <c r="K138" s="25"/>
      <c r="L138" s="25"/>
      <c r="M138" s="25"/>
      <c r="N138" s="25"/>
      <c r="O138" s="25"/>
      <c r="P138" s="25"/>
      <c r="Q138" s="25"/>
      <c r="V138" s="5">
        <f t="shared" si="10"/>
        <v>0</v>
      </c>
    </row>
    <row r="139" spans="1:22" s="3" customFormat="1" ht="25.5" hidden="1">
      <c r="A139" s="91" t="s">
        <v>182</v>
      </c>
      <c r="B139" s="35" t="s">
        <v>188</v>
      </c>
      <c r="C139" s="43"/>
      <c r="D139" s="43"/>
      <c r="E139" s="29"/>
      <c r="F139" s="29"/>
      <c r="G139" s="29">
        <f t="shared" si="23"/>
        <v>0</v>
      </c>
      <c r="H139" s="33"/>
      <c r="I139" s="29"/>
      <c r="J139" s="29"/>
      <c r="K139" s="29"/>
      <c r="L139" s="29"/>
      <c r="M139" s="29"/>
      <c r="N139" s="29"/>
      <c r="O139" s="29"/>
      <c r="P139" s="29"/>
      <c r="Q139" s="29"/>
      <c r="V139" s="5">
        <f t="shared" si="10"/>
        <v>0</v>
      </c>
    </row>
    <row r="140" spans="1:22" s="3" customFormat="1" ht="12.75" hidden="1">
      <c r="A140" s="91" t="s">
        <v>183</v>
      </c>
      <c r="B140" s="35" t="s">
        <v>189</v>
      </c>
      <c r="C140" s="43"/>
      <c r="D140" s="43"/>
      <c r="E140" s="29"/>
      <c r="F140" s="29"/>
      <c r="G140" s="33">
        <f t="shared" si="23"/>
        <v>0</v>
      </c>
      <c r="H140" s="33"/>
      <c r="I140" s="29"/>
      <c r="J140" s="29"/>
      <c r="K140" s="29"/>
      <c r="L140" s="29"/>
      <c r="M140" s="29"/>
      <c r="N140" s="29"/>
      <c r="O140" s="29"/>
      <c r="P140" s="29"/>
      <c r="Q140" s="29"/>
      <c r="V140" s="5">
        <f t="shared" si="10"/>
        <v>0</v>
      </c>
    </row>
    <row r="141" spans="1:22" s="3" customFormat="1" ht="25.5" hidden="1">
      <c r="A141" s="91" t="s">
        <v>184</v>
      </c>
      <c r="B141" s="35" t="s">
        <v>190</v>
      </c>
      <c r="C141" s="43"/>
      <c r="D141" s="43"/>
      <c r="E141" s="29"/>
      <c r="F141" s="29"/>
      <c r="G141" s="33">
        <f t="shared" si="23"/>
        <v>0</v>
      </c>
      <c r="H141" s="33"/>
      <c r="I141" s="29"/>
      <c r="J141" s="29"/>
      <c r="K141" s="29"/>
      <c r="L141" s="29"/>
      <c r="M141" s="29"/>
      <c r="N141" s="29"/>
      <c r="O141" s="29"/>
      <c r="P141" s="29"/>
      <c r="Q141" s="29"/>
      <c r="V141" s="5">
        <f t="shared" si="10"/>
        <v>0</v>
      </c>
    </row>
    <row r="142" spans="1:22" s="3" customFormat="1" ht="25.5" hidden="1">
      <c r="A142" s="91" t="s">
        <v>185</v>
      </c>
      <c r="B142" s="35" t="s">
        <v>191</v>
      </c>
      <c r="C142" s="43"/>
      <c r="D142" s="43"/>
      <c r="E142" s="29"/>
      <c r="F142" s="29"/>
      <c r="G142" s="33">
        <f t="shared" si="23"/>
        <v>0</v>
      </c>
      <c r="H142" s="33"/>
      <c r="I142" s="29"/>
      <c r="J142" s="29"/>
      <c r="K142" s="29"/>
      <c r="L142" s="29"/>
      <c r="M142" s="29"/>
      <c r="N142" s="29"/>
      <c r="O142" s="29"/>
      <c r="P142" s="29"/>
      <c r="Q142" s="29"/>
      <c r="V142" s="5">
        <f t="shared" si="10"/>
        <v>0</v>
      </c>
    </row>
    <row r="143" spans="1:22" s="3" customFormat="1" ht="25.5" hidden="1">
      <c r="A143" s="91" t="s">
        <v>186</v>
      </c>
      <c r="B143" s="35" t="s">
        <v>192</v>
      </c>
      <c r="C143" s="43"/>
      <c r="D143" s="43"/>
      <c r="E143" s="29"/>
      <c r="F143" s="29"/>
      <c r="G143" s="33">
        <f t="shared" si="23"/>
        <v>0</v>
      </c>
      <c r="H143" s="33"/>
      <c r="I143" s="29"/>
      <c r="J143" s="29"/>
      <c r="K143" s="29"/>
      <c r="L143" s="29"/>
      <c r="M143" s="29"/>
      <c r="N143" s="29"/>
      <c r="O143" s="29"/>
      <c r="P143" s="29"/>
      <c r="Q143" s="29"/>
      <c r="V143" s="5">
        <f t="shared" si="10"/>
        <v>0</v>
      </c>
    </row>
    <row r="144" spans="1:22" s="3" customFormat="1" ht="12.75" hidden="1">
      <c r="A144" s="91" t="s">
        <v>187</v>
      </c>
      <c r="B144" s="35" t="s">
        <v>193</v>
      </c>
      <c r="C144" s="43"/>
      <c r="D144" s="43"/>
      <c r="E144" s="29"/>
      <c r="F144" s="29"/>
      <c r="G144" s="33">
        <f t="shared" si="23"/>
        <v>0</v>
      </c>
      <c r="H144" s="33"/>
      <c r="I144" s="29" t="s">
        <v>17</v>
      </c>
      <c r="J144" s="29">
        <v>0</v>
      </c>
      <c r="K144" s="29">
        <v>0</v>
      </c>
      <c r="L144" s="29">
        <v>0</v>
      </c>
      <c r="M144" s="29">
        <v>0</v>
      </c>
      <c r="N144" s="29">
        <f>J144+K144+L144+M144</f>
        <v>0</v>
      </c>
      <c r="O144" s="29">
        <v>0</v>
      </c>
      <c r="P144" s="29">
        <v>0</v>
      </c>
      <c r="Q144" s="29">
        <f>N144+P144</f>
        <v>0</v>
      </c>
      <c r="V144" s="5">
        <f t="shared" si="10"/>
        <v>0</v>
      </c>
    </row>
    <row r="145" spans="1:22" s="3" customFormat="1" ht="25.5">
      <c r="A145" s="86"/>
      <c r="B145" s="47" t="s">
        <v>256</v>
      </c>
      <c r="C145" s="48">
        <f aca="true" t="shared" si="24" ref="C145:Q145">C146+C150+C152+C155+C159+C162+C164+C166+C169+C173</f>
        <v>3385614516</v>
      </c>
      <c r="D145" s="48">
        <f t="shared" si="24"/>
        <v>1543421417</v>
      </c>
      <c r="E145" s="48">
        <f t="shared" si="24"/>
        <v>0</v>
      </c>
      <c r="F145" s="48">
        <f t="shared" si="24"/>
        <v>208171883</v>
      </c>
      <c r="G145" s="48">
        <f t="shared" si="24"/>
        <v>5137207816</v>
      </c>
      <c r="H145" s="48">
        <f>H146+H150+H152+H155+H159+H162+H164+H166+H169+H173</f>
        <v>-234056186</v>
      </c>
      <c r="I145" s="48">
        <f t="shared" si="24"/>
        <v>0</v>
      </c>
      <c r="J145" s="53">
        <f t="shared" si="24"/>
        <v>237333615</v>
      </c>
      <c r="K145" s="53">
        <f t="shared" si="24"/>
        <v>6215981</v>
      </c>
      <c r="L145" s="53">
        <f t="shared" si="24"/>
        <v>697</v>
      </c>
      <c r="M145" s="53">
        <f t="shared" si="24"/>
        <v>244166</v>
      </c>
      <c r="N145" s="53">
        <f>N146+N150+N152+N155+N159+N162+N164+N166+N169+N173</f>
        <v>243794459</v>
      </c>
      <c r="O145" s="53">
        <f>O146+O150+O152+O155+O159+O162+O164+O166+O169+O173</f>
        <v>51904</v>
      </c>
      <c r="P145" s="53">
        <f t="shared" si="24"/>
        <v>-243742555</v>
      </c>
      <c r="Q145" s="53">
        <f t="shared" si="24"/>
        <v>0</v>
      </c>
      <c r="S145" s="5">
        <f>N145+P145</f>
        <v>51904</v>
      </c>
      <c r="V145" s="5">
        <f aca="true" t="shared" si="25" ref="V145:V176">J145+K145+L145+M145-N145</f>
        <v>0</v>
      </c>
    </row>
    <row r="146" spans="1:22" s="3" customFormat="1" ht="12.75">
      <c r="A146" s="94" t="s">
        <v>257</v>
      </c>
      <c r="B146" s="45" t="s">
        <v>30</v>
      </c>
      <c r="C146" s="33">
        <v>655683537</v>
      </c>
      <c r="D146" s="33"/>
      <c r="E146" s="33"/>
      <c r="F146" s="33">
        <v>37856672</v>
      </c>
      <c r="G146" s="33">
        <f>C146+D146+E146+F146</f>
        <v>693540209</v>
      </c>
      <c r="H146" s="103">
        <f>H147+H148</f>
        <v>-76809089</v>
      </c>
      <c r="I146" s="128"/>
      <c r="J146" s="128">
        <f>J147+J148</f>
        <v>76767446</v>
      </c>
      <c r="K146" s="128"/>
      <c r="L146" s="128"/>
      <c r="M146" s="128">
        <f>M147</f>
        <v>33280</v>
      </c>
      <c r="N146" s="128">
        <f>N147+N148</f>
        <v>76800726</v>
      </c>
      <c r="O146" s="128"/>
      <c r="P146" s="128">
        <f>P147+P148</f>
        <v>-76800726</v>
      </c>
      <c r="Q146" s="128"/>
      <c r="V146" s="5">
        <f t="shared" si="25"/>
        <v>0</v>
      </c>
    </row>
    <row r="147" spans="1:22" s="3" customFormat="1" ht="12.75">
      <c r="A147" s="95"/>
      <c r="B147" s="39" t="s">
        <v>285</v>
      </c>
      <c r="C147" s="40">
        <f>10186189+8000</f>
        <v>10194189</v>
      </c>
      <c r="D147" s="40"/>
      <c r="E147" s="40"/>
      <c r="F147" s="40"/>
      <c r="G147" s="40">
        <f aca="true" t="shared" si="26" ref="G147:G171">C147+D147+E147+F147</f>
        <v>10194189</v>
      </c>
      <c r="H147" s="125">
        <f>-G147</f>
        <v>-10194189</v>
      </c>
      <c r="I147" s="129">
        <f>G147+H147</f>
        <v>0</v>
      </c>
      <c r="J147" s="129">
        <f>5959+10114990</f>
        <v>10120949</v>
      </c>
      <c r="K147" s="129">
        <v>0</v>
      </c>
      <c r="L147" s="129">
        <v>0</v>
      </c>
      <c r="M147" s="129">
        <f>10791+22489</f>
        <v>33280</v>
      </c>
      <c r="N147" s="129">
        <f>J147+K147+L147+M147</f>
        <v>10154229</v>
      </c>
      <c r="O147" s="129">
        <v>0</v>
      </c>
      <c r="P147" s="129">
        <f>-N147</f>
        <v>-10154229</v>
      </c>
      <c r="Q147" s="129">
        <f>N147+P147</f>
        <v>0</v>
      </c>
      <c r="S147" s="5">
        <f>Q146+Q150+Q152+Q155+Q159+Q162+Q164+Q166+Q169+Q173</f>
        <v>0</v>
      </c>
      <c r="V147" s="5">
        <f t="shared" si="25"/>
        <v>0</v>
      </c>
    </row>
    <row r="148" spans="1:22" s="3" customFormat="1" ht="12.75">
      <c r="A148" s="92"/>
      <c r="B148" s="72" t="s">
        <v>335</v>
      </c>
      <c r="C148" s="73">
        <f>66609170+5730</f>
        <v>66614900</v>
      </c>
      <c r="D148" s="73"/>
      <c r="E148" s="73"/>
      <c r="F148" s="73"/>
      <c r="G148" s="74">
        <f>C148+D148+E148+F148</f>
        <v>66614900</v>
      </c>
      <c r="H148" s="130">
        <f>-G148</f>
        <v>-66614900</v>
      </c>
      <c r="I148" s="131">
        <f>G148+H148</f>
        <v>0</v>
      </c>
      <c r="J148" s="131">
        <f>66609170+2664+34663</f>
        <v>66646497</v>
      </c>
      <c r="K148" s="131">
        <v>0</v>
      </c>
      <c r="L148" s="131">
        <v>0</v>
      </c>
      <c r="M148" s="131">
        <v>0</v>
      </c>
      <c r="N148" s="131">
        <f>J148+K148+L148+M148</f>
        <v>66646497</v>
      </c>
      <c r="O148" s="131">
        <v>0</v>
      </c>
      <c r="P148" s="131">
        <f>-J148</f>
        <v>-66646497</v>
      </c>
      <c r="Q148" s="131">
        <f>N148+P148</f>
        <v>0</v>
      </c>
      <c r="V148" s="5">
        <f t="shared" si="25"/>
        <v>0</v>
      </c>
    </row>
    <row r="149" spans="1:22" s="3" customFormat="1" ht="12.75" hidden="1">
      <c r="A149" s="96"/>
      <c r="B149" s="76" t="s">
        <v>336</v>
      </c>
      <c r="C149" s="77"/>
      <c r="D149" s="77"/>
      <c r="E149" s="77"/>
      <c r="F149" s="77"/>
      <c r="G149" s="78"/>
      <c r="H149" s="126"/>
      <c r="I149" s="127">
        <v>0</v>
      </c>
      <c r="J149" s="127">
        <v>0</v>
      </c>
      <c r="K149" s="127">
        <v>0</v>
      </c>
      <c r="L149" s="127">
        <v>0</v>
      </c>
      <c r="M149" s="127">
        <v>0</v>
      </c>
      <c r="N149" s="127">
        <f>J149+K149+L149+M149</f>
        <v>0</v>
      </c>
      <c r="O149" s="127">
        <v>0</v>
      </c>
      <c r="P149" s="127">
        <f>J149</f>
        <v>0</v>
      </c>
      <c r="Q149" s="127">
        <v>0</v>
      </c>
      <c r="V149" s="5">
        <f t="shared" si="25"/>
        <v>0</v>
      </c>
    </row>
    <row r="150" spans="1:22" s="3" customFormat="1" ht="12.75">
      <c r="A150" s="94" t="s">
        <v>258</v>
      </c>
      <c r="B150" s="28" t="s">
        <v>31</v>
      </c>
      <c r="C150" s="33">
        <v>139432031</v>
      </c>
      <c r="D150" s="33"/>
      <c r="E150" s="33"/>
      <c r="F150" s="33"/>
      <c r="G150" s="33">
        <f t="shared" si="26"/>
        <v>139432031</v>
      </c>
      <c r="H150" s="103"/>
      <c r="I150" s="128"/>
      <c r="J150" s="128">
        <f>J151</f>
        <v>302</v>
      </c>
      <c r="K150" s="128"/>
      <c r="L150" s="128"/>
      <c r="M150" s="128"/>
      <c r="N150" s="128">
        <f>N151</f>
        <v>302</v>
      </c>
      <c r="O150" s="128"/>
      <c r="P150" s="128">
        <f>P151</f>
        <v>-302</v>
      </c>
      <c r="Q150" s="128"/>
      <c r="V150" s="5">
        <f t="shared" si="25"/>
        <v>0</v>
      </c>
    </row>
    <row r="151" spans="1:22" s="3" customFormat="1" ht="12.75">
      <c r="A151" s="95"/>
      <c r="B151" s="39" t="s">
        <v>285</v>
      </c>
      <c r="C151" s="40"/>
      <c r="D151" s="40"/>
      <c r="E151" s="40"/>
      <c r="F151" s="40"/>
      <c r="G151" s="40">
        <f t="shared" si="26"/>
        <v>0</v>
      </c>
      <c r="H151" s="125"/>
      <c r="I151" s="129">
        <v>0</v>
      </c>
      <c r="J151" s="129">
        <v>302</v>
      </c>
      <c r="K151" s="129">
        <v>0</v>
      </c>
      <c r="L151" s="129">
        <v>0</v>
      </c>
      <c r="M151" s="129">
        <v>0</v>
      </c>
      <c r="N151" s="129">
        <f>J151+K151+L151+M151</f>
        <v>302</v>
      </c>
      <c r="O151" s="129">
        <v>0</v>
      </c>
      <c r="P151" s="129">
        <f>-J151</f>
        <v>-302</v>
      </c>
      <c r="Q151" s="129">
        <f>N151+P151</f>
        <v>0</v>
      </c>
      <c r="V151" s="5">
        <f t="shared" si="25"/>
        <v>0</v>
      </c>
    </row>
    <row r="152" spans="1:22" s="3" customFormat="1" ht="12.75">
      <c r="A152" s="94" t="s">
        <v>259</v>
      </c>
      <c r="B152" s="46" t="s">
        <v>260</v>
      </c>
      <c r="C152" s="33">
        <v>241639451</v>
      </c>
      <c r="D152" s="33"/>
      <c r="E152" s="33"/>
      <c r="F152" s="33"/>
      <c r="G152" s="33">
        <f t="shared" si="26"/>
        <v>241639451</v>
      </c>
      <c r="H152" s="103">
        <f>H154+H153</f>
        <v>-15999</v>
      </c>
      <c r="I152" s="128"/>
      <c r="J152" s="128">
        <f>J153</f>
        <v>26944</v>
      </c>
      <c r="K152" s="128"/>
      <c r="L152" s="128"/>
      <c r="M152" s="128"/>
      <c r="N152" s="128">
        <f>N153</f>
        <v>26944</v>
      </c>
      <c r="O152" s="128"/>
      <c r="P152" s="128">
        <f>P153</f>
        <v>-26944</v>
      </c>
      <c r="Q152" s="128"/>
      <c r="V152" s="5">
        <f t="shared" si="25"/>
        <v>0</v>
      </c>
    </row>
    <row r="153" spans="1:22" s="3" customFormat="1" ht="12.75">
      <c r="A153" s="95"/>
      <c r="B153" s="39" t="s">
        <v>285</v>
      </c>
      <c r="C153" s="40">
        <v>15999</v>
      </c>
      <c r="D153" s="40"/>
      <c r="E153" s="40"/>
      <c r="F153" s="40"/>
      <c r="G153" s="40">
        <f t="shared" si="26"/>
        <v>15999</v>
      </c>
      <c r="H153" s="125">
        <f>-G153</f>
        <v>-15999</v>
      </c>
      <c r="I153" s="129">
        <v>0</v>
      </c>
      <c r="J153" s="129">
        <f>15999+10945</f>
        <v>26944</v>
      </c>
      <c r="K153" s="129">
        <v>0</v>
      </c>
      <c r="L153" s="129">
        <v>0</v>
      </c>
      <c r="M153" s="129">
        <v>0</v>
      </c>
      <c r="N153" s="129">
        <f>J153</f>
        <v>26944</v>
      </c>
      <c r="O153" s="129">
        <v>0</v>
      </c>
      <c r="P153" s="129">
        <f>-N153</f>
        <v>-26944</v>
      </c>
      <c r="Q153" s="129"/>
      <c r="V153" s="5">
        <f t="shared" si="25"/>
        <v>0</v>
      </c>
    </row>
    <row r="154" spans="1:22" s="3" customFormat="1" ht="12.75" hidden="1">
      <c r="A154" s="96"/>
      <c r="B154" s="76" t="s">
        <v>336</v>
      </c>
      <c r="C154" s="77">
        <v>0</v>
      </c>
      <c r="D154" s="77"/>
      <c r="E154" s="77"/>
      <c r="F154" s="77"/>
      <c r="G154" s="78">
        <f>C154</f>
        <v>0</v>
      </c>
      <c r="H154" s="126">
        <f>G154</f>
        <v>0</v>
      </c>
      <c r="I154" s="127">
        <f>H154</f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f>J154+K154+L154+M154</f>
        <v>0</v>
      </c>
      <c r="O154" s="127">
        <v>0</v>
      </c>
      <c r="P154" s="127">
        <f>J154</f>
        <v>0</v>
      </c>
      <c r="Q154" s="127">
        <v>0</v>
      </c>
      <c r="V154" s="5">
        <f t="shared" si="25"/>
        <v>0</v>
      </c>
    </row>
    <row r="155" spans="1:22" s="3" customFormat="1" ht="12.75">
      <c r="A155" s="94" t="s">
        <v>261</v>
      </c>
      <c r="B155" s="28" t="s">
        <v>262</v>
      </c>
      <c r="C155" s="33">
        <v>914915547</v>
      </c>
      <c r="D155" s="33"/>
      <c r="E155" s="33"/>
      <c r="F155" s="33">
        <v>19313012</v>
      </c>
      <c r="G155" s="33">
        <f t="shared" si="26"/>
        <v>934228559</v>
      </c>
      <c r="H155" s="103">
        <f>H156+H157+H158</f>
        <v>-21014358</v>
      </c>
      <c r="I155" s="128"/>
      <c r="J155" s="128">
        <f>J156+J157+J158</f>
        <v>22242401</v>
      </c>
      <c r="K155" s="128"/>
      <c r="L155" s="128"/>
      <c r="M155" s="128">
        <f>M156</f>
        <v>167079</v>
      </c>
      <c r="N155" s="128">
        <f>N156+N157+N158</f>
        <v>22409480</v>
      </c>
      <c r="O155" s="128">
        <f>O158</f>
        <v>39083</v>
      </c>
      <c r="P155" s="128">
        <f>P156+P157</f>
        <v>-22370397</v>
      </c>
      <c r="Q155" s="128"/>
      <c r="V155" s="5">
        <f t="shared" si="25"/>
        <v>0</v>
      </c>
    </row>
    <row r="156" spans="1:22" s="3" customFormat="1" ht="12.75">
      <c r="A156" s="95"/>
      <c r="B156" s="39" t="s">
        <v>285</v>
      </c>
      <c r="C156" s="40">
        <v>20840848</v>
      </c>
      <c r="D156" s="40"/>
      <c r="E156" s="40"/>
      <c r="F156" s="40"/>
      <c r="G156" s="40">
        <f>C156+D156+E156+F156</f>
        <v>20840848</v>
      </c>
      <c r="H156" s="125">
        <f>-G156</f>
        <v>-20840848</v>
      </c>
      <c r="I156" s="129">
        <v>0</v>
      </c>
      <c r="J156" s="129">
        <f>20539885+1489924</f>
        <v>22029809</v>
      </c>
      <c r="K156" s="129">
        <v>0</v>
      </c>
      <c r="L156" s="129">
        <v>0</v>
      </c>
      <c r="M156" s="129">
        <f>4861+161270+948</f>
        <v>167079</v>
      </c>
      <c r="N156" s="129">
        <f>J156+K156+L156+M156</f>
        <v>22196888</v>
      </c>
      <c r="O156" s="129">
        <v>0</v>
      </c>
      <c r="P156" s="129">
        <f>-N156</f>
        <v>-22196888</v>
      </c>
      <c r="Q156" s="129">
        <f>N156+P156</f>
        <v>0</v>
      </c>
      <c r="V156" s="5">
        <f t="shared" si="25"/>
        <v>0</v>
      </c>
    </row>
    <row r="157" spans="1:22" s="3" customFormat="1" ht="12.75">
      <c r="A157" s="92"/>
      <c r="B157" s="72" t="s">
        <v>335</v>
      </c>
      <c r="C157" s="73">
        <v>173510</v>
      </c>
      <c r="D157" s="73"/>
      <c r="E157" s="73"/>
      <c r="F157" s="73"/>
      <c r="G157" s="74">
        <f>C157+D157+E157+F157</f>
        <v>173510</v>
      </c>
      <c r="H157" s="130">
        <f>-G157</f>
        <v>-173510</v>
      </c>
      <c r="I157" s="131">
        <f>G157+H157</f>
        <v>0</v>
      </c>
      <c r="J157" s="131">
        <v>173509</v>
      </c>
      <c r="K157" s="131">
        <v>0</v>
      </c>
      <c r="L157" s="131">
        <v>0</v>
      </c>
      <c r="M157" s="131">
        <v>0</v>
      </c>
      <c r="N157" s="131">
        <f>J157+K157+L157+M157</f>
        <v>173509</v>
      </c>
      <c r="O157" s="131">
        <v>0</v>
      </c>
      <c r="P157" s="131">
        <f>-J157</f>
        <v>-173509</v>
      </c>
      <c r="Q157" s="131">
        <f>N157+P157</f>
        <v>0</v>
      </c>
      <c r="V157" s="5">
        <f t="shared" si="25"/>
        <v>0</v>
      </c>
    </row>
    <row r="158" spans="1:22" s="3" customFormat="1" ht="12.75">
      <c r="A158" s="96"/>
      <c r="B158" s="76" t="s">
        <v>336</v>
      </c>
      <c r="C158" s="77"/>
      <c r="D158" s="77"/>
      <c r="E158" s="77"/>
      <c r="F158" s="77"/>
      <c r="G158" s="78"/>
      <c r="H158" s="126"/>
      <c r="I158" s="127">
        <v>0</v>
      </c>
      <c r="J158" s="127">
        <v>39083</v>
      </c>
      <c r="K158" s="127">
        <v>0</v>
      </c>
      <c r="L158" s="127">
        <v>0</v>
      </c>
      <c r="M158" s="127">
        <v>0</v>
      </c>
      <c r="N158" s="127">
        <f>J158+K158+L158+M158</f>
        <v>39083</v>
      </c>
      <c r="O158" s="127">
        <f>N158</f>
        <v>39083</v>
      </c>
      <c r="P158" s="127">
        <v>0</v>
      </c>
      <c r="Q158" s="127">
        <v>0</v>
      </c>
      <c r="V158" s="5">
        <f t="shared" si="25"/>
        <v>0</v>
      </c>
    </row>
    <row r="159" spans="1:22" s="3" customFormat="1" ht="12.75">
      <c r="A159" s="94" t="s">
        <v>263</v>
      </c>
      <c r="B159" s="28" t="s">
        <v>264</v>
      </c>
      <c r="C159" s="33">
        <v>175642960</v>
      </c>
      <c r="D159" s="33"/>
      <c r="E159" s="33"/>
      <c r="F159" s="33">
        <v>532753</v>
      </c>
      <c r="G159" s="33">
        <f t="shared" si="26"/>
        <v>176175713</v>
      </c>
      <c r="H159" s="103">
        <f>H160+H161</f>
        <v>-2591063</v>
      </c>
      <c r="I159" s="128"/>
      <c r="J159" s="128">
        <f>J160+J161</f>
        <v>156001</v>
      </c>
      <c r="K159" s="128"/>
      <c r="L159" s="128"/>
      <c r="M159" s="128"/>
      <c r="N159" s="128">
        <f>N160+N161</f>
        <v>156001</v>
      </c>
      <c r="O159" s="128">
        <f>O161</f>
        <v>12821</v>
      </c>
      <c r="P159" s="128">
        <f>P160+P161</f>
        <v>-143180</v>
      </c>
      <c r="Q159" s="128"/>
      <c r="V159" s="5">
        <f t="shared" si="25"/>
        <v>0</v>
      </c>
    </row>
    <row r="160" spans="1:22" s="3" customFormat="1" ht="12.75">
      <c r="A160" s="95"/>
      <c r="B160" s="39" t="s">
        <v>285</v>
      </c>
      <c r="C160" s="40">
        <v>2603884</v>
      </c>
      <c r="D160" s="40"/>
      <c r="E160" s="40"/>
      <c r="F160" s="40"/>
      <c r="G160" s="40">
        <f t="shared" si="26"/>
        <v>2603884</v>
      </c>
      <c r="H160" s="125">
        <f>-G160</f>
        <v>-2603884</v>
      </c>
      <c r="I160" s="129">
        <f>G160+H160</f>
        <v>0</v>
      </c>
      <c r="J160" s="129">
        <f>137178+6002</f>
        <v>143180</v>
      </c>
      <c r="K160" s="129">
        <v>0</v>
      </c>
      <c r="L160" s="129">
        <v>0</v>
      </c>
      <c r="M160" s="129">
        <v>0</v>
      </c>
      <c r="N160" s="129">
        <f>J160+K160+L160+M160</f>
        <v>143180</v>
      </c>
      <c r="O160" s="129">
        <v>0</v>
      </c>
      <c r="P160" s="129">
        <f>-J160</f>
        <v>-143180</v>
      </c>
      <c r="Q160" s="129">
        <f>N160+P160</f>
        <v>0</v>
      </c>
      <c r="V160" s="5">
        <f t="shared" si="25"/>
        <v>0</v>
      </c>
    </row>
    <row r="161" spans="1:22" s="3" customFormat="1" ht="12.75">
      <c r="A161" s="96"/>
      <c r="B161" s="76" t="s">
        <v>336</v>
      </c>
      <c r="C161" s="77">
        <v>12821</v>
      </c>
      <c r="D161" s="77"/>
      <c r="E161" s="77"/>
      <c r="F161" s="77"/>
      <c r="G161" s="77">
        <f t="shared" si="26"/>
        <v>12821</v>
      </c>
      <c r="H161" s="126">
        <f>G161</f>
        <v>12821</v>
      </c>
      <c r="I161" s="127">
        <f>H161</f>
        <v>12821</v>
      </c>
      <c r="J161" s="127">
        <v>12821</v>
      </c>
      <c r="K161" s="127">
        <v>0</v>
      </c>
      <c r="L161" s="127">
        <v>0</v>
      </c>
      <c r="M161" s="127">
        <v>0</v>
      </c>
      <c r="N161" s="127">
        <f>J161+K161+L161+M161</f>
        <v>12821</v>
      </c>
      <c r="O161" s="127">
        <f>N161</f>
        <v>12821</v>
      </c>
      <c r="P161" s="127">
        <v>0</v>
      </c>
      <c r="Q161" s="127">
        <v>0</v>
      </c>
      <c r="V161" s="5">
        <f t="shared" si="25"/>
        <v>0</v>
      </c>
    </row>
    <row r="162" spans="1:22" s="3" customFormat="1" ht="12.75">
      <c r="A162" s="94" t="s">
        <v>265</v>
      </c>
      <c r="B162" s="28" t="s">
        <v>266</v>
      </c>
      <c r="C162" s="33">
        <v>8411778</v>
      </c>
      <c r="D162" s="33"/>
      <c r="E162" s="33"/>
      <c r="F162" s="33">
        <v>1190537</v>
      </c>
      <c r="G162" s="33">
        <f t="shared" si="26"/>
        <v>9602315</v>
      </c>
      <c r="H162" s="103">
        <f>H163</f>
        <v>-693665</v>
      </c>
      <c r="I162" s="128"/>
      <c r="J162" s="128">
        <f>J163</f>
        <v>693665</v>
      </c>
      <c r="K162" s="128"/>
      <c r="L162" s="128">
        <f>L163</f>
        <v>697</v>
      </c>
      <c r="M162" s="128"/>
      <c r="N162" s="128">
        <f>N163</f>
        <v>694362</v>
      </c>
      <c r="O162" s="128"/>
      <c r="P162" s="128">
        <f>P163</f>
        <v>-694362</v>
      </c>
      <c r="Q162" s="128"/>
      <c r="V162" s="5">
        <f t="shared" si="25"/>
        <v>0</v>
      </c>
    </row>
    <row r="163" spans="1:22" s="3" customFormat="1" ht="12.75">
      <c r="A163" s="95"/>
      <c r="B163" s="39" t="s">
        <v>285</v>
      </c>
      <c r="C163" s="40">
        <v>693665</v>
      </c>
      <c r="D163" s="40"/>
      <c r="E163" s="40"/>
      <c r="F163" s="40"/>
      <c r="G163" s="40">
        <f>C163+D163+E163+F163</f>
        <v>693665</v>
      </c>
      <c r="H163" s="125">
        <f>-G163</f>
        <v>-693665</v>
      </c>
      <c r="I163" s="129">
        <v>0</v>
      </c>
      <c r="J163" s="129">
        <v>693665</v>
      </c>
      <c r="K163" s="129">
        <v>0</v>
      </c>
      <c r="L163" s="129">
        <v>697</v>
      </c>
      <c r="M163" s="129">
        <v>0</v>
      </c>
      <c r="N163" s="129">
        <f>J163+K163+L163+M163</f>
        <v>694362</v>
      </c>
      <c r="O163" s="129">
        <v>0</v>
      </c>
      <c r="P163" s="129">
        <f>-N163</f>
        <v>-694362</v>
      </c>
      <c r="Q163" s="129">
        <f>N163+P163</f>
        <v>0</v>
      </c>
      <c r="V163" s="5">
        <f t="shared" si="25"/>
        <v>0</v>
      </c>
    </row>
    <row r="164" spans="1:22" s="3" customFormat="1" ht="12.75">
      <c r="A164" s="94" t="s">
        <v>267</v>
      </c>
      <c r="B164" s="28" t="s">
        <v>268</v>
      </c>
      <c r="C164" s="33">
        <v>476206724</v>
      </c>
      <c r="D164" s="33"/>
      <c r="E164" s="33"/>
      <c r="F164" s="33">
        <v>0</v>
      </c>
      <c r="G164" s="33">
        <f t="shared" si="26"/>
        <v>476206724</v>
      </c>
      <c r="H164" s="103">
        <f>H165</f>
        <v>-6535</v>
      </c>
      <c r="I164" s="128"/>
      <c r="J164" s="128">
        <f>J165</f>
        <v>105125</v>
      </c>
      <c r="K164" s="128"/>
      <c r="L164" s="128"/>
      <c r="M164" s="128"/>
      <c r="N164" s="128">
        <f>N165</f>
        <v>105125</v>
      </c>
      <c r="O164" s="128"/>
      <c r="P164" s="128">
        <f>P165</f>
        <v>-105125</v>
      </c>
      <c r="Q164" s="128"/>
      <c r="V164" s="5">
        <f t="shared" si="25"/>
        <v>0</v>
      </c>
    </row>
    <row r="165" spans="1:22" s="3" customFormat="1" ht="12.75">
      <c r="A165" s="95"/>
      <c r="B165" s="39" t="s">
        <v>285</v>
      </c>
      <c r="C165" s="40">
        <v>6535</v>
      </c>
      <c r="D165" s="40"/>
      <c r="E165" s="40"/>
      <c r="F165" s="40"/>
      <c r="G165" s="40">
        <f t="shared" si="26"/>
        <v>6535</v>
      </c>
      <c r="H165" s="125">
        <f>-G165</f>
        <v>-6535</v>
      </c>
      <c r="I165" s="129">
        <v>0</v>
      </c>
      <c r="J165" s="129">
        <f>6535+98590</f>
        <v>105125</v>
      </c>
      <c r="K165" s="129">
        <v>0</v>
      </c>
      <c r="L165" s="129">
        <v>0</v>
      </c>
      <c r="M165" s="129">
        <v>0</v>
      </c>
      <c r="N165" s="129">
        <f>J165+K165+L165+M165</f>
        <v>105125</v>
      </c>
      <c r="O165" s="129">
        <v>0</v>
      </c>
      <c r="P165" s="129">
        <f>-J165</f>
        <v>-105125</v>
      </c>
      <c r="Q165" s="129">
        <f>N165+P165</f>
        <v>0</v>
      </c>
      <c r="V165" s="5">
        <f t="shared" si="25"/>
        <v>0</v>
      </c>
    </row>
    <row r="166" spans="1:22" s="3" customFormat="1" ht="12.75">
      <c r="A166" s="94" t="s">
        <v>269</v>
      </c>
      <c r="B166" s="28" t="s">
        <v>270</v>
      </c>
      <c r="C166" s="33">
        <v>85493739</v>
      </c>
      <c r="D166" s="33"/>
      <c r="E166" s="33"/>
      <c r="F166" s="33">
        <v>73308</v>
      </c>
      <c r="G166" s="33">
        <f t="shared" si="26"/>
        <v>85567047</v>
      </c>
      <c r="H166" s="103">
        <f>H167</f>
        <v>-307200</v>
      </c>
      <c r="I166" s="128"/>
      <c r="J166" s="128">
        <f>J167</f>
        <v>307154</v>
      </c>
      <c r="K166" s="128"/>
      <c r="L166" s="128"/>
      <c r="M166" s="128"/>
      <c r="N166" s="128">
        <f>N167</f>
        <v>307154</v>
      </c>
      <c r="O166" s="128"/>
      <c r="P166" s="128">
        <f>P167</f>
        <v>-307154</v>
      </c>
      <c r="Q166" s="128"/>
      <c r="V166" s="5">
        <f t="shared" si="25"/>
        <v>0</v>
      </c>
    </row>
    <row r="167" spans="1:22" s="3" customFormat="1" ht="12.75">
      <c r="A167" s="95"/>
      <c r="B167" s="39" t="s">
        <v>285</v>
      </c>
      <c r="C167" s="40">
        <v>307200</v>
      </c>
      <c r="D167" s="40"/>
      <c r="E167" s="40"/>
      <c r="F167" s="40"/>
      <c r="G167" s="40">
        <f>C167+D167+E167+F167</f>
        <v>307200</v>
      </c>
      <c r="H167" s="125">
        <f>-G167</f>
        <v>-307200</v>
      </c>
      <c r="I167" s="129">
        <v>0</v>
      </c>
      <c r="J167" s="129">
        <v>307154</v>
      </c>
      <c r="K167" s="129">
        <v>0</v>
      </c>
      <c r="L167" s="129">
        <v>0</v>
      </c>
      <c r="M167" s="129">
        <v>0</v>
      </c>
      <c r="N167" s="129">
        <f aca="true" t="shared" si="27" ref="N167:N176">J167+K167+L167+M167</f>
        <v>307154</v>
      </c>
      <c r="O167" s="129">
        <v>0</v>
      </c>
      <c r="P167" s="129">
        <f>-J167</f>
        <v>-307154</v>
      </c>
      <c r="Q167" s="129">
        <f>N167+P167</f>
        <v>0</v>
      </c>
      <c r="V167" s="5">
        <f t="shared" si="25"/>
        <v>0</v>
      </c>
    </row>
    <row r="168" spans="1:22" s="3" customFormat="1" ht="12.75" hidden="1">
      <c r="A168" s="96"/>
      <c r="B168" s="76" t="s">
        <v>336</v>
      </c>
      <c r="C168" s="77"/>
      <c r="D168" s="77"/>
      <c r="E168" s="77"/>
      <c r="F168" s="77"/>
      <c r="G168" s="78"/>
      <c r="H168" s="126"/>
      <c r="I168" s="127">
        <v>0</v>
      </c>
      <c r="J168" s="127">
        <v>0</v>
      </c>
      <c r="K168" s="127">
        <v>0</v>
      </c>
      <c r="L168" s="127">
        <v>0</v>
      </c>
      <c r="M168" s="127">
        <v>0</v>
      </c>
      <c r="N168" s="127">
        <f t="shared" si="27"/>
        <v>0</v>
      </c>
      <c r="O168" s="127">
        <v>0</v>
      </c>
      <c r="P168" s="127">
        <f>J168</f>
        <v>0</v>
      </c>
      <c r="Q168" s="127">
        <v>0</v>
      </c>
      <c r="V168" s="5">
        <f t="shared" si="25"/>
        <v>0</v>
      </c>
    </row>
    <row r="169" spans="1:22" s="3" customFormat="1" ht="12.75">
      <c r="A169" s="94" t="s">
        <v>271</v>
      </c>
      <c r="B169" s="28" t="s">
        <v>32</v>
      </c>
      <c r="C169" s="33">
        <v>489279178</v>
      </c>
      <c r="D169" s="33"/>
      <c r="E169" s="33"/>
      <c r="F169" s="33">
        <v>148804474</v>
      </c>
      <c r="G169" s="33">
        <f t="shared" si="26"/>
        <v>638083652</v>
      </c>
      <c r="H169" s="103">
        <f>H170+H171+H172</f>
        <v>-108690821</v>
      </c>
      <c r="I169" s="128"/>
      <c r="J169" s="128">
        <f>J170+J171+J172</f>
        <v>120220725</v>
      </c>
      <c r="K169" s="128"/>
      <c r="L169" s="128"/>
      <c r="M169" s="128">
        <f>M170+M171</f>
        <v>43807</v>
      </c>
      <c r="N169" s="128">
        <f>N170+N171</f>
        <v>120264532</v>
      </c>
      <c r="O169" s="128"/>
      <c r="P169" s="128">
        <f>P170+P171</f>
        <v>-120264532</v>
      </c>
      <c r="Q169" s="128"/>
      <c r="V169" s="5">
        <f t="shared" si="25"/>
        <v>0</v>
      </c>
    </row>
    <row r="170" spans="1:22" s="3" customFormat="1" ht="12.75">
      <c r="A170" s="95"/>
      <c r="B170" s="39" t="s">
        <v>285</v>
      </c>
      <c r="C170" s="40">
        <f>121803253-13436000</f>
        <v>108367253</v>
      </c>
      <c r="D170" s="40"/>
      <c r="E170" s="40"/>
      <c r="F170" s="40"/>
      <c r="G170" s="40">
        <f t="shared" si="26"/>
        <v>108367253</v>
      </c>
      <c r="H170" s="125">
        <f>-G170</f>
        <v>-108367253</v>
      </c>
      <c r="I170" s="129">
        <v>0</v>
      </c>
      <c r="J170" s="129">
        <f>120048080+13028+5400</f>
        <v>120066508</v>
      </c>
      <c r="K170" s="129">
        <v>0</v>
      </c>
      <c r="L170" s="129">
        <v>0</v>
      </c>
      <c r="M170" s="129">
        <f>25826+17312</f>
        <v>43138</v>
      </c>
      <c r="N170" s="129">
        <f t="shared" si="27"/>
        <v>120109646</v>
      </c>
      <c r="O170" s="129">
        <v>0</v>
      </c>
      <c r="P170" s="129">
        <f>-N170</f>
        <v>-120109646</v>
      </c>
      <c r="Q170" s="129">
        <f>N170+P170</f>
        <v>0</v>
      </c>
      <c r="V170" s="5">
        <f t="shared" si="25"/>
        <v>0</v>
      </c>
    </row>
    <row r="171" spans="1:22" s="3" customFormat="1" ht="12.75">
      <c r="A171" s="92"/>
      <c r="B171" s="72" t="s">
        <v>335</v>
      </c>
      <c r="C171" s="73">
        <v>378370</v>
      </c>
      <c r="D171" s="73"/>
      <c r="E171" s="73"/>
      <c r="F171" s="73">
        <v>669</v>
      </c>
      <c r="G171" s="74">
        <f t="shared" si="26"/>
        <v>379039</v>
      </c>
      <c r="H171" s="130">
        <f>-G171</f>
        <v>-379039</v>
      </c>
      <c r="I171" s="131">
        <v>0</v>
      </c>
      <c r="J171" s="131">
        <f>154217</f>
        <v>154217</v>
      </c>
      <c r="K171" s="131">
        <v>0</v>
      </c>
      <c r="L171" s="131">
        <v>0</v>
      </c>
      <c r="M171" s="131">
        <f>669</f>
        <v>669</v>
      </c>
      <c r="N171" s="131">
        <f>J171+K171+L171+M171</f>
        <v>154886</v>
      </c>
      <c r="O171" s="131">
        <v>0</v>
      </c>
      <c r="P171" s="131">
        <f>-N171</f>
        <v>-154886</v>
      </c>
      <c r="Q171" s="131">
        <f>N171+P171</f>
        <v>0</v>
      </c>
      <c r="V171" s="5">
        <f t="shared" si="25"/>
        <v>0</v>
      </c>
    </row>
    <row r="172" spans="1:22" s="3" customFormat="1" ht="12.75">
      <c r="A172" s="96"/>
      <c r="B172" s="76" t="s">
        <v>336</v>
      </c>
      <c r="C172" s="77">
        <v>55471</v>
      </c>
      <c r="D172" s="77"/>
      <c r="E172" s="77"/>
      <c r="F172" s="77"/>
      <c r="G172" s="78">
        <f>C172</f>
        <v>55471</v>
      </c>
      <c r="H172" s="126">
        <f>G172</f>
        <v>55471</v>
      </c>
      <c r="I172" s="127">
        <f>H172</f>
        <v>55471</v>
      </c>
      <c r="J172" s="127">
        <v>0</v>
      </c>
      <c r="K172" s="127">
        <v>0</v>
      </c>
      <c r="L172" s="127">
        <v>0</v>
      </c>
      <c r="M172" s="127">
        <v>0</v>
      </c>
      <c r="N172" s="127">
        <f t="shared" si="27"/>
        <v>0</v>
      </c>
      <c r="O172" s="127">
        <v>0</v>
      </c>
      <c r="P172" s="127">
        <f>J172</f>
        <v>0</v>
      </c>
      <c r="Q172" s="127">
        <v>0</v>
      </c>
      <c r="V172" s="5">
        <f t="shared" si="25"/>
        <v>0</v>
      </c>
    </row>
    <row r="173" spans="1:22" s="3" customFormat="1" ht="12.75">
      <c r="A173" s="94" t="s">
        <v>272</v>
      </c>
      <c r="B173" s="28" t="s">
        <v>273</v>
      </c>
      <c r="C173" s="33">
        <v>198909571</v>
      </c>
      <c r="D173" s="33">
        <v>1543421417</v>
      </c>
      <c r="E173" s="33"/>
      <c r="F173" s="33">
        <v>401127</v>
      </c>
      <c r="G173" s="33">
        <f>C173+D173+E173+F173</f>
        <v>1742732115</v>
      </c>
      <c r="H173" s="103">
        <f>H174+H175</f>
        <v>-23927456</v>
      </c>
      <c r="I173" s="128"/>
      <c r="J173" s="128">
        <f>J174+J175</f>
        <v>16813852</v>
      </c>
      <c r="K173" s="128">
        <f>K174+K175</f>
        <v>6215981</v>
      </c>
      <c r="L173" s="128"/>
      <c r="M173" s="128"/>
      <c r="N173" s="128">
        <f>N174+N175</f>
        <v>23029833</v>
      </c>
      <c r="O173" s="128"/>
      <c r="P173" s="128">
        <f>P174+P175</f>
        <v>-23029833</v>
      </c>
      <c r="Q173" s="128"/>
      <c r="V173" s="5">
        <f t="shared" si="25"/>
        <v>0</v>
      </c>
    </row>
    <row r="174" spans="1:22" s="3" customFormat="1" ht="12.75">
      <c r="A174" s="95"/>
      <c r="B174" s="39" t="s">
        <v>285</v>
      </c>
      <c r="C174" s="40">
        <v>17411105</v>
      </c>
      <c r="D174" s="40">
        <v>6508198</v>
      </c>
      <c r="E174" s="40"/>
      <c r="F174" s="40"/>
      <c r="G174" s="40">
        <f>C174+D174</f>
        <v>23919303</v>
      </c>
      <c r="H174" s="125">
        <f>-G174</f>
        <v>-23919303</v>
      </c>
      <c r="I174" s="129">
        <v>0</v>
      </c>
      <c r="J174" s="129">
        <f>16356143+456652</f>
        <v>16812795</v>
      </c>
      <c r="K174" s="129">
        <f>6152223+56538</f>
        <v>6208761</v>
      </c>
      <c r="L174" s="129">
        <v>0</v>
      </c>
      <c r="M174" s="129">
        <v>0</v>
      </c>
      <c r="N174" s="129">
        <f t="shared" si="27"/>
        <v>23021556</v>
      </c>
      <c r="O174" s="129">
        <v>0</v>
      </c>
      <c r="P174" s="129">
        <f>-N174</f>
        <v>-23021556</v>
      </c>
      <c r="Q174" s="129">
        <f>N174+P174</f>
        <v>0</v>
      </c>
      <c r="V174" s="5">
        <f t="shared" si="25"/>
        <v>0</v>
      </c>
    </row>
    <row r="175" spans="1:22" s="3" customFormat="1" ht="12.75">
      <c r="A175" s="92"/>
      <c r="B175" s="72" t="s">
        <v>335</v>
      </c>
      <c r="C175" s="73">
        <v>1057</v>
      </c>
      <c r="D175" s="73">
        <v>7096</v>
      </c>
      <c r="E175" s="73"/>
      <c r="F175" s="73"/>
      <c r="G175" s="74">
        <f>C175+D175+E175+F175</f>
        <v>8153</v>
      </c>
      <c r="H175" s="130">
        <f>-G175</f>
        <v>-8153</v>
      </c>
      <c r="I175" s="131">
        <v>0</v>
      </c>
      <c r="J175" s="131">
        <v>1057</v>
      </c>
      <c r="K175" s="131">
        <f>125+7095</f>
        <v>7220</v>
      </c>
      <c r="L175" s="131">
        <v>0</v>
      </c>
      <c r="M175" s="131">
        <v>0</v>
      </c>
      <c r="N175" s="131">
        <f t="shared" si="27"/>
        <v>8277</v>
      </c>
      <c r="O175" s="131">
        <v>0</v>
      </c>
      <c r="P175" s="131">
        <f>-N175</f>
        <v>-8277</v>
      </c>
      <c r="Q175" s="131">
        <f>N175+P175</f>
        <v>0</v>
      </c>
      <c r="V175" s="5">
        <f t="shared" si="25"/>
        <v>0</v>
      </c>
    </row>
    <row r="176" spans="1:22" s="3" customFormat="1" ht="12.75" hidden="1">
      <c r="A176" s="96"/>
      <c r="B176" s="76" t="s">
        <v>336</v>
      </c>
      <c r="C176" s="77"/>
      <c r="D176" s="77"/>
      <c r="E176" s="77"/>
      <c r="F176" s="77"/>
      <c r="G176" s="78"/>
      <c r="H176" s="126"/>
      <c r="I176" s="127">
        <v>0</v>
      </c>
      <c r="J176" s="127">
        <v>0</v>
      </c>
      <c r="K176" s="127">
        <v>0</v>
      </c>
      <c r="L176" s="127">
        <v>0</v>
      </c>
      <c r="M176" s="127">
        <v>0</v>
      </c>
      <c r="N176" s="127">
        <f t="shared" si="27"/>
        <v>0</v>
      </c>
      <c r="O176" s="127">
        <v>0</v>
      </c>
      <c r="P176" s="127">
        <f>J176</f>
        <v>0</v>
      </c>
      <c r="Q176" s="127">
        <v>0</v>
      </c>
      <c r="V176" s="5">
        <f t="shared" si="25"/>
        <v>0</v>
      </c>
    </row>
    <row r="177" spans="1:22" s="3" customFormat="1" ht="26.25" customHeight="1">
      <c r="A177" s="86"/>
      <c r="B177" s="47" t="s">
        <v>255</v>
      </c>
      <c r="C177" s="48">
        <f>C178+C241+C253</f>
        <v>3385614516</v>
      </c>
      <c r="D177" s="48">
        <f>D178+D241+D253</f>
        <v>1543421417</v>
      </c>
      <c r="E177" s="48">
        <f>E178+E241+E253</f>
        <v>0</v>
      </c>
      <c r="F177" s="48">
        <f>F178+F241+F253</f>
        <v>208171883</v>
      </c>
      <c r="G177" s="48">
        <f>C177+D177+E177+F177</f>
        <v>5137207816</v>
      </c>
      <c r="H177" s="48">
        <f>H178+H241</f>
        <v>-234056186</v>
      </c>
      <c r="I177" s="48">
        <v>0</v>
      </c>
      <c r="J177" s="48">
        <f aca="true" t="shared" si="28" ref="J177:Q177">J178+J241+J253</f>
        <v>237333615</v>
      </c>
      <c r="K177" s="48">
        <f t="shared" si="28"/>
        <v>6215981</v>
      </c>
      <c r="L177" s="48">
        <f>L178+L241+L253</f>
        <v>697</v>
      </c>
      <c r="M177" s="48">
        <f t="shared" si="28"/>
        <v>244166</v>
      </c>
      <c r="N177" s="48">
        <f t="shared" si="28"/>
        <v>243794459</v>
      </c>
      <c r="O177" s="48">
        <f t="shared" si="28"/>
        <v>51904</v>
      </c>
      <c r="P177" s="48">
        <f t="shared" si="28"/>
        <v>-243742555</v>
      </c>
      <c r="Q177" s="48">
        <f t="shared" si="28"/>
        <v>7052</v>
      </c>
      <c r="R177" s="5">
        <f>N145-N177</f>
        <v>0</v>
      </c>
      <c r="S177" s="5">
        <f>N177+O177+P177</f>
        <v>103808</v>
      </c>
      <c r="T177" s="5">
        <f>Q177-S177</f>
        <v>-96756</v>
      </c>
      <c r="V177" s="5">
        <f>J177+K177+L177+M177-N177</f>
        <v>0</v>
      </c>
    </row>
    <row r="178" spans="1:22" s="3" customFormat="1" ht="12.75">
      <c r="A178" s="24" t="s">
        <v>196</v>
      </c>
      <c r="B178" s="44" t="s">
        <v>33</v>
      </c>
      <c r="C178" s="23">
        <f>C179+C209+C203+C230+C227</f>
        <v>3141505094</v>
      </c>
      <c r="D178" s="23">
        <f>D179+D203+D209+D227+D230</f>
        <v>1543409904</v>
      </c>
      <c r="E178" s="23">
        <f>E179+E203+E209+E227</f>
        <v>0</v>
      </c>
      <c r="F178" s="23">
        <f>F179+F203+F209+F227+F230</f>
        <v>189621228</v>
      </c>
      <c r="G178" s="23">
        <f>C178+D178+E178+F178</f>
        <v>4874536226</v>
      </c>
      <c r="H178" s="23">
        <f>H179+H210+H203+H220+H230</f>
        <v>-234056186</v>
      </c>
      <c r="I178" s="23">
        <v>0</v>
      </c>
      <c r="J178" s="23">
        <f>J179+J209+J203+J230+J227</f>
        <v>237332975</v>
      </c>
      <c r="K178" s="23">
        <f aca="true" t="shared" si="29" ref="K178:Q178">K179+K209+K203+K230+K227</f>
        <v>6215981</v>
      </c>
      <c r="L178" s="23">
        <f t="shared" si="29"/>
        <v>697</v>
      </c>
      <c r="M178" s="23">
        <f t="shared" si="29"/>
        <v>244166</v>
      </c>
      <c r="N178" s="23">
        <f t="shared" si="29"/>
        <v>243793819</v>
      </c>
      <c r="O178" s="23">
        <f t="shared" si="29"/>
        <v>51264</v>
      </c>
      <c r="P178" s="23">
        <f t="shared" si="29"/>
        <v>-243742555</v>
      </c>
      <c r="Q178" s="23">
        <f t="shared" si="29"/>
        <v>6412</v>
      </c>
      <c r="S178" s="5">
        <f aca="true" t="shared" si="30" ref="S178:S246">N178+O178+P178</f>
        <v>102528</v>
      </c>
      <c r="T178" s="5">
        <f aca="true" t="shared" si="31" ref="T178:T246">Q178-S178</f>
        <v>-96116</v>
      </c>
      <c r="V178" s="5">
        <f aca="true" t="shared" si="32" ref="V178:V246">J178+K178+L178+M178-N178</f>
        <v>0</v>
      </c>
    </row>
    <row r="179" spans="1:22" s="3" customFormat="1" ht="13.5">
      <c r="A179" s="90" t="s">
        <v>218</v>
      </c>
      <c r="B179" s="36" t="s">
        <v>34</v>
      </c>
      <c r="C179" s="31">
        <f>C180+C185</f>
        <v>846107178</v>
      </c>
      <c r="D179" s="31">
        <f>D180+D185</f>
        <v>8932864</v>
      </c>
      <c r="E179" s="31">
        <f>E180+E185</f>
        <v>0</v>
      </c>
      <c r="F179" s="31">
        <f>F180+F185</f>
        <v>156655611</v>
      </c>
      <c r="G179" s="31">
        <f>G180+G185+E179+F179</f>
        <v>1168351264</v>
      </c>
      <c r="H179" s="31">
        <f aca="true" t="shared" si="33" ref="H179:Q179">H180+H185</f>
        <v>68292</v>
      </c>
      <c r="I179" s="31">
        <f t="shared" si="33"/>
        <v>0</v>
      </c>
      <c r="J179" s="31">
        <f t="shared" si="33"/>
        <v>1675455</v>
      </c>
      <c r="K179" s="31">
        <f t="shared" si="33"/>
        <v>125</v>
      </c>
      <c r="L179" s="31">
        <f t="shared" si="33"/>
        <v>-6412</v>
      </c>
      <c r="M179" s="31">
        <f t="shared" si="33"/>
        <v>0</v>
      </c>
      <c r="N179" s="31">
        <f t="shared" si="33"/>
        <v>1669168</v>
      </c>
      <c r="O179" s="31">
        <f t="shared" si="33"/>
        <v>57676</v>
      </c>
      <c r="P179" s="31">
        <f t="shared" si="33"/>
        <v>-1624316</v>
      </c>
      <c r="Q179" s="31">
        <f t="shared" si="33"/>
        <v>0</v>
      </c>
      <c r="S179" s="5">
        <f t="shared" si="30"/>
        <v>102528</v>
      </c>
      <c r="T179" s="5">
        <f t="shared" si="31"/>
        <v>-102528</v>
      </c>
      <c r="V179" s="5">
        <f t="shared" si="32"/>
        <v>0</v>
      </c>
    </row>
    <row r="180" spans="1:22" s="3" customFormat="1" ht="13.5">
      <c r="A180" s="91">
        <v>1000</v>
      </c>
      <c r="B180" s="34" t="s">
        <v>284</v>
      </c>
      <c r="C180" s="33">
        <v>464873984</v>
      </c>
      <c r="D180" s="33">
        <v>6319774</v>
      </c>
      <c r="E180" s="33"/>
      <c r="F180" s="33">
        <v>108974727</v>
      </c>
      <c r="G180" s="33">
        <f>C180+D180+E180+F180</f>
        <v>580168485</v>
      </c>
      <c r="H180" s="33">
        <f>H181+H183</f>
        <v>8915</v>
      </c>
      <c r="I180" s="33"/>
      <c r="J180" s="33">
        <f>J181+J183</f>
        <v>36802</v>
      </c>
      <c r="K180" s="33"/>
      <c r="L180" s="33"/>
      <c r="M180" s="33"/>
      <c r="N180" s="31">
        <f>J180+K180+L180+M180</f>
        <v>36802</v>
      </c>
      <c r="O180" s="33">
        <f>O181+O183</f>
        <v>36802</v>
      </c>
      <c r="P180" s="33"/>
      <c r="Q180" s="33"/>
      <c r="S180" s="5">
        <f t="shared" si="30"/>
        <v>73604</v>
      </c>
      <c r="T180" s="5">
        <f t="shared" si="31"/>
        <v>-73604</v>
      </c>
      <c r="V180" s="5">
        <f t="shared" si="32"/>
        <v>0</v>
      </c>
    </row>
    <row r="181" spans="1:22" s="3" customFormat="1" ht="12.75">
      <c r="A181" s="91">
        <v>1100</v>
      </c>
      <c r="B181" s="34" t="s">
        <v>310</v>
      </c>
      <c r="C181" s="33">
        <v>345537596</v>
      </c>
      <c r="D181" s="33">
        <v>4993404</v>
      </c>
      <c r="E181" s="33"/>
      <c r="F181" s="33">
        <v>88194064</v>
      </c>
      <c r="G181" s="33">
        <f>C181+D181+E181+F181</f>
        <v>438725064</v>
      </c>
      <c r="H181" s="33">
        <f>H182</f>
        <v>7184</v>
      </c>
      <c r="I181" s="33"/>
      <c r="J181" s="33">
        <f>J182</f>
        <v>32426</v>
      </c>
      <c r="K181" s="33"/>
      <c r="L181" s="33"/>
      <c r="M181" s="33"/>
      <c r="N181" s="33">
        <f>N182</f>
        <v>32426</v>
      </c>
      <c r="O181" s="33">
        <f>O182</f>
        <v>32426</v>
      </c>
      <c r="P181" s="33"/>
      <c r="Q181" s="33"/>
      <c r="S181" s="5">
        <f t="shared" si="30"/>
        <v>64852</v>
      </c>
      <c r="T181" s="5">
        <f t="shared" si="31"/>
        <v>-64852</v>
      </c>
      <c r="V181" s="5">
        <f t="shared" si="32"/>
        <v>0</v>
      </c>
    </row>
    <row r="182" spans="1:22" s="3" customFormat="1" ht="12.75">
      <c r="A182" s="96"/>
      <c r="B182" s="76" t="s">
        <v>336</v>
      </c>
      <c r="C182" s="77">
        <v>7184</v>
      </c>
      <c r="D182" s="77"/>
      <c r="E182" s="77"/>
      <c r="F182" s="77"/>
      <c r="G182" s="77">
        <f>C182</f>
        <v>7184</v>
      </c>
      <c r="H182" s="77">
        <f>G182</f>
        <v>7184</v>
      </c>
      <c r="I182" s="79">
        <v>0</v>
      </c>
      <c r="J182" s="79">
        <v>32426</v>
      </c>
      <c r="K182" s="79">
        <v>0</v>
      </c>
      <c r="L182" s="79">
        <v>0</v>
      </c>
      <c r="M182" s="79">
        <v>0</v>
      </c>
      <c r="N182" s="79">
        <f>J182+K182+L182+M182</f>
        <v>32426</v>
      </c>
      <c r="O182" s="79">
        <f>N182</f>
        <v>32426</v>
      </c>
      <c r="P182" s="79">
        <v>0</v>
      </c>
      <c r="Q182" s="79">
        <v>0</v>
      </c>
      <c r="S182" s="5">
        <f t="shared" si="30"/>
        <v>64852</v>
      </c>
      <c r="T182" s="5">
        <f t="shared" si="31"/>
        <v>-64852</v>
      </c>
      <c r="V182" s="5">
        <f t="shared" si="32"/>
        <v>0</v>
      </c>
    </row>
    <row r="183" spans="1:22" s="3" customFormat="1" ht="38.25">
      <c r="A183" s="91">
        <v>1200</v>
      </c>
      <c r="B183" s="34" t="s">
        <v>297</v>
      </c>
      <c r="C183" s="33">
        <v>0</v>
      </c>
      <c r="D183" s="33">
        <v>0</v>
      </c>
      <c r="E183" s="33"/>
      <c r="F183" s="33">
        <v>0</v>
      </c>
      <c r="G183" s="33">
        <f>C183+D183+E183+F183</f>
        <v>0</v>
      </c>
      <c r="H183" s="33">
        <f>H184</f>
        <v>1731</v>
      </c>
      <c r="I183" s="33"/>
      <c r="J183" s="33">
        <f>J184</f>
        <v>4376</v>
      </c>
      <c r="K183" s="33"/>
      <c r="L183" s="33"/>
      <c r="M183" s="33"/>
      <c r="N183" s="33">
        <f>N184</f>
        <v>4376</v>
      </c>
      <c r="O183" s="33">
        <f>O184</f>
        <v>4376</v>
      </c>
      <c r="P183" s="33"/>
      <c r="Q183" s="33"/>
      <c r="S183" s="5">
        <f t="shared" si="30"/>
        <v>8752</v>
      </c>
      <c r="T183" s="5">
        <f t="shared" si="31"/>
        <v>-8752</v>
      </c>
      <c r="V183" s="5">
        <f t="shared" si="32"/>
        <v>0</v>
      </c>
    </row>
    <row r="184" spans="1:22" s="3" customFormat="1" ht="12.75">
      <c r="A184" s="96"/>
      <c r="B184" s="76" t="s">
        <v>336</v>
      </c>
      <c r="C184" s="77">
        <v>1731</v>
      </c>
      <c r="D184" s="77"/>
      <c r="E184" s="77"/>
      <c r="F184" s="77"/>
      <c r="G184" s="77">
        <f>C184</f>
        <v>1731</v>
      </c>
      <c r="H184" s="77">
        <f>G184</f>
        <v>1731</v>
      </c>
      <c r="I184" s="79">
        <v>0</v>
      </c>
      <c r="J184" s="79">
        <v>4376</v>
      </c>
      <c r="K184" s="79">
        <v>0</v>
      </c>
      <c r="L184" s="79">
        <v>0</v>
      </c>
      <c r="M184" s="79">
        <v>0</v>
      </c>
      <c r="N184" s="79">
        <f>J184+K184+L184+M184</f>
        <v>4376</v>
      </c>
      <c r="O184" s="79">
        <f>N184</f>
        <v>4376</v>
      </c>
      <c r="P184" s="79">
        <v>0</v>
      </c>
      <c r="Q184" s="79">
        <v>0</v>
      </c>
      <c r="S184" s="5">
        <f t="shared" si="30"/>
        <v>8752</v>
      </c>
      <c r="T184" s="5">
        <f t="shared" si="31"/>
        <v>-8752</v>
      </c>
      <c r="V184" s="5">
        <f t="shared" si="32"/>
        <v>0</v>
      </c>
    </row>
    <row r="185" spans="1:22" s="3" customFormat="1" ht="12.75">
      <c r="A185" s="91">
        <v>2000</v>
      </c>
      <c r="B185" s="34" t="s">
        <v>49</v>
      </c>
      <c r="C185" s="33">
        <v>381233194</v>
      </c>
      <c r="D185" s="33">
        <v>2613090</v>
      </c>
      <c r="E185" s="33"/>
      <c r="F185" s="33">
        <v>47680884</v>
      </c>
      <c r="G185" s="33">
        <f>C185+D185+E185+F185</f>
        <v>431527168</v>
      </c>
      <c r="H185" s="33">
        <f>H186+H189+H194+H197+H198+H200</f>
        <v>59377</v>
      </c>
      <c r="I185" s="33">
        <f aca="true" t="shared" si="34" ref="I185:N185">I186+I189+I194+I200</f>
        <v>0</v>
      </c>
      <c r="J185" s="33">
        <f t="shared" si="34"/>
        <v>1638653</v>
      </c>
      <c r="K185" s="33">
        <f t="shared" si="34"/>
        <v>125</v>
      </c>
      <c r="L185" s="33">
        <f t="shared" si="34"/>
        <v>-6412</v>
      </c>
      <c r="M185" s="33">
        <f t="shared" si="34"/>
        <v>0</v>
      </c>
      <c r="N185" s="33">
        <f t="shared" si="34"/>
        <v>1632366</v>
      </c>
      <c r="O185" s="33">
        <f>O186+O189+O194+O200</f>
        <v>20874</v>
      </c>
      <c r="P185" s="33">
        <f>P186+P189+P194+P200</f>
        <v>-1624316</v>
      </c>
      <c r="Q185" s="33"/>
      <c r="S185" s="5">
        <f t="shared" si="30"/>
        <v>28924</v>
      </c>
      <c r="T185" s="5">
        <f t="shared" si="31"/>
        <v>-28924</v>
      </c>
      <c r="V185" s="5">
        <f t="shared" si="32"/>
        <v>0</v>
      </c>
    </row>
    <row r="186" spans="1:22" s="3" customFormat="1" ht="12.75">
      <c r="A186" s="91">
        <v>2100</v>
      </c>
      <c r="B186" s="34" t="s">
        <v>229</v>
      </c>
      <c r="C186" s="33"/>
      <c r="D186" s="33"/>
      <c r="E186" s="33"/>
      <c r="F186" s="33"/>
      <c r="G186" s="33">
        <f>C186+D186+E186+F186</f>
        <v>0</v>
      </c>
      <c r="H186" s="33">
        <f>H188</f>
        <v>0</v>
      </c>
      <c r="I186" s="33"/>
      <c r="J186" s="33">
        <f aca="true" t="shared" si="35" ref="J186:O186">J187+J188</f>
        <v>1653</v>
      </c>
      <c r="K186" s="33">
        <f t="shared" si="35"/>
        <v>0</v>
      </c>
      <c r="L186" s="33">
        <f t="shared" si="35"/>
        <v>0</v>
      </c>
      <c r="M186" s="33">
        <f t="shared" si="35"/>
        <v>0</v>
      </c>
      <c r="N186" s="33">
        <f t="shared" si="35"/>
        <v>1653</v>
      </c>
      <c r="O186" s="33">
        <f t="shared" si="35"/>
        <v>1252</v>
      </c>
      <c r="P186" s="33">
        <f>P187</f>
        <v>-401</v>
      </c>
      <c r="Q186" s="33"/>
      <c r="S186" s="5">
        <f t="shared" si="30"/>
        <v>2504</v>
      </c>
      <c r="T186" s="5">
        <f t="shared" si="31"/>
        <v>-2504</v>
      </c>
      <c r="V186" s="5">
        <f t="shared" si="32"/>
        <v>0</v>
      </c>
    </row>
    <row r="187" spans="1:22" s="3" customFormat="1" ht="12.75">
      <c r="A187" s="93"/>
      <c r="B187" s="39" t="s">
        <v>285</v>
      </c>
      <c r="C187" s="33"/>
      <c r="D187" s="33"/>
      <c r="E187" s="33"/>
      <c r="F187" s="33"/>
      <c r="G187" s="33"/>
      <c r="H187" s="33"/>
      <c r="I187" s="125">
        <v>0</v>
      </c>
      <c r="J187" s="125">
        <v>401</v>
      </c>
      <c r="K187" s="125">
        <v>0</v>
      </c>
      <c r="L187" s="125">
        <v>0</v>
      </c>
      <c r="M187" s="125">
        <v>0</v>
      </c>
      <c r="N187" s="125">
        <f>J187+K187+L187+M187</f>
        <v>401</v>
      </c>
      <c r="O187" s="125">
        <v>0</v>
      </c>
      <c r="P187" s="125">
        <f>-N187</f>
        <v>-401</v>
      </c>
      <c r="Q187" s="125">
        <f>N187+P187</f>
        <v>0</v>
      </c>
      <c r="S187" s="5"/>
      <c r="T187" s="5"/>
      <c r="V187" s="5"/>
    </row>
    <row r="188" spans="1:22" s="3" customFormat="1" ht="12.75">
      <c r="A188" s="96"/>
      <c r="B188" s="76" t="s">
        <v>336</v>
      </c>
      <c r="C188" s="77">
        <v>0</v>
      </c>
      <c r="D188" s="77"/>
      <c r="E188" s="77"/>
      <c r="F188" s="77"/>
      <c r="G188" s="77">
        <f>C188</f>
        <v>0</v>
      </c>
      <c r="H188" s="77">
        <f>G188</f>
        <v>0</v>
      </c>
      <c r="I188" s="79">
        <v>0</v>
      </c>
      <c r="J188" s="79">
        <v>1252</v>
      </c>
      <c r="K188" s="79">
        <v>0</v>
      </c>
      <c r="L188" s="79">
        <v>0</v>
      </c>
      <c r="M188" s="79">
        <v>0</v>
      </c>
      <c r="N188" s="79">
        <f>J188+K188+L188+M188</f>
        <v>1252</v>
      </c>
      <c r="O188" s="79">
        <f>N188</f>
        <v>1252</v>
      </c>
      <c r="P188" s="79">
        <v>0</v>
      </c>
      <c r="Q188" s="79">
        <v>0</v>
      </c>
      <c r="S188" s="5">
        <f t="shared" si="30"/>
        <v>2504</v>
      </c>
      <c r="T188" s="5">
        <f t="shared" si="31"/>
        <v>-2504</v>
      </c>
      <c r="V188" s="5">
        <f t="shared" si="32"/>
        <v>0</v>
      </c>
    </row>
    <row r="189" spans="1:22" s="3" customFormat="1" ht="12.75">
      <c r="A189" s="91">
        <v>2200</v>
      </c>
      <c r="B189" s="34" t="s">
        <v>230</v>
      </c>
      <c r="C189" s="33"/>
      <c r="D189" s="33"/>
      <c r="E189" s="33"/>
      <c r="F189" s="33"/>
      <c r="G189" s="33">
        <f>C189+D189+E189+F189</f>
        <v>0</v>
      </c>
      <c r="H189" s="33">
        <f>H192</f>
        <v>59062</v>
      </c>
      <c r="I189" s="33"/>
      <c r="J189" s="33">
        <f>J190+J191+J192+J193</f>
        <v>1613762</v>
      </c>
      <c r="K189" s="33">
        <f aca="true" t="shared" si="36" ref="K189:P189">K190+K191+K192+K193</f>
        <v>125</v>
      </c>
      <c r="L189" s="33">
        <f t="shared" si="36"/>
        <v>-6412</v>
      </c>
      <c r="M189" s="33">
        <f t="shared" si="36"/>
        <v>0</v>
      </c>
      <c r="N189" s="33">
        <f t="shared" si="36"/>
        <v>1607475</v>
      </c>
      <c r="O189" s="33">
        <f t="shared" si="36"/>
        <v>19186</v>
      </c>
      <c r="P189" s="33">
        <f t="shared" si="36"/>
        <v>-1601113</v>
      </c>
      <c r="Q189" s="33"/>
      <c r="S189" s="5">
        <f t="shared" si="30"/>
        <v>25548</v>
      </c>
      <c r="T189" s="5">
        <f t="shared" si="31"/>
        <v>-25548</v>
      </c>
      <c r="V189" s="5">
        <f t="shared" si="32"/>
        <v>0</v>
      </c>
    </row>
    <row r="190" spans="1:22" s="121" customFormat="1" ht="12.75">
      <c r="A190" s="122"/>
      <c r="B190" s="117" t="s">
        <v>374</v>
      </c>
      <c r="C190" s="119">
        <v>0</v>
      </c>
      <c r="D190" s="119"/>
      <c r="E190" s="119"/>
      <c r="F190" s="119"/>
      <c r="G190" s="119">
        <f>C190+D190+E190+F190</f>
        <v>0</v>
      </c>
      <c r="H190" s="119"/>
      <c r="I190" s="119"/>
      <c r="J190" s="123">
        <v>0</v>
      </c>
      <c r="K190" s="123"/>
      <c r="L190" s="123">
        <v>-6412</v>
      </c>
      <c r="M190" s="123"/>
      <c r="N190" s="123">
        <f>L190</f>
        <v>-6412</v>
      </c>
      <c r="O190" s="123">
        <f>-N190</f>
        <v>6412</v>
      </c>
      <c r="P190" s="123">
        <v>0</v>
      </c>
      <c r="Q190" s="123">
        <f>N190+O190</f>
        <v>0</v>
      </c>
      <c r="R190" s="124"/>
      <c r="S190" s="5">
        <f t="shared" si="30"/>
        <v>0</v>
      </c>
      <c r="T190" s="5">
        <f t="shared" si="31"/>
        <v>0</v>
      </c>
      <c r="V190" s="5">
        <f t="shared" si="32"/>
        <v>0</v>
      </c>
    </row>
    <row r="191" spans="1:22" s="3" customFormat="1" ht="12.75">
      <c r="A191" s="93"/>
      <c r="B191" s="39" t="s">
        <v>285</v>
      </c>
      <c r="C191" s="40">
        <f>C189</f>
        <v>0</v>
      </c>
      <c r="D191" s="40"/>
      <c r="E191" s="40"/>
      <c r="F191" s="40"/>
      <c r="G191" s="40">
        <f>C191+D191+E191</f>
        <v>0</v>
      </c>
      <c r="H191" s="40">
        <f>-G191</f>
        <v>0</v>
      </c>
      <c r="I191" s="125">
        <v>0</v>
      </c>
      <c r="J191" s="125">
        <f>1489924+111064</f>
        <v>1600988</v>
      </c>
      <c r="K191" s="125">
        <v>0</v>
      </c>
      <c r="L191" s="125">
        <v>0</v>
      </c>
      <c r="M191" s="125">
        <v>0</v>
      </c>
      <c r="N191" s="125">
        <f>J191+K191+L191+M191</f>
        <v>1600988</v>
      </c>
      <c r="O191" s="125">
        <v>0</v>
      </c>
      <c r="P191" s="125">
        <f>-N191</f>
        <v>-1600988</v>
      </c>
      <c r="Q191" s="125">
        <f>N191+P191</f>
        <v>0</v>
      </c>
      <c r="S191" s="5">
        <f>N191+O191+P191</f>
        <v>0</v>
      </c>
      <c r="T191" s="5">
        <f>Q191-S191</f>
        <v>0</v>
      </c>
      <c r="V191" s="5">
        <f>J191+K191+L191+M191-N191</f>
        <v>0</v>
      </c>
    </row>
    <row r="192" spans="1:22" s="3" customFormat="1" ht="12.75">
      <c r="A192" s="96"/>
      <c r="B192" s="76" t="s">
        <v>336</v>
      </c>
      <c r="C192" s="77">
        <v>59062</v>
      </c>
      <c r="D192" s="77"/>
      <c r="E192" s="77"/>
      <c r="F192" s="77"/>
      <c r="G192" s="77">
        <f>C192</f>
        <v>59062</v>
      </c>
      <c r="H192" s="77">
        <f>G192</f>
        <v>59062</v>
      </c>
      <c r="I192" s="127">
        <v>0</v>
      </c>
      <c r="J192" s="127">
        <v>12774</v>
      </c>
      <c r="K192" s="127">
        <v>0</v>
      </c>
      <c r="L192" s="127">
        <v>0</v>
      </c>
      <c r="M192" s="127">
        <v>0</v>
      </c>
      <c r="N192" s="127">
        <f>J192+K192+L192+M192</f>
        <v>12774</v>
      </c>
      <c r="O192" s="127">
        <f>N192</f>
        <v>12774</v>
      </c>
      <c r="P192" s="127">
        <v>0</v>
      </c>
      <c r="Q192" s="127">
        <v>0</v>
      </c>
      <c r="S192" s="5">
        <f t="shared" si="30"/>
        <v>25548</v>
      </c>
      <c r="T192" s="5">
        <f t="shared" si="31"/>
        <v>-25548</v>
      </c>
      <c r="V192" s="5">
        <f t="shared" si="32"/>
        <v>0</v>
      </c>
    </row>
    <row r="193" spans="1:22" s="3" customFormat="1" ht="12.75">
      <c r="A193" s="92"/>
      <c r="B193" s="72" t="s">
        <v>335</v>
      </c>
      <c r="C193" s="73">
        <f>378370+174567+66609170+5730</f>
        <v>67167837</v>
      </c>
      <c r="D193" s="73">
        <v>7096</v>
      </c>
      <c r="E193" s="73"/>
      <c r="F193" s="73">
        <v>669</v>
      </c>
      <c r="G193" s="74">
        <f>C193+D193+E193+F193</f>
        <v>67175602</v>
      </c>
      <c r="H193" s="73">
        <f>-G193</f>
        <v>-67175602</v>
      </c>
      <c r="I193" s="75">
        <v>0</v>
      </c>
      <c r="J193" s="75">
        <v>0</v>
      </c>
      <c r="K193" s="75">
        <v>125</v>
      </c>
      <c r="L193" s="75">
        <v>0</v>
      </c>
      <c r="M193" s="75">
        <v>0</v>
      </c>
      <c r="N193" s="75">
        <f>J193+K193+L193+M193</f>
        <v>125</v>
      </c>
      <c r="O193" s="75">
        <v>0</v>
      </c>
      <c r="P193" s="75">
        <f>-N193</f>
        <v>-125</v>
      </c>
      <c r="Q193" s="75">
        <f>N193+P193</f>
        <v>0</v>
      </c>
      <c r="S193" s="5">
        <f t="shared" si="30"/>
        <v>0</v>
      </c>
      <c r="T193" s="5">
        <f t="shared" si="31"/>
        <v>0</v>
      </c>
      <c r="V193" s="5">
        <f t="shared" si="32"/>
        <v>0</v>
      </c>
    </row>
    <row r="194" spans="1:22" s="3" customFormat="1" ht="25.5">
      <c r="A194" s="91">
        <v>2300</v>
      </c>
      <c r="B194" s="34" t="s">
        <v>231</v>
      </c>
      <c r="C194" s="33"/>
      <c r="D194" s="33"/>
      <c r="E194" s="33"/>
      <c r="F194" s="33"/>
      <c r="G194" s="33">
        <f>C194+D194+E194+F194</f>
        <v>0</v>
      </c>
      <c r="H194" s="33">
        <f>H196</f>
        <v>315</v>
      </c>
      <c r="I194" s="33"/>
      <c r="J194" s="33">
        <f aca="true" t="shared" si="37" ref="J194:P194">J195+J196</f>
        <v>13880</v>
      </c>
      <c r="K194" s="33">
        <f t="shared" si="37"/>
        <v>0</v>
      </c>
      <c r="L194" s="33">
        <f t="shared" si="37"/>
        <v>0</v>
      </c>
      <c r="M194" s="33">
        <f t="shared" si="37"/>
        <v>0</v>
      </c>
      <c r="N194" s="33">
        <f t="shared" si="37"/>
        <v>13880</v>
      </c>
      <c r="O194" s="33">
        <f t="shared" si="37"/>
        <v>436</v>
      </c>
      <c r="P194" s="33">
        <f t="shared" si="37"/>
        <v>-13444</v>
      </c>
      <c r="Q194" s="33"/>
      <c r="S194" s="5">
        <f t="shared" si="30"/>
        <v>872</v>
      </c>
      <c r="T194" s="5">
        <f t="shared" si="31"/>
        <v>-872</v>
      </c>
      <c r="V194" s="5">
        <f t="shared" si="32"/>
        <v>0</v>
      </c>
    </row>
    <row r="195" spans="1:22" s="3" customFormat="1" ht="12.75">
      <c r="A195" s="93"/>
      <c r="B195" s="39" t="s">
        <v>285</v>
      </c>
      <c r="C195" s="33"/>
      <c r="D195" s="33"/>
      <c r="E195" s="33"/>
      <c r="F195" s="33"/>
      <c r="G195" s="33"/>
      <c r="H195" s="33"/>
      <c r="I195" s="125">
        <v>0</v>
      </c>
      <c r="J195" s="125">
        <f>8044+5400</f>
        <v>13444</v>
      </c>
      <c r="K195" s="125">
        <v>0</v>
      </c>
      <c r="L195" s="125">
        <v>0</v>
      </c>
      <c r="M195" s="125">
        <v>0</v>
      </c>
      <c r="N195" s="125">
        <f>J195+K195+L195+M195</f>
        <v>13444</v>
      </c>
      <c r="O195" s="125">
        <v>0</v>
      </c>
      <c r="P195" s="125">
        <f>-N195</f>
        <v>-13444</v>
      </c>
      <c r="Q195" s="125">
        <f>N195+P195</f>
        <v>0</v>
      </c>
      <c r="S195" s="5"/>
      <c r="T195" s="5"/>
      <c r="V195" s="5"/>
    </row>
    <row r="196" spans="1:22" s="3" customFormat="1" ht="12.75">
      <c r="A196" s="96"/>
      <c r="B196" s="76" t="s">
        <v>336</v>
      </c>
      <c r="C196" s="77">
        <v>315</v>
      </c>
      <c r="D196" s="77"/>
      <c r="E196" s="77"/>
      <c r="F196" s="77"/>
      <c r="G196" s="77">
        <f>C196</f>
        <v>315</v>
      </c>
      <c r="H196" s="77">
        <f>G196</f>
        <v>315</v>
      </c>
      <c r="I196" s="79">
        <v>0</v>
      </c>
      <c r="J196" s="79">
        <v>436</v>
      </c>
      <c r="K196" s="79">
        <v>0</v>
      </c>
      <c r="L196" s="79">
        <v>0</v>
      </c>
      <c r="M196" s="79">
        <v>0</v>
      </c>
      <c r="N196" s="79">
        <f>J196+K196+L196+M196</f>
        <v>436</v>
      </c>
      <c r="O196" s="79">
        <f>N196</f>
        <v>436</v>
      </c>
      <c r="P196" s="79">
        <v>0</v>
      </c>
      <c r="Q196" s="79">
        <v>0</v>
      </c>
      <c r="S196" s="5">
        <f t="shared" si="30"/>
        <v>872</v>
      </c>
      <c r="T196" s="5">
        <f t="shared" si="31"/>
        <v>-872</v>
      </c>
      <c r="V196" s="5">
        <f t="shared" si="32"/>
        <v>0</v>
      </c>
    </row>
    <row r="197" spans="1:22" s="3" customFormat="1" ht="12.75" hidden="1">
      <c r="A197" s="91">
        <v>2400</v>
      </c>
      <c r="B197" s="34" t="s">
        <v>311</v>
      </c>
      <c r="C197" s="33"/>
      <c r="D197" s="33"/>
      <c r="E197" s="33"/>
      <c r="F197" s="33"/>
      <c r="G197" s="33">
        <f>C197+D197+E197+F197</f>
        <v>0</v>
      </c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S197" s="5">
        <f t="shared" si="30"/>
        <v>0</v>
      </c>
      <c r="T197" s="5">
        <f t="shared" si="31"/>
        <v>0</v>
      </c>
      <c r="V197" s="5">
        <f t="shared" si="32"/>
        <v>0</v>
      </c>
    </row>
    <row r="198" spans="1:22" s="3" customFormat="1" ht="12.75" hidden="1">
      <c r="A198" s="91">
        <v>2500</v>
      </c>
      <c r="B198" s="34" t="s">
        <v>232</v>
      </c>
      <c r="C198" s="33"/>
      <c r="D198" s="33"/>
      <c r="E198" s="33"/>
      <c r="F198" s="33"/>
      <c r="G198" s="33">
        <f>C198+D198+E198+F198</f>
        <v>0</v>
      </c>
      <c r="H198" s="33">
        <f>H199</f>
        <v>0</v>
      </c>
      <c r="I198" s="33"/>
      <c r="J198" s="33"/>
      <c r="K198" s="33"/>
      <c r="L198" s="33"/>
      <c r="M198" s="33"/>
      <c r="N198" s="33"/>
      <c r="O198" s="33"/>
      <c r="P198" s="33"/>
      <c r="Q198" s="33"/>
      <c r="S198" s="5">
        <f t="shared" si="30"/>
        <v>0</v>
      </c>
      <c r="T198" s="5">
        <f t="shared" si="31"/>
        <v>0</v>
      </c>
      <c r="V198" s="5">
        <f t="shared" si="32"/>
        <v>0</v>
      </c>
    </row>
    <row r="199" spans="1:22" s="3" customFormat="1" ht="12.75" hidden="1">
      <c r="A199" s="96"/>
      <c r="B199" s="76" t="s">
        <v>336</v>
      </c>
      <c r="C199" s="77">
        <v>0</v>
      </c>
      <c r="D199" s="77"/>
      <c r="E199" s="77"/>
      <c r="F199" s="77"/>
      <c r="G199" s="77">
        <f>C199</f>
        <v>0</v>
      </c>
      <c r="H199" s="77">
        <f>G199</f>
        <v>0</v>
      </c>
      <c r="I199" s="79"/>
      <c r="J199" s="79"/>
      <c r="K199" s="79"/>
      <c r="L199" s="79"/>
      <c r="M199" s="79"/>
      <c r="N199" s="79"/>
      <c r="O199" s="79"/>
      <c r="P199" s="79"/>
      <c r="Q199" s="79"/>
      <c r="S199" s="5">
        <f t="shared" si="30"/>
        <v>0</v>
      </c>
      <c r="T199" s="5">
        <f t="shared" si="31"/>
        <v>0</v>
      </c>
      <c r="V199" s="5">
        <f t="shared" si="32"/>
        <v>0</v>
      </c>
    </row>
    <row r="200" spans="1:22" s="3" customFormat="1" ht="39" customHeight="1">
      <c r="A200" s="91">
        <v>2800</v>
      </c>
      <c r="B200" s="34" t="s">
        <v>233</v>
      </c>
      <c r="C200" s="33"/>
      <c r="D200" s="33"/>
      <c r="E200" s="33"/>
      <c r="F200" s="33"/>
      <c r="G200" s="33">
        <f>C200+D200+E200+F200</f>
        <v>0</v>
      </c>
      <c r="H200" s="33">
        <f>H202</f>
        <v>0</v>
      </c>
      <c r="I200" s="33"/>
      <c r="J200" s="33">
        <f aca="true" t="shared" si="38" ref="J200:P200">J201</f>
        <v>9358</v>
      </c>
      <c r="K200" s="33">
        <f t="shared" si="38"/>
        <v>0</v>
      </c>
      <c r="L200" s="33">
        <f t="shared" si="38"/>
        <v>0</v>
      </c>
      <c r="M200" s="33">
        <f t="shared" si="38"/>
        <v>0</v>
      </c>
      <c r="N200" s="33">
        <f t="shared" si="38"/>
        <v>9358</v>
      </c>
      <c r="O200" s="33">
        <f t="shared" si="38"/>
        <v>0</v>
      </c>
      <c r="P200" s="33">
        <f t="shared" si="38"/>
        <v>-9358</v>
      </c>
      <c r="Q200" s="33"/>
      <c r="S200" s="5">
        <f t="shared" si="30"/>
        <v>0</v>
      </c>
      <c r="T200" s="5">
        <f t="shared" si="31"/>
        <v>0</v>
      </c>
      <c r="V200" s="5">
        <f t="shared" si="32"/>
        <v>0</v>
      </c>
    </row>
    <row r="201" spans="1:22" s="3" customFormat="1" ht="12.75">
      <c r="A201" s="93"/>
      <c r="B201" s="39" t="s">
        <v>285</v>
      </c>
      <c r="C201" s="40"/>
      <c r="D201" s="40"/>
      <c r="E201" s="40"/>
      <c r="F201" s="40"/>
      <c r="G201" s="40"/>
      <c r="H201" s="40"/>
      <c r="I201" s="125">
        <v>0</v>
      </c>
      <c r="J201" s="125">
        <v>9358</v>
      </c>
      <c r="K201" s="125">
        <v>0</v>
      </c>
      <c r="L201" s="125">
        <v>0</v>
      </c>
      <c r="M201" s="125">
        <v>0</v>
      </c>
      <c r="N201" s="125">
        <f>J201+K201+L201+M201</f>
        <v>9358</v>
      </c>
      <c r="O201" s="125">
        <v>0</v>
      </c>
      <c r="P201" s="125">
        <f>-N201</f>
        <v>-9358</v>
      </c>
      <c r="Q201" s="125">
        <f>N201+P201</f>
        <v>0</v>
      </c>
      <c r="S201" s="5">
        <f t="shared" si="30"/>
        <v>0</v>
      </c>
      <c r="T201" s="5">
        <f t="shared" si="31"/>
        <v>0</v>
      </c>
      <c r="V201" s="5"/>
    </row>
    <row r="202" spans="1:22" s="3" customFormat="1" ht="12.75" hidden="1">
      <c r="A202" s="96"/>
      <c r="B202" s="76" t="s">
        <v>336</v>
      </c>
      <c r="C202" s="77">
        <v>0</v>
      </c>
      <c r="D202" s="77"/>
      <c r="E202" s="77"/>
      <c r="F202" s="77"/>
      <c r="G202" s="77">
        <f>C202</f>
        <v>0</v>
      </c>
      <c r="H202" s="77">
        <f>G202</f>
        <v>0</v>
      </c>
      <c r="I202" s="79">
        <f>H202</f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f>J202+K202+L202+M202</f>
        <v>0</v>
      </c>
      <c r="O202" s="79">
        <v>0</v>
      </c>
      <c r="P202" s="79">
        <f>J202</f>
        <v>0</v>
      </c>
      <c r="Q202" s="79">
        <v>0</v>
      </c>
      <c r="S202" s="5">
        <f t="shared" si="30"/>
        <v>0</v>
      </c>
      <c r="T202" s="5">
        <f t="shared" si="31"/>
        <v>0</v>
      </c>
      <c r="V202" s="5">
        <f t="shared" si="32"/>
        <v>0</v>
      </c>
    </row>
    <row r="203" spans="1:22" s="3" customFormat="1" ht="13.5">
      <c r="A203" s="90" t="s">
        <v>219</v>
      </c>
      <c r="B203" s="36" t="s">
        <v>50</v>
      </c>
      <c r="C203" s="31">
        <v>241609476</v>
      </c>
      <c r="D203" s="31">
        <v>7096</v>
      </c>
      <c r="E203" s="31">
        <v>0</v>
      </c>
      <c r="F203" s="31">
        <v>4380</v>
      </c>
      <c r="G203" s="31">
        <f>C203+D203+E203+F203</f>
        <v>241620952</v>
      </c>
      <c r="H203" s="31">
        <f>H208</f>
        <v>-67175602</v>
      </c>
      <c r="I203" s="31">
        <v>0</v>
      </c>
      <c r="J203" s="31">
        <f>J207</f>
        <v>66975280</v>
      </c>
      <c r="K203" s="31">
        <f aca="true" t="shared" si="39" ref="K203:P203">K204+K206+K207</f>
        <v>7095</v>
      </c>
      <c r="L203" s="31">
        <f t="shared" si="39"/>
        <v>0</v>
      </c>
      <c r="M203" s="31">
        <f t="shared" si="39"/>
        <v>669</v>
      </c>
      <c r="N203" s="31">
        <f t="shared" si="39"/>
        <v>66983044</v>
      </c>
      <c r="O203" s="31">
        <f t="shared" si="39"/>
        <v>0</v>
      </c>
      <c r="P203" s="31">
        <f t="shared" si="39"/>
        <v>-66983044</v>
      </c>
      <c r="Q203" s="31">
        <f>N203+P203</f>
        <v>0</v>
      </c>
      <c r="S203" s="5">
        <f t="shared" si="30"/>
        <v>0</v>
      </c>
      <c r="T203" s="5">
        <f t="shared" si="31"/>
        <v>0</v>
      </c>
      <c r="V203" s="5">
        <f t="shared" si="32"/>
        <v>0</v>
      </c>
    </row>
    <row r="204" spans="1:22" s="3" customFormat="1" ht="25.5" hidden="1">
      <c r="A204" s="91">
        <v>4100</v>
      </c>
      <c r="B204" s="34" t="s">
        <v>236</v>
      </c>
      <c r="C204" s="33"/>
      <c r="D204" s="33"/>
      <c r="E204" s="33"/>
      <c r="F204" s="33"/>
      <c r="G204" s="2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S204" s="5">
        <f t="shared" si="30"/>
        <v>0</v>
      </c>
      <c r="T204" s="5">
        <f t="shared" si="31"/>
        <v>0</v>
      </c>
      <c r="V204" s="5">
        <f t="shared" si="32"/>
        <v>0</v>
      </c>
    </row>
    <row r="205" spans="1:22" s="3" customFormat="1" ht="12.75" hidden="1">
      <c r="A205" s="92"/>
      <c r="B205" s="72" t="s">
        <v>335</v>
      </c>
      <c r="C205" s="73">
        <v>0</v>
      </c>
      <c r="D205" s="73">
        <v>0</v>
      </c>
      <c r="E205" s="73"/>
      <c r="F205" s="73">
        <v>0</v>
      </c>
      <c r="G205" s="74">
        <v>0</v>
      </c>
      <c r="H205" s="73">
        <v>0</v>
      </c>
      <c r="I205" s="75"/>
      <c r="J205" s="75"/>
      <c r="K205" s="75"/>
      <c r="L205" s="75"/>
      <c r="M205" s="75"/>
      <c r="N205" s="75"/>
      <c r="O205" s="75"/>
      <c r="P205" s="75"/>
      <c r="Q205" s="75"/>
      <c r="S205" s="5">
        <f t="shared" si="30"/>
        <v>0</v>
      </c>
      <c r="T205" s="5">
        <f t="shared" si="31"/>
        <v>0</v>
      </c>
      <c r="V205" s="5">
        <f t="shared" si="32"/>
        <v>0</v>
      </c>
    </row>
    <row r="206" spans="1:22" s="3" customFormat="1" ht="12.75" hidden="1">
      <c r="A206" s="91">
        <v>4200</v>
      </c>
      <c r="B206" s="34" t="s">
        <v>237</v>
      </c>
      <c r="C206" s="33"/>
      <c r="D206" s="33"/>
      <c r="E206" s="33"/>
      <c r="F206" s="33"/>
      <c r="G206" s="2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S206" s="5">
        <f t="shared" si="30"/>
        <v>0</v>
      </c>
      <c r="T206" s="5">
        <f t="shared" si="31"/>
        <v>0</v>
      </c>
      <c r="V206" s="5">
        <f t="shared" si="32"/>
        <v>0</v>
      </c>
    </row>
    <row r="207" spans="1:22" s="3" customFormat="1" ht="13.5" customHeight="1">
      <c r="A207" s="91">
        <v>4300</v>
      </c>
      <c r="B207" s="34" t="s">
        <v>238</v>
      </c>
      <c r="C207" s="33"/>
      <c r="D207" s="33"/>
      <c r="E207" s="33"/>
      <c r="F207" s="33"/>
      <c r="G207" s="23"/>
      <c r="H207" s="33"/>
      <c r="I207" s="33"/>
      <c r="J207" s="33">
        <f aca="true" t="shared" si="40" ref="J207:P207">J208</f>
        <v>66975280</v>
      </c>
      <c r="K207" s="33">
        <f t="shared" si="40"/>
        <v>7095</v>
      </c>
      <c r="L207" s="33">
        <f t="shared" si="40"/>
        <v>0</v>
      </c>
      <c r="M207" s="33">
        <f t="shared" si="40"/>
        <v>669</v>
      </c>
      <c r="N207" s="33">
        <f t="shared" si="40"/>
        <v>66983044</v>
      </c>
      <c r="O207" s="33">
        <f t="shared" si="40"/>
        <v>0</v>
      </c>
      <c r="P207" s="33">
        <f t="shared" si="40"/>
        <v>-66983044</v>
      </c>
      <c r="Q207" s="33"/>
      <c r="S207" s="5">
        <f t="shared" si="30"/>
        <v>0</v>
      </c>
      <c r="T207" s="5">
        <f t="shared" si="31"/>
        <v>0</v>
      </c>
      <c r="V207" s="5">
        <f t="shared" si="32"/>
        <v>0</v>
      </c>
    </row>
    <row r="208" spans="1:22" s="3" customFormat="1" ht="12.75">
      <c r="A208" s="92"/>
      <c r="B208" s="72" t="s">
        <v>335</v>
      </c>
      <c r="C208" s="73">
        <f>378370+174567+66609170+5730</f>
        <v>67167837</v>
      </c>
      <c r="D208" s="73">
        <v>7096</v>
      </c>
      <c r="E208" s="73"/>
      <c r="F208" s="73">
        <v>669</v>
      </c>
      <c r="G208" s="74">
        <f>C208+D208+E208+F208</f>
        <v>67175602</v>
      </c>
      <c r="H208" s="73">
        <f>-G208</f>
        <v>-67175602</v>
      </c>
      <c r="I208" s="75">
        <v>0</v>
      </c>
      <c r="J208" s="75">
        <f>154217+174566+66609170+34663+2664</f>
        <v>66975280</v>
      </c>
      <c r="K208" s="75">
        <f>7095</f>
        <v>7095</v>
      </c>
      <c r="L208" s="75">
        <v>0</v>
      </c>
      <c r="M208" s="75">
        <v>669</v>
      </c>
      <c r="N208" s="75">
        <f>J208+K208+L208+M208</f>
        <v>66983044</v>
      </c>
      <c r="O208" s="75">
        <v>0</v>
      </c>
      <c r="P208" s="75">
        <f>-N208</f>
        <v>-66983044</v>
      </c>
      <c r="Q208" s="75">
        <f>N208+P208</f>
        <v>0</v>
      </c>
      <c r="S208" s="5">
        <f t="shared" si="30"/>
        <v>0</v>
      </c>
      <c r="T208" s="5">
        <f t="shared" si="31"/>
        <v>0</v>
      </c>
      <c r="V208" s="5">
        <f t="shared" si="32"/>
        <v>0</v>
      </c>
    </row>
    <row r="209" spans="1:22" s="3" customFormat="1" ht="13.5">
      <c r="A209" s="90" t="s">
        <v>227</v>
      </c>
      <c r="B209" s="36" t="s">
        <v>228</v>
      </c>
      <c r="C209" s="31">
        <v>1308248732</v>
      </c>
      <c r="D209" s="31">
        <f>D210+D220</f>
        <v>1527267903</v>
      </c>
      <c r="E209" s="31">
        <f>E210+E220</f>
        <v>0</v>
      </c>
      <c r="F209" s="31">
        <f>F210+F220</f>
        <v>31443591</v>
      </c>
      <c r="G209" s="31">
        <f aca="true" t="shared" si="41" ref="G209:G226">C209+D209+E209+F209</f>
        <v>2866960226</v>
      </c>
      <c r="H209" s="31">
        <f>H210+H220</f>
        <v>0</v>
      </c>
      <c r="I209" s="31">
        <v>0</v>
      </c>
      <c r="J209" s="31">
        <f aca="true" t="shared" si="42" ref="J209:O209">J210+J220</f>
        <v>456652</v>
      </c>
      <c r="K209" s="31">
        <f t="shared" si="42"/>
        <v>0</v>
      </c>
      <c r="L209" s="31">
        <f t="shared" si="42"/>
        <v>-13132</v>
      </c>
      <c r="M209" s="31">
        <f t="shared" si="42"/>
        <v>41478</v>
      </c>
      <c r="N209" s="31">
        <f t="shared" si="42"/>
        <v>484998</v>
      </c>
      <c r="O209" s="31">
        <f t="shared" si="42"/>
        <v>13132</v>
      </c>
      <c r="P209" s="31">
        <f>P210+P220</f>
        <v>-498130</v>
      </c>
      <c r="Q209" s="31">
        <f>N209+P209</f>
        <v>-13132</v>
      </c>
      <c r="S209" s="5">
        <f t="shared" si="30"/>
        <v>0</v>
      </c>
      <c r="T209" s="5">
        <f t="shared" si="31"/>
        <v>-13132</v>
      </c>
      <c r="V209" s="5">
        <f t="shared" si="32"/>
        <v>0</v>
      </c>
    </row>
    <row r="210" spans="1:22" s="3" customFormat="1" ht="12.75">
      <c r="A210" s="91" t="s">
        <v>220</v>
      </c>
      <c r="B210" s="34" t="s">
        <v>35</v>
      </c>
      <c r="C210" s="33">
        <v>1155646030</v>
      </c>
      <c r="D210" s="33">
        <v>5405823</v>
      </c>
      <c r="E210" s="33"/>
      <c r="F210" s="33">
        <v>14972108</v>
      </c>
      <c r="G210" s="33">
        <f t="shared" si="41"/>
        <v>1176023961</v>
      </c>
      <c r="H210" s="33"/>
      <c r="I210" s="33">
        <v>0</v>
      </c>
      <c r="J210" s="33">
        <f>J211+J212+J215+J216+J219</f>
        <v>0</v>
      </c>
      <c r="K210" s="33">
        <f>K211+K212+K215+K216+K219</f>
        <v>0</v>
      </c>
      <c r="L210" s="33">
        <f>L211+L212+L215+L216+L219</f>
        <v>-13132</v>
      </c>
      <c r="M210" s="33">
        <f>M211+M212+M215+M216+M219</f>
        <v>41478</v>
      </c>
      <c r="N210" s="33">
        <f>J210+K210+L210+M210</f>
        <v>28346</v>
      </c>
      <c r="O210" s="33">
        <f>O211+O212+O215+O216+O219</f>
        <v>13132</v>
      </c>
      <c r="P210" s="33">
        <f>P211+P212+P215+P216+P219</f>
        <v>-41478</v>
      </c>
      <c r="Q210" s="33">
        <f>N210+P210</f>
        <v>-13132</v>
      </c>
      <c r="S210" s="5">
        <f t="shared" si="30"/>
        <v>0</v>
      </c>
      <c r="T210" s="5">
        <f t="shared" si="31"/>
        <v>-13132</v>
      </c>
      <c r="V210" s="5">
        <f t="shared" si="32"/>
        <v>0</v>
      </c>
    </row>
    <row r="211" spans="1:22" s="3" customFormat="1" ht="12.75" hidden="1">
      <c r="A211" s="91">
        <v>3100</v>
      </c>
      <c r="B211" s="34" t="s">
        <v>234</v>
      </c>
      <c r="C211" s="33"/>
      <c r="D211" s="33"/>
      <c r="E211" s="33"/>
      <c r="F211" s="33"/>
      <c r="G211" s="33">
        <f t="shared" si="41"/>
        <v>0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S211" s="5">
        <f t="shared" si="30"/>
        <v>0</v>
      </c>
      <c r="T211" s="5">
        <f t="shared" si="31"/>
        <v>0</v>
      </c>
      <c r="V211" s="5">
        <f t="shared" si="32"/>
        <v>0</v>
      </c>
    </row>
    <row r="212" spans="1:22" s="3" customFormat="1" ht="38.25">
      <c r="A212" s="91">
        <v>3200</v>
      </c>
      <c r="B212" s="34" t="s">
        <v>312</v>
      </c>
      <c r="C212" s="33"/>
      <c r="D212" s="33"/>
      <c r="E212" s="33"/>
      <c r="F212" s="33"/>
      <c r="G212" s="33">
        <f t="shared" si="41"/>
        <v>0</v>
      </c>
      <c r="H212" s="33"/>
      <c r="I212" s="33"/>
      <c r="J212" s="33"/>
      <c r="K212" s="33"/>
      <c r="L212" s="33">
        <f>L213</f>
        <v>-13132</v>
      </c>
      <c r="M212" s="33">
        <f>M214</f>
        <v>41478</v>
      </c>
      <c r="N212" s="33">
        <f>N213+N214</f>
        <v>28346</v>
      </c>
      <c r="O212" s="33">
        <f>O213</f>
        <v>13132</v>
      </c>
      <c r="P212" s="33">
        <f>P214</f>
        <v>-41478</v>
      </c>
      <c r="Q212" s="33"/>
      <c r="S212" s="5">
        <f t="shared" si="30"/>
        <v>0</v>
      </c>
      <c r="T212" s="5">
        <f t="shared" si="31"/>
        <v>0</v>
      </c>
      <c r="V212" s="5">
        <f t="shared" si="32"/>
        <v>0</v>
      </c>
    </row>
    <row r="213" spans="1:22" s="121" customFormat="1" ht="12.75">
      <c r="A213" s="122"/>
      <c r="B213" s="117" t="s">
        <v>374</v>
      </c>
      <c r="C213" s="119">
        <v>0</v>
      </c>
      <c r="D213" s="119"/>
      <c r="E213" s="119"/>
      <c r="F213" s="119"/>
      <c r="G213" s="119">
        <f t="shared" si="41"/>
        <v>0</v>
      </c>
      <c r="H213" s="119"/>
      <c r="I213" s="119"/>
      <c r="J213" s="123">
        <v>0</v>
      </c>
      <c r="K213" s="123"/>
      <c r="L213" s="123">
        <v>-13132</v>
      </c>
      <c r="M213" s="123"/>
      <c r="N213" s="123">
        <f>L213</f>
        <v>-13132</v>
      </c>
      <c r="O213" s="123">
        <f>-N213</f>
        <v>13132</v>
      </c>
      <c r="P213" s="123">
        <v>0</v>
      </c>
      <c r="Q213" s="123">
        <f>N213+O213</f>
        <v>0</v>
      </c>
      <c r="R213" s="124"/>
      <c r="S213" s="5">
        <f t="shared" si="30"/>
        <v>0</v>
      </c>
      <c r="T213" s="5">
        <f t="shared" si="31"/>
        <v>0</v>
      </c>
      <c r="V213" s="5">
        <f t="shared" si="32"/>
        <v>0</v>
      </c>
    </row>
    <row r="214" spans="1:22" s="3" customFormat="1" ht="12.75">
      <c r="A214" s="93"/>
      <c r="B214" s="39" t="s">
        <v>285</v>
      </c>
      <c r="C214" s="40">
        <f>C212</f>
        <v>0</v>
      </c>
      <c r="D214" s="40"/>
      <c r="E214" s="40"/>
      <c r="F214" s="40"/>
      <c r="G214" s="40">
        <f>C214+D214+E214</f>
        <v>0</v>
      </c>
      <c r="H214" s="125">
        <f>-G214</f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41478</v>
      </c>
      <c r="N214" s="125">
        <f>J214+K214+L214+M214</f>
        <v>41478</v>
      </c>
      <c r="O214" s="125">
        <v>0</v>
      </c>
      <c r="P214" s="125">
        <f>-N214</f>
        <v>-41478</v>
      </c>
      <c r="Q214" s="125">
        <f>N214+P214</f>
        <v>0</v>
      </c>
      <c r="S214" s="5">
        <f t="shared" si="30"/>
        <v>0</v>
      </c>
      <c r="T214" s="5">
        <f t="shared" si="31"/>
        <v>0</v>
      </c>
      <c r="V214" s="5">
        <f t="shared" si="32"/>
        <v>0</v>
      </c>
    </row>
    <row r="215" spans="1:22" s="3" customFormat="1" ht="38.25" hidden="1">
      <c r="A215" s="91">
        <v>3300</v>
      </c>
      <c r="B215" s="34" t="s">
        <v>235</v>
      </c>
      <c r="C215" s="33"/>
      <c r="D215" s="33"/>
      <c r="E215" s="33"/>
      <c r="F215" s="33"/>
      <c r="G215" s="33">
        <f t="shared" si="41"/>
        <v>0</v>
      </c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S215" s="5">
        <f t="shared" si="30"/>
        <v>0</v>
      </c>
      <c r="T215" s="5">
        <f t="shared" si="31"/>
        <v>0</v>
      </c>
      <c r="V215" s="5">
        <f t="shared" si="32"/>
        <v>0</v>
      </c>
    </row>
    <row r="216" spans="1:22" s="3" customFormat="1" ht="63.75" hidden="1">
      <c r="A216" s="91">
        <v>3500</v>
      </c>
      <c r="B216" s="34" t="s">
        <v>313</v>
      </c>
      <c r="C216" s="33"/>
      <c r="D216" s="33"/>
      <c r="E216" s="33"/>
      <c r="F216" s="33"/>
      <c r="G216" s="33">
        <f t="shared" si="41"/>
        <v>0</v>
      </c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S216" s="5">
        <f t="shared" si="30"/>
        <v>0</v>
      </c>
      <c r="T216" s="5">
        <f t="shared" si="31"/>
        <v>0</v>
      </c>
      <c r="V216" s="5">
        <f t="shared" si="32"/>
        <v>0</v>
      </c>
    </row>
    <row r="217" spans="1:22" s="3" customFormat="1" ht="12.75" hidden="1">
      <c r="A217" s="96"/>
      <c r="B217" s="76" t="s">
        <v>336</v>
      </c>
      <c r="C217" s="77">
        <v>0</v>
      </c>
      <c r="D217" s="77"/>
      <c r="E217" s="77"/>
      <c r="F217" s="77"/>
      <c r="G217" s="77">
        <f>C217</f>
        <v>0</v>
      </c>
      <c r="H217" s="77">
        <f>G217</f>
        <v>0</v>
      </c>
      <c r="I217" s="79"/>
      <c r="J217" s="79"/>
      <c r="K217" s="79"/>
      <c r="L217" s="79"/>
      <c r="M217" s="79"/>
      <c r="N217" s="79"/>
      <c r="O217" s="79"/>
      <c r="P217" s="79"/>
      <c r="Q217" s="79"/>
      <c r="S217" s="5">
        <f t="shared" si="30"/>
        <v>0</v>
      </c>
      <c r="T217" s="5">
        <f t="shared" si="31"/>
        <v>0</v>
      </c>
      <c r="V217" s="5">
        <f t="shared" si="32"/>
        <v>0</v>
      </c>
    </row>
    <row r="218" spans="1:22" s="3" customFormat="1" ht="12.75" hidden="1">
      <c r="A218" s="96"/>
      <c r="B218" s="39" t="s">
        <v>285</v>
      </c>
      <c r="C218" s="77"/>
      <c r="D218" s="77"/>
      <c r="E218" s="77"/>
      <c r="F218" s="77"/>
      <c r="G218" s="77"/>
      <c r="H218" s="126"/>
      <c r="I218" s="127"/>
      <c r="J218" s="127"/>
      <c r="K218" s="127"/>
      <c r="L218" s="127"/>
      <c r="M218" s="127"/>
      <c r="N218" s="127"/>
      <c r="O218" s="127"/>
      <c r="P218" s="127"/>
      <c r="Q218" s="127"/>
      <c r="S218" s="5">
        <f t="shared" si="30"/>
        <v>0</v>
      </c>
      <c r="T218" s="5">
        <f t="shared" si="31"/>
        <v>0</v>
      </c>
      <c r="V218" s="5">
        <f t="shared" si="32"/>
        <v>0</v>
      </c>
    </row>
    <row r="219" spans="1:22" s="3" customFormat="1" ht="25.5" hidden="1">
      <c r="A219" s="91">
        <v>3800</v>
      </c>
      <c r="B219" s="34" t="s">
        <v>314</v>
      </c>
      <c r="C219" s="33"/>
      <c r="D219" s="33"/>
      <c r="E219" s="33"/>
      <c r="F219" s="33"/>
      <c r="G219" s="33">
        <f t="shared" si="41"/>
        <v>0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S219" s="5">
        <f t="shared" si="30"/>
        <v>0</v>
      </c>
      <c r="T219" s="5">
        <f t="shared" si="31"/>
        <v>0</v>
      </c>
      <c r="V219" s="5">
        <f t="shared" si="32"/>
        <v>0</v>
      </c>
    </row>
    <row r="220" spans="1:22" s="3" customFormat="1" ht="12.75">
      <c r="A220" s="91" t="s">
        <v>221</v>
      </c>
      <c r="B220" s="34" t="s">
        <v>51</v>
      </c>
      <c r="C220" s="33">
        <v>152602702</v>
      </c>
      <c r="D220" s="33">
        <v>1521862080</v>
      </c>
      <c r="E220" s="33"/>
      <c r="F220" s="33">
        <v>16471483</v>
      </c>
      <c r="G220" s="33">
        <f t="shared" si="41"/>
        <v>1690936265</v>
      </c>
      <c r="H220" s="33">
        <f>H221+H224+H225+H226</f>
        <v>0</v>
      </c>
      <c r="I220" s="33">
        <v>0</v>
      </c>
      <c r="J220" s="33">
        <f>J221+J224+J225</f>
        <v>456652</v>
      </c>
      <c r="K220" s="33">
        <f>K221+K224+K225</f>
        <v>0</v>
      </c>
      <c r="L220" s="33">
        <f>L221+L224+L225</f>
        <v>0</v>
      </c>
      <c r="M220" s="33">
        <f>M221+M224+M225</f>
        <v>0</v>
      </c>
      <c r="N220" s="33">
        <f>J220+K220+L220+M220</f>
        <v>456652</v>
      </c>
      <c r="O220" s="33">
        <v>0</v>
      </c>
      <c r="P220" s="33">
        <f>P221+P224+P225+P226</f>
        <v>-456652</v>
      </c>
      <c r="Q220" s="33">
        <f>N220+P220</f>
        <v>0</v>
      </c>
      <c r="S220" s="5">
        <f t="shared" si="30"/>
        <v>0</v>
      </c>
      <c r="T220" s="5">
        <f t="shared" si="31"/>
        <v>0</v>
      </c>
      <c r="V220" s="5">
        <f t="shared" si="32"/>
        <v>0</v>
      </c>
    </row>
    <row r="221" spans="1:22" s="3" customFormat="1" ht="12.75">
      <c r="A221" s="91">
        <v>6200</v>
      </c>
      <c r="B221" s="34" t="s">
        <v>241</v>
      </c>
      <c r="C221" s="33"/>
      <c r="D221" s="33"/>
      <c r="E221" s="33"/>
      <c r="F221" s="33"/>
      <c r="G221" s="33">
        <f t="shared" si="41"/>
        <v>0</v>
      </c>
      <c r="H221" s="33">
        <f>H223</f>
        <v>0</v>
      </c>
      <c r="I221" s="33"/>
      <c r="J221" s="33">
        <f>J222</f>
        <v>456652</v>
      </c>
      <c r="K221" s="33"/>
      <c r="L221" s="33"/>
      <c r="M221" s="33"/>
      <c r="N221" s="33"/>
      <c r="O221" s="33"/>
      <c r="P221" s="33">
        <f>P222</f>
        <v>-456652</v>
      </c>
      <c r="Q221" s="33"/>
      <c r="S221" s="5">
        <f t="shared" si="30"/>
        <v>-456652</v>
      </c>
      <c r="T221" s="5">
        <f t="shared" si="31"/>
        <v>456652</v>
      </c>
      <c r="V221" s="5">
        <f t="shared" si="32"/>
        <v>456652</v>
      </c>
    </row>
    <row r="222" spans="1:22" s="3" customFormat="1" ht="12.75">
      <c r="A222" s="96"/>
      <c r="B222" s="39" t="s">
        <v>285</v>
      </c>
      <c r="C222" s="33"/>
      <c r="D222" s="33"/>
      <c r="E222" s="33"/>
      <c r="F222" s="33"/>
      <c r="G222" s="33"/>
      <c r="H222" s="33"/>
      <c r="I222" s="125">
        <v>0</v>
      </c>
      <c r="J222" s="125">
        <v>456652</v>
      </c>
      <c r="K222" s="125">
        <v>0</v>
      </c>
      <c r="L222" s="125">
        <v>0</v>
      </c>
      <c r="M222" s="125">
        <v>0</v>
      </c>
      <c r="N222" s="125">
        <f>J222+K222+L222+M222</f>
        <v>456652</v>
      </c>
      <c r="O222" s="125">
        <v>0</v>
      </c>
      <c r="P222" s="125">
        <f>-N222</f>
        <v>-456652</v>
      </c>
      <c r="Q222" s="125">
        <f>N222+P222</f>
        <v>0</v>
      </c>
      <c r="S222" s="5">
        <f t="shared" si="30"/>
        <v>0</v>
      </c>
      <c r="T222" s="5">
        <f t="shared" si="31"/>
        <v>0</v>
      </c>
      <c r="V222" s="5"/>
    </row>
    <row r="223" spans="1:22" s="3" customFormat="1" ht="12.75" hidden="1">
      <c r="A223" s="96"/>
      <c r="B223" s="76" t="s">
        <v>336</v>
      </c>
      <c r="C223" s="77">
        <v>0</v>
      </c>
      <c r="D223" s="77"/>
      <c r="E223" s="77"/>
      <c r="F223" s="77"/>
      <c r="G223" s="77">
        <f>C223</f>
        <v>0</v>
      </c>
      <c r="H223" s="77">
        <f>G223</f>
        <v>0</v>
      </c>
      <c r="I223" s="79">
        <v>0</v>
      </c>
      <c r="J223" s="79">
        <v>0</v>
      </c>
      <c r="K223" s="79">
        <v>0</v>
      </c>
      <c r="L223" s="79">
        <v>0</v>
      </c>
      <c r="M223" s="79">
        <v>0</v>
      </c>
      <c r="N223" s="79">
        <f>J223+K223+L223+M223</f>
        <v>0</v>
      </c>
      <c r="O223" s="79">
        <v>0</v>
      </c>
      <c r="P223" s="79">
        <f>J223</f>
        <v>0</v>
      </c>
      <c r="Q223" s="79">
        <v>0</v>
      </c>
      <c r="S223" s="5">
        <f t="shared" si="30"/>
        <v>0</v>
      </c>
      <c r="T223" s="5">
        <f t="shared" si="31"/>
        <v>0</v>
      </c>
      <c r="V223" s="5">
        <f t="shared" si="32"/>
        <v>0</v>
      </c>
    </row>
    <row r="224" spans="1:22" s="3" customFormat="1" ht="12.75" hidden="1">
      <c r="A224" s="91">
        <v>6300</v>
      </c>
      <c r="B224" s="34" t="s">
        <v>242</v>
      </c>
      <c r="C224" s="33"/>
      <c r="D224" s="33"/>
      <c r="E224" s="33"/>
      <c r="F224" s="33"/>
      <c r="G224" s="33">
        <f t="shared" si="41"/>
        <v>0</v>
      </c>
      <c r="H224" s="33"/>
      <c r="I224" s="33">
        <f>G224+H224</f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f>J224+K224+L224+M224</f>
        <v>0</v>
      </c>
      <c r="O224" s="33">
        <v>0</v>
      </c>
      <c r="P224" s="33">
        <v>0</v>
      </c>
      <c r="Q224" s="33">
        <f>N224+P224</f>
        <v>0</v>
      </c>
      <c r="S224" s="5">
        <f t="shared" si="30"/>
        <v>0</v>
      </c>
      <c r="T224" s="5">
        <f t="shared" si="31"/>
        <v>0</v>
      </c>
      <c r="V224" s="5">
        <f t="shared" si="32"/>
        <v>0</v>
      </c>
    </row>
    <row r="225" spans="1:22" s="3" customFormat="1" ht="25.5" hidden="1">
      <c r="A225" s="91">
        <v>6400</v>
      </c>
      <c r="B225" s="34" t="s">
        <v>316</v>
      </c>
      <c r="C225" s="33"/>
      <c r="D225" s="33"/>
      <c r="E225" s="33"/>
      <c r="F225" s="33"/>
      <c r="G225" s="33">
        <f t="shared" si="41"/>
        <v>0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S225" s="5">
        <f t="shared" si="30"/>
        <v>0</v>
      </c>
      <c r="T225" s="5">
        <f t="shared" si="31"/>
        <v>0</v>
      </c>
      <c r="V225" s="5">
        <f t="shared" si="32"/>
        <v>0</v>
      </c>
    </row>
    <row r="226" spans="1:22" s="3" customFormat="1" ht="25.5" hidden="1">
      <c r="A226" s="91">
        <v>6500</v>
      </c>
      <c r="B226" s="34" t="s">
        <v>317</v>
      </c>
      <c r="C226" s="33"/>
      <c r="D226" s="33"/>
      <c r="E226" s="33"/>
      <c r="F226" s="33"/>
      <c r="G226" s="33">
        <f t="shared" si="41"/>
        <v>0</v>
      </c>
      <c r="H226" s="33"/>
      <c r="I226" s="33"/>
      <c r="J226" s="33"/>
      <c r="K226" s="33"/>
      <c r="L226" s="33"/>
      <c r="M226" s="33">
        <v>0</v>
      </c>
      <c r="N226" s="33">
        <f>J226+K226+L226+M226</f>
        <v>0</v>
      </c>
      <c r="O226" s="33">
        <v>0</v>
      </c>
      <c r="P226" s="33">
        <v>0</v>
      </c>
      <c r="Q226" s="33">
        <v>0</v>
      </c>
      <c r="S226" s="5">
        <f t="shared" si="30"/>
        <v>0</v>
      </c>
      <c r="T226" s="5">
        <f t="shared" si="31"/>
        <v>0</v>
      </c>
      <c r="V226" s="5">
        <f t="shared" si="32"/>
        <v>0</v>
      </c>
    </row>
    <row r="227" spans="1:22" s="3" customFormat="1" ht="28.5" customHeight="1">
      <c r="A227" s="90" t="s">
        <v>243</v>
      </c>
      <c r="B227" s="36" t="s">
        <v>304</v>
      </c>
      <c r="C227" s="31">
        <f>C228+C229</f>
        <v>157623883</v>
      </c>
      <c r="D227" s="31">
        <f>D228+D229</f>
        <v>11666</v>
      </c>
      <c r="E227" s="31">
        <f>E228+E229</f>
        <v>0</v>
      </c>
      <c r="F227" s="31">
        <f>F228+F229</f>
        <v>572104</v>
      </c>
      <c r="G227" s="31">
        <f>G228+G229</f>
        <v>157635549</v>
      </c>
      <c r="H227" s="31"/>
      <c r="I227" s="31">
        <v>0</v>
      </c>
      <c r="J227" s="31">
        <f>J228+J229</f>
        <v>0</v>
      </c>
      <c r="K227" s="31">
        <f>K228+K229</f>
        <v>0</v>
      </c>
      <c r="L227" s="31">
        <f>L228+L229</f>
        <v>0</v>
      </c>
      <c r="M227" s="31">
        <f>M228+M229</f>
        <v>0</v>
      </c>
      <c r="N227" s="31">
        <f>N228+N229</f>
        <v>0</v>
      </c>
      <c r="O227" s="31">
        <v>0</v>
      </c>
      <c r="P227" s="31">
        <v>0</v>
      </c>
      <c r="Q227" s="31">
        <f>N227+P227</f>
        <v>0</v>
      </c>
      <c r="S227" s="5">
        <f t="shared" si="30"/>
        <v>0</v>
      </c>
      <c r="T227" s="5">
        <f t="shared" si="31"/>
        <v>0</v>
      </c>
      <c r="V227" s="5">
        <f t="shared" si="32"/>
        <v>0</v>
      </c>
    </row>
    <row r="228" spans="1:22" s="3" customFormat="1" ht="12.75" hidden="1">
      <c r="A228" s="89" t="s">
        <v>222</v>
      </c>
      <c r="B228" s="35" t="s">
        <v>305</v>
      </c>
      <c r="C228" s="33">
        <v>140971695</v>
      </c>
      <c r="D228" s="29"/>
      <c r="E228" s="33"/>
      <c r="F228" s="33"/>
      <c r="G228" s="29">
        <f>C228+D228+E228</f>
        <v>140971695</v>
      </c>
      <c r="H228" s="33"/>
      <c r="I228" s="29"/>
      <c r="J228" s="33"/>
      <c r="K228" s="29"/>
      <c r="L228" s="33"/>
      <c r="M228" s="33"/>
      <c r="N228" s="33"/>
      <c r="O228" s="33"/>
      <c r="P228" s="33"/>
      <c r="Q228" s="29"/>
      <c r="S228" s="5">
        <f t="shared" si="30"/>
        <v>0</v>
      </c>
      <c r="T228" s="5">
        <f t="shared" si="31"/>
        <v>0</v>
      </c>
      <c r="V228" s="5">
        <f t="shared" si="32"/>
        <v>0</v>
      </c>
    </row>
    <row r="229" spans="1:22" s="3" customFormat="1" ht="12.75" hidden="1">
      <c r="A229" s="89" t="s">
        <v>223</v>
      </c>
      <c r="B229" s="35" t="s">
        <v>55</v>
      </c>
      <c r="C229" s="33">
        <v>16652188</v>
      </c>
      <c r="D229" s="29">
        <v>11666</v>
      </c>
      <c r="E229" s="33"/>
      <c r="F229" s="33">
        <v>572104</v>
      </c>
      <c r="G229" s="29">
        <f>C229+D229+E229</f>
        <v>16663854</v>
      </c>
      <c r="H229" s="33"/>
      <c r="I229" s="29"/>
      <c r="J229" s="33"/>
      <c r="K229" s="29"/>
      <c r="L229" s="33"/>
      <c r="M229" s="33"/>
      <c r="N229" s="33"/>
      <c r="O229" s="33"/>
      <c r="P229" s="33"/>
      <c r="Q229" s="29"/>
      <c r="S229" s="5">
        <f t="shared" si="30"/>
        <v>0</v>
      </c>
      <c r="T229" s="5">
        <f t="shared" si="31"/>
        <v>0</v>
      </c>
      <c r="V229" s="5">
        <f t="shared" si="32"/>
        <v>0</v>
      </c>
    </row>
    <row r="230" spans="1:22" s="3" customFormat="1" ht="13.5">
      <c r="A230" s="88" t="s">
        <v>224</v>
      </c>
      <c r="B230" s="36" t="s">
        <v>52</v>
      </c>
      <c r="C230" s="31">
        <v>587915825</v>
      </c>
      <c r="D230" s="31">
        <f>D231+D235+D236</f>
        <v>7190375</v>
      </c>
      <c r="E230" s="31">
        <f>E231+E235+E236</f>
        <v>0</v>
      </c>
      <c r="F230" s="31">
        <f>F231+F235+F236+F239</f>
        <v>945542</v>
      </c>
      <c r="G230" s="31">
        <f>G231+G235+G236</f>
        <v>595106200</v>
      </c>
      <c r="H230" s="31">
        <f>H231+H234+H235+H236+H228+H229+H237</f>
        <v>-166948876</v>
      </c>
      <c r="I230" s="31">
        <v>0</v>
      </c>
      <c r="J230" s="31">
        <f aca="true" t="shared" si="43" ref="J230:P230">J231+J234+J235+J236+J239</f>
        <v>168225588</v>
      </c>
      <c r="K230" s="31">
        <f t="shared" si="43"/>
        <v>6208761</v>
      </c>
      <c r="L230" s="31">
        <f t="shared" si="43"/>
        <v>20241</v>
      </c>
      <c r="M230" s="31">
        <f t="shared" si="43"/>
        <v>202019</v>
      </c>
      <c r="N230" s="31">
        <f t="shared" si="43"/>
        <v>174656609</v>
      </c>
      <c r="O230" s="31">
        <f t="shared" si="43"/>
        <v>-19544</v>
      </c>
      <c r="P230" s="31">
        <f t="shared" si="43"/>
        <v>-174637065</v>
      </c>
      <c r="Q230" s="31">
        <f>N230+P230</f>
        <v>19544</v>
      </c>
      <c r="S230" s="5">
        <f t="shared" si="30"/>
        <v>0</v>
      </c>
      <c r="T230" s="5">
        <f t="shared" si="31"/>
        <v>19544</v>
      </c>
      <c r="V230" s="5">
        <f t="shared" si="32"/>
        <v>0</v>
      </c>
    </row>
    <row r="231" spans="1:22" s="3" customFormat="1" ht="12.75">
      <c r="A231" s="91">
        <v>7100</v>
      </c>
      <c r="B231" s="34" t="s">
        <v>53</v>
      </c>
      <c r="C231" s="33">
        <v>17419105</v>
      </c>
      <c r="D231" s="33">
        <v>6508198</v>
      </c>
      <c r="E231" s="33"/>
      <c r="F231" s="33"/>
      <c r="G231" s="33">
        <f>C231+D231+E231</f>
        <v>23927303</v>
      </c>
      <c r="H231" s="33">
        <f>-G231</f>
        <v>-23927303</v>
      </c>
      <c r="I231" s="33"/>
      <c r="J231" s="33">
        <f>J232+J233</f>
        <v>16362102</v>
      </c>
      <c r="K231" s="33">
        <f>K232+K233</f>
        <v>6152223</v>
      </c>
      <c r="L231" s="33">
        <f>L232+L233</f>
        <v>20241</v>
      </c>
      <c r="M231" s="33">
        <f>M232+M233</f>
        <v>0</v>
      </c>
      <c r="N231" s="33">
        <f>N232+N233</f>
        <v>22534566</v>
      </c>
      <c r="O231" s="33">
        <f>O232</f>
        <v>-19544</v>
      </c>
      <c r="P231" s="33">
        <f>P232+P233</f>
        <v>-22515022</v>
      </c>
      <c r="Q231" s="33"/>
      <c r="S231" s="5">
        <f t="shared" si="30"/>
        <v>0</v>
      </c>
      <c r="T231" s="5">
        <f t="shared" si="31"/>
        <v>0</v>
      </c>
      <c r="V231" s="5">
        <f t="shared" si="32"/>
        <v>0</v>
      </c>
    </row>
    <row r="232" spans="1:22" s="121" customFormat="1" ht="12.75">
      <c r="A232" s="122"/>
      <c r="B232" s="117" t="s">
        <v>374</v>
      </c>
      <c r="C232" s="119">
        <v>0</v>
      </c>
      <c r="D232" s="119"/>
      <c r="E232" s="119"/>
      <c r="F232" s="119"/>
      <c r="G232" s="119">
        <f>C232+D232+E232+F232</f>
        <v>0</v>
      </c>
      <c r="H232" s="119"/>
      <c r="I232" s="119"/>
      <c r="J232" s="123">
        <v>0</v>
      </c>
      <c r="K232" s="123"/>
      <c r="L232" s="123">
        <f>13132+6412</f>
        <v>19544</v>
      </c>
      <c r="M232" s="123"/>
      <c r="N232" s="123">
        <f>L232</f>
        <v>19544</v>
      </c>
      <c r="O232" s="123">
        <f>-N232</f>
        <v>-19544</v>
      </c>
      <c r="P232" s="123">
        <v>0</v>
      </c>
      <c r="Q232" s="123">
        <f>N232+O232</f>
        <v>0</v>
      </c>
      <c r="R232" s="124"/>
      <c r="S232" s="5">
        <f t="shared" si="30"/>
        <v>0</v>
      </c>
      <c r="T232" s="5">
        <f t="shared" si="31"/>
        <v>0</v>
      </c>
      <c r="V232" s="5">
        <f t="shared" si="32"/>
        <v>0</v>
      </c>
    </row>
    <row r="233" spans="1:22" s="3" customFormat="1" ht="12.75">
      <c r="A233" s="93"/>
      <c r="B233" s="39" t="s">
        <v>285</v>
      </c>
      <c r="C233" s="40">
        <v>17419105</v>
      </c>
      <c r="D233" s="40">
        <v>6508198</v>
      </c>
      <c r="E233" s="40"/>
      <c r="F233" s="40"/>
      <c r="G233" s="40">
        <f>C233+D233+E233</f>
        <v>23927303</v>
      </c>
      <c r="H233" s="125">
        <f>-G233</f>
        <v>-23927303</v>
      </c>
      <c r="I233" s="125">
        <v>0</v>
      </c>
      <c r="J233" s="125">
        <v>16362102</v>
      </c>
      <c r="K233" s="125">
        <v>6152223</v>
      </c>
      <c r="L233" s="125">
        <v>697</v>
      </c>
      <c r="M233" s="125">
        <v>0</v>
      </c>
      <c r="N233" s="125">
        <f>J233+K233+L233+M233</f>
        <v>22515022</v>
      </c>
      <c r="O233" s="125">
        <v>0</v>
      </c>
      <c r="P233" s="125">
        <f>-N233</f>
        <v>-22515022</v>
      </c>
      <c r="Q233" s="125">
        <f>N233+P233</f>
        <v>0</v>
      </c>
      <c r="S233" s="5">
        <f t="shared" si="30"/>
        <v>0</v>
      </c>
      <c r="T233" s="5">
        <f t="shared" si="31"/>
        <v>0</v>
      </c>
      <c r="V233" s="5">
        <f t="shared" si="32"/>
        <v>0</v>
      </c>
    </row>
    <row r="234" spans="1:22" s="3" customFormat="1" ht="12.75" hidden="1">
      <c r="A234" s="91">
        <v>7200</v>
      </c>
      <c r="B234" s="34" t="s">
        <v>54</v>
      </c>
      <c r="C234" s="33"/>
      <c r="D234" s="33"/>
      <c r="E234" s="33"/>
      <c r="F234" s="33"/>
      <c r="G234" s="33"/>
      <c r="H234" s="33"/>
      <c r="I234" s="33">
        <f>G234+H234</f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f>J234+K234+L234+M234</f>
        <v>0</v>
      </c>
      <c r="O234" s="33">
        <v>0</v>
      </c>
      <c r="P234" s="33">
        <v>0</v>
      </c>
      <c r="Q234" s="33">
        <f>N234+P234</f>
        <v>0</v>
      </c>
      <c r="S234" s="5">
        <f t="shared" si="30"/>
        <v>0</v>
      </c>
      <c r="T234" s="5">
        <f t="shared" si="31"/>
        <v>0</v>
      </c>
      <c r="V234" s="5">
        <f t="shared" si="32"/>
        <v>0</v>
      </c>
    </row>
    <row r="235" spans="1:22" s="3" customFormat="1" ht="25.5">
      <c r="A235" s="89">
        <v>7300</v>
      </c>
      <c r="B235" s="35" t="s">
        <v>306</v>
      </c>
      <c r="C235" s="33">
        <v>284263348</v>
      </c>
      <c r="D235" s="29">
        <v>619360</v>
      </c>
      <c r="E235" s="33"/>
      <c r="F235" s="33"/>
      <c r="G235" s="33">
        <f>C235+D235+E235</f>
        <v>284882708</v>
      </c>
      <c r="H235" s="33"/>
      <c r="I235" s="33"/>
      <c r="J235" s="33"/>
      <c r="K235" s="29"/>
      <c r="L235" s="33"/>
      <c r="M235" s="33"/>
      <c r="N235" s="33"/>
      <c r="O235" s="33"/>
      <c r="P235" s="33"/>
      <c r="Q235" s="33"/>
      <c r="S235" s="5">
        <f t="shared" si="30"/>
        <v>0</v>
      </c>
      <c r="T235" s="5">
        <f t="shared" si="31"/>
        <v>0</v>
      </c>
      <c r="V235" s="5">
        <f t="shared" si="32"/>
        <v>0</v>
      </c>
    </row>
    <row r="236" spans="1:22" s="3" customFormat="1" ht="38.25" customHeight="1">
      <c r="A236" s="89">
        <v>7400</v>
      </c>
      <c r="B236" s="34" t="s">
        <v>307</v>
      </c>
      <c r="C236" s="33">
        <v>286233372</v>
      </c>
      <c r="D236" s="29">
        <v>62817</v>
      </c>
      <c r="E236" s="33"/>
      <c r="F236" s="33">
        <v>738000</v>
      </c>
      <c r="G236" s="33">
        <f>C236+D236+E236</f>
        <v>286296189</v>
      </c>
      <c r="H236" s="33"/>
      <c r="I236" s="33"/>
      <c r="J236" s="33">
        <f aca="true" t="shared" si="44" ref="J236:P236">J237</f>
        <v>151863486</v>
      </c>
      <c r="K236" s="33">
        <f t="shared" si="44"/>
        <v>56538</v>
      </c>
      <c r="L236" s="33">
        <f t="shared" si="44"/>
        <v>0</v>
      </c>
      <c r="M236" s="33">
        <f t="shared" si="44"/>
        <v>0</v>
      </c>
      <c r="N236" s="33">
        <f t="shared" si="44"/>
        <v>151920024</v>
      </c>
      <c r="O236" s="33">
        <f t="shared" si="44"/>
        <v>0</v>
      </c>
      <c r="P236" s="33">
        <f t="shared" si="44"/>
        <v>-151920024</v>
      </c>
      <c r="Q236" s="33"/>
      <c r="S236" s="5">
        <f t="shared" si="30"/>
        <v>0</v>
      </c>
      <c r="T236" s="5">
        <f t="shared" si="31"/>
        <v>0</v>
      </c>
      <c r="V236" s="5">
        <f t="shared" si="32"/>
        <v>0</v>
      </c>
    </row>
    <row r="237" spans="1:22" s="3" customFormat="1" ht="12.75">
      <c r="A237" s="93"/>
      <c r="B237" s="39" t="s">
        <v>285</v>
      </c>
      <c r="C237" s="40">
        <v>143021573</v>
      </c>
      <c r="D237" s="40">
        <v>0</v>
      </c>
      <c r="E237" s="40"/>
      <c r="F237" s="40"/>
      <c r="G237" s="40">
        <f>C237+D237+E237</f>
        <v>143021573</v>
      </c>
      <c r="H237" s="125">
        <f>-G237</f>
        <v>-143021573</v>
      </c>
      <c r="I237" s="125">
        <v>0</v>
      </c>
      <c r="J237" s="125">
        <v>151863486</v>
      </c>
      <c r="K237" s="125">
        <v>56538</v>
      </c>
      <c r="L237" s="125">
        <v>0</v>
      </c>
      <c r="M237" s="125">
        <v>0</v>
      </c>
      <c r="N237" s="125">
        <f>J237+K237+L237+M237</f>
        <v>151920024</v>
      </c>
      <c r="O237" s="125">
        <v>0</v>
      </c>
      <c r="P237" s="125">
        <f>-N237</f>
        <v>-151920024</v>
      </c>
      <c r="Q237" s="125">
        <f>N237+P237</f>
        <v>0</v>
      </c>
      <c r="S237" s="5">
        <f t="shared" si="30"/>
        <v>0</v>
      </c>
      <c r="T237" s="5">
        <f t="shared" si="31"/>
        <v>0</v>
      </c>
      <c r="V237" s="5">
        <f t="shared" si="32"/>
        <v>0</v>
      </c>
    </row>
    <row r="238" spans="1:22" s="3" customFormat="1" ht="12.75" hidden="1">
      <c r="A238" s="96"/>
      <c r="B238" s="76" t="s">
        <v>336</v>
      </c>
      <c r="C238" s="77">
        <v>0</v>
      </c>
      <c r="D238" s="77"/>
      <c r="E238" s="77"/>
      <c r="F238" s="77"/>
      <c r="G238" s="77">
        <f>C238</f>
        <v>0</v>
      </c>
      <c r="H238" s="77">
        <f>G238</f>
        <v>0</v>
      </c>
      <c r="I238" s="79">
        <f>H238</f>
        <v>0</v>
      </c>
      <c r="J238" s="79">
        <v>0</v>
      </c>
      <c r="K238" s="79">
        <v>0</v>
      </c>
      <c r="L238" s="79">
        <v>0</v>
      </c>
      <c r="M238" s="79">
        <v>0</v>
      </c>
      <c r="N238" s="79">
        <f>J238+K238+L238+M238</f>
        <v>0</v>
      </c>
      <c r="O238" s="79"/>
      <c r="P238" s="79">
        <f>J238</f>
        <v>0</v>
      </c>
      <c r="Q238" s="79">
        <v>0</v>
      </c>
      <c r="S238" s="5">
        <f t="shared" si="30"/>
        <v>0</v>
      </c>
      <c r="T238" s="5">
        <f t="shared" si="31"/>
        <v>0</v>
      </c>
      <c r="V238" s="5">
        <f t="shared" si="32"/>
        <v>0</v>
      </c>
    </row>
    <row r="239" spans="1:22" s="3" customFormat="1" ht="15.75" customHeight="1">
      <c r="A239" s="89">
        <v>7500</v>
      </c>
      <c r="B239" s="34" t="s">
        <v>283</v>
      </c>
      <c r="C239" s="33"/>
      <c r="D239" s="29"/>
      <c r="E239" s="33"/>
      <c r="F239" s="33">
        <v>207542</v>
      </c>
      <c r="G239" s="33">
        <f>C239+D239+E239+F239</f>
        <v>207542</v>
      </c>
      <c r="H239" s="33">
        <f>-H240</f>
        <v>207542</v>
      </c>
      <c r="I239" s="33"/>
      <c r="J239" s="33">
        <f aca="true" t="shared" si="45" ref="J239:P239">J240</f>
        <v>0</v>
      </c>
      <c r="K239" s="33">
        <f t="shared" si="45"/>
        <v>0</v>
      </c>
      <c r="L239" s="33">
        <f t="shared" si="45"/>
        <v>0</v>
      </c>
      <c r="M239" s="33">
        <f t="shared" si="45"/>
        <v>202019</v>
      </c>
      <c r="N239" s="33">
        <f t="shared" si="45"/>
        <v>202019</v>
      </c>
      <c r="O239" s="33">
        <f t="shared" si="45"/>
        <v>0</v>
      </c>
      <c r="P239" s="33">
        <f t="shared" si="45"/>
        <v>-202019</v>
      </c>
      <c r="Q239" s="33"/>
      <c r="S239" s="5">
        <f t="shared" si="30"/>
        <v>0</v>
      </c>
      <c r="T239" s="5">
        <f t="shared" si="31"/>
        <v>0</v>
      </c>
      <c r="V239" s="5">
        <f t="shared" si="32"/>
        <v>0</v>
      </c>
    </row>
    <row r="240" spans="1:22" s="3" customFormat="1" ht="12.75">
      <c r="A240" s="93"/>
      <c r="B240" s="39" t="s">
        <v>285</v>
      </c>
      <c r="C240" s="40"/>
      <c r="D240" s="40"/>
      <c r="E240" s="40"/>
      <c r="F240" s="40">
        <v>207542</v>
      </c>
      <c r="G240" s="40">
        <f>C240+D240+E240+F240</f>
        <v>207542</v>
      </c>
      <c r="H240" s="125">
        <f>-G240</f>
        <v>-207542</v>
      </c>
      <c r="I240" s="125">
        <v>0</v>
      </c>
      <c r="J240" s="125">
        <v>0</v>
      </c>
      <c r="K240" s="125">
        <v>0</v>
      </c>
      <c r="L240" s="125">
        <v>0</v>
      </c>
      <c r="M240" s="125">
        <f>201071+948</f>
        <v>202019</v>
      </c>
      <c r="N240" s="125">
        <f>J240+K240+L240+M240</f>
        <v>202019</v>
      </c>
      <c r="O240" s="125">
        <v>0</v>
      </c>
      <c r="P240" s="125">
        <f>-N240</f>
        <v>-202019</v>
      </c>
      <c r="Q240" s="125">
        <f>N240+P240</f>
        <v>0</v>
      </c>
      <c r="S240" s="5">
        <f t="shared" si="30"/>
        <v>0</v>
      </c>
      <c r="T240" s="5">
        <f t="shared" si="31"/>
        <v>0</v>
      </c>
      <c r="V240" s="5">
        <f t="shared" si="32"/>
        <v>0</v>
      </c>
    </row>
    <row r="241" spans="1:22" s="4" customFormat="1" ht="12.75">
      <c r="A241" s="24" t="s">
        <v>205</v>
      </c>
      <c r="B241" s="44" t="s">
        <v>36</v>
      </c>
      <c r="C241" s="23">
        <f>C242+C247</f>
        <v>244109422</v>
      </c>
      <c r="D241" s="23">
        <f>D242</f>
        <v>11513</v>
      </c>
      <c r="E241" s="23">
        <f>E242+E247</f>
        <v>0</v>
      </c>
      <c r="F241" s="23">
        <f>F242+F247</f>
        <v>18550655</v>
      </c>
      <c r="G241" s="23">
        <f>C241+D241+E241+F241</f>
        <v>262671590</v>
      </c>
      <c r="H241" s="23">
        <f>H242+H247</f>
        <v>0</v>
      </c>
      <c r="I241" s="23"/>
      <c r="J241" s="23">
        <f aca="true" t="shared" si="46" ref="J241:P241">J242+J247</f>
        <v>640</v>
      </c>
      <c r="K241" s="23">
        <f t="shared" si="46"/>
        <v>0</v>
      </c>
      <c r="L241" s="23">
        <f t="shared" si="46"/>
        <v>0</v>
      </c>
      <c r="M241" s="23">
        <f t="shared" si="46"/>
        <v>0</v>
      </c>
      <c r="N241" s="23">
        <f>J241+K241+L241+M241</f>
        <v>640</v>
      </c>
      <c r="O241" s="23">
        <f t="shared" si="46"/>
        <v>640</v>
      </c>
      <c r="P241" s="23">
        <f t="shared" si="46"/>
        <v>0</v>
      </c>
      <c r="Q241" s="23">
        <f>N241+P241</f>
        <v>640</v>
      </c>
      <c r="S241" s="5">
        <f t="shared" si="30"/>
        <v>1280</v>
      </c>
      <c r="T241" s="5">
        <f t="shared" si="31"/>
        <v>-640</v>
      </c>
      <c r="V241" s="5">
        <f t="shared" si="32"/>
        <v>0</v>
      </c>
    </row>
    <row r="242" spans="1:22" s="3" customFormat="1" ht="13.5">
      <c r="A242" s="90" t="s">
        <v>225</v>
      </c>
      <c r="B242" s="36" t="s">
        <v>56</v>
      </c>
      <c r="C242" s="31">
        <v>137408066</v>
      </c>
      <c r="D242" s="31">
        <v>11513</v>
      </c>
      <c r="E242" s="31"/>
      <c r="F242" s="31">
        <v>18550655</v>
      </c>
      <c r="G242" s="31">
        <f>C242+D242+E242+F242</f>
        <v>155970234</v>
      </c>
      <c r="H242" s="31">
        <f>H243+H245</f>
        <v>0</v>
      </c>
      <c r="I242" s="31"/>
      <c r="J242" s="31">
        <f>J246</f>
        <v>640</v>
      </c>
      <c r="K242" s="31">
        <f aca="true" t="shared" si="47" ref="K242:Q242">K243+K245</f>
        <v>0</v>
      </c>
      <c r="L242" s="31">
        <f t="shared" si="47"/>
        <v>0</v>
      </c>
      <c r="M242" s="31">
        <f t="shared" si="47"/>
        <v>0</v>
      </c>
      <c r="N242" s="31">
        <f>J242+K242+L242+M242</f>
        <v>640</v>
      </c>
      <c r="O242" s="31">
        <f>O246</f>
        <v>640</v>
      </c>
      <c r="P242" s="31">
        <f t="shared" si="47"/>
        <v>0</v>
      </c>
      <c r="Q242" s="31">
        <f t="shared" si="47"/>
        <v>0</v>
      </c>
      <c r="S242" s="5">
        <f t="shared" si="30"/>
        <v>1280</v>
      </c>
      <c r="T242" s="5">
        <f t="shared" si="31"/>
        <v>-1280</v>
      </c>
      <c r="V242" s="5">
        <f t="shared" si="32"/>
        <v>0</v>
      </c>
    </row>
    <row r="243" spans="1:22" s="3" customFormat="1" ht="12.75" hidden="1">
      <c r="A243" s="91">
        <v>5100</v>
      </c>
      <c r="B243" s="34" t="s">
        <v>239</v>
      </c>
      <c r="C243" s="33">
        <v>0</v>
      </c>
      <c r="D243" s="33">
        <v>0</v>
      </c>
      <c r="E243" s="33">
        <v>0</v>
      </c>
      <c r="F243" s="33">
        <v>0</v>
      </c>
      <c r="G243" s="23"/>
      <c r="H243" s="33">
        <f>H244</f>
        <v>0</v>
      </c>
      <c r="I243" s="23"/>
      <c r="J243" s="33"/>
      <c r="K243" s="33"/>
      <c r="L243" s="33"/>
      <c r="M243" s="33"/>
      <c r="N243" s="33"/>
      <c r="O243" s="33"/>
      <c r="P243" s="33"/>
      <c r="Q243" s="33"/>
      <c r="S243" s="5">
        <f t="shared" si="30"/>
        <v>0</v>
      </c>
      <c r="T243" s="5">
        <f t="shared" si="31"/>
        <v>0</v>
      </c>
      <c r="V243" s="5">
        <f t="shared" si="32"/>
        <v>0</v>
      </c>
    </row>
    <row r="244" spans="1:22" s="3" customFormat="1" ht="12.75" hidden="1">
      <c r="A244" s="96"/>
      <c r="B244" s="76" t="s">
        <v>336</v>
      </c>
      <c r="C244" s="77">
        <v>0</v>
      </c>
      <c r="D244" s="77"/>
      <c r="E244" s="77"/>
      <c r="F244" s="77"/>
      <c r="G244" s="77">
        <f>C244</f>
        <v>0</v>
      </c>
      <c r="H244" s="77">
        <f>G244</f>
        <v>0</v>
      </c>
      <c r="I244" s="79"/>
      <c r="J244" s="79"/>
      <c r="K244" s="79"/>
      <c r="L244" s="79"/>
      <c r="M244" s="79"/>
      <c r="N244" s="79"/>
      <c r="O244" s="79"/>
      <c r="P244" s="79"/>
      <c r="Q244" s="79"/>
      <c r="S244" s="5">
        <f t="shared" si="30"/>
        <v>0</v>
      </c>
      <c r="T244" s="5">
        <f t="shared" si="31"/>
        <v>0</v>
      </c>
      <c r="V244" s="5">
        <f t="shared" si="32"/>
        <v>0</v>
      </c>
    </row>
    <row r="245" spans="1:22" s="3" customFormat="1" ht="12.75" hidden="1">
      <c r="A245" s="91">
        <v>5200</v>
      </c>
      <c r="B245" s="34" t="s">
        <v>240</v>
      </c>
      <c r="C245" s="33">
        <v>0</v>
      </c>
      <c r="D245" s="33">
        <v>0</v>
      </c>
      <c r="E245" s="33">
        <v>0</v>
      </c>
      <c r="F245" s="33">
        <v>0</v>
      </c>
      <c r="G245" s="23"/>
      <c r="H245" s="33">
        <f>H246</f>
        <v>0</v>
      </c>
      <c r="I245" s="23"/>
      <c r="J245" s="33"/>
      <c r="K245" s="33"/>
      <c r="L245" s="33"/>
      <c r="M245" s="33"/>
      <c r="N245" s="33"/>
      <c r="O245" s="33"/>
      <c r="P245" s="33"/>
      <c r="Q245" s="33"/>
      <c r="S245" s="5">
        <f t="shared" si="30"/>
        <v>0</v>
      </c>
      <c r="T245" s="5">
        <f t="shared" si="31"/>
        <v>0</v>
      </c>
      <c r="V245" s="5">
        <f t="shared" si="32"/>
        <v>0</v>
      </c>
    </row>
    <row r="246" spans="1:22" s="3" customFormat="1" ht="12.75">
      <c r="A246" s="96"/>
      <c r="B246" s="76" t="s">
        <v>336</v>
      </c>
      <c r="C246" s="77">
        <v>0</v>
      </c>
      <c r="D246" s="77"/>
      <c r="E246" s="77"/>
      <c r="F246" s="77"/>
      <c r="G246" s="77">
        <f>C246</f>
        <v>0</v>
      </c>
      <c r="H246" s="77">
        <f>G246</f>
        <v>0</v>
      </c>
      <c r="I246" s="79"/>
      <c r="J246" s="79">
        <v>640</v>
      </c>
      <c r="K246" s="79">
        <v>0</v>
      </c>
      <c r="L246" s="79">
        <v>0</v>
      </c>
      <c r="M246" s="79">
        <v>0</v>
      </c>
      <c r="N246" s="79">
        <f>J246+K246+L246+M246</f>
        <v>640</v>
      </c>
      <c r="O246" s="79">
        <f>N246</f>
        <v>640</v>
      </c>
      <c r="P246" s="79">
        <v>0</v>
      </c>
      <c r="Q246" s="79">
        <v>0</v>
      </c>
      <c r="S246" s="5">
        <f t="shared" si="30"/>
        <v>1280</v>
      </c>
      <c r="T246" s="5">
        <f t="shared" si="31"/>
        <v>-1280</v>
      </c>
      <c r="V246" s="5">
        <f t="shared" si="32"/>
        <v>0</v>
      </c>
    </row>
    <row r="247" spans="1:22" s="3" customFormat="1" ht="27">
      <c r="A247" s="88" t="s">
        <v>226</v>
      </c>
      <c r="B247" s="38" t="s">
        <v>57</v>
      </c>
      <c r="C247" s="31">
        <f>C248+C249+C250+C251+C252</f>
        <v>106701356</v>
      </c>
      <c r="D247" s="31">
        <f>D248+D249+D250+D251+D252</f>
        <v>0</v>
      </c>
      <c r="E247" s="31">
        <f>E248+E249+E250+E251+E252</f>
        <v>0</v>
      </c>
      <c r="F247" s="31">
        <f>F248+F249+F250+F251+F252</f>
        <v>0</v>
      </c>
      <c r="G247" s="31">
        <f>G248+G249+G250+G251+G252</f>
        <v>106701356</v>
      </c>
      <c r="H247" s="31"/>
      <c r="I247" s="31"/>
      <c r="J247" s="31">
        <f aca="true" t="shared" si="48" ref="J247:P247">J248+J249+J250+J251+J252</f>
        <v>0</v>
      </c>
      <c r="K247" s="31">
        <f t="shared" si="48"/>
        <v>0</v>
      </c>
      <c r="L247" s="31">
        <f t="shared" si="48"/>
        <v>0</v>
      </c>
      <c r="M247" s="31">
        <f t="shared" si="48"/>
        <v>0</v>
      </c>
      <c r="N247" s="31">
        <f t="shared" si="48"/>
        <v>0</v>
      </c>
      <c r="O247" s="31">
        <v>0</v>
      </c>
      <c r="P247" s="31">
        <f t="shared" si="48"/>
        <v>0</v>
      </c>
      <c r="Q247" s="51">
        <f>N247+P247</f>
        <v>0</v>
      </c>
      <c r="S247" s="5">
        <f aca="true" t="shared" si="49" ref="S247:S274">N247+O247+P247</f>
        <v>0</v>
      </c>
      <c r="T247" s="5">
        <f aca="true" t="shared" si="50" ref="T247:T274">Q247-S247</f>
        <v>0</v>
      </c>
      <c r="V247" s="5">
        <f aca="true" t="shared" si="51" ref="V247:V274">J247+K247+L247+M247-N247</f>
        <v>0</v>
      </c>
    </row>
    <row r="248" spans="1:22" s="3" customFormat="1" ht="12.75" hidden="1">
      <c r="A248" s="89">
        <v>9100</v>
      </c>
      <c r="B248" s="34" t="s">
        <v>58</v>
      </c>
      <c r="C248" s="33">
        <v>83708974</v>
      </c>
      <c r="D248" s="29">
        <v>0</v>
      </c>
      <c r="E248" s="29">
        <v>0</v>
      </c>
      <c r="F248" s="29">
        <v>0</v>
      </c>
      <c r="G248" s="29">
        <f aca="true" t="shared" si="52" ref="G248:G263">C248+D248+E248+F248</f>
        <v>83708974</v>
      </c>
      <c r="H248" s="29"/>
      <c r="I248" s="29"/>
      <c r="J248" s="33"/>
      <c r="K248" s="29"/>
      <c r="L248" s="29"/>
      <c r="M248" s="29"/>
      <c r="N248" s="29"/>
      <c r="O248" s="29"/>
      <c r="P248" s="29"/>
      <c r="Q248" s="29"/>
      <c r="S248" s="5">
        <f t="shared" si="49"/>
        <v>0</v>
      </c>
      <c r="T248" s="5">
        <f t="shared" si="50"/>
        <v>0</v>
      </c>
      <c r="V248" s="5">
        <f t="shared" si="51"/>
        <v>0</v>
      </c>
    </row>
    <row r="249" spans="1:22" s="3" customFormat="1" ht="25.5" hidden="1">
      <c r="A249" s="89">
        <v>9200</v>
      </c>
      <c r="B249" s="35" t="s">
        <v>308</v>
      </c>
      <c r="C249" s="33">
        <v>0</v>
      </c>
      <c r="D249" s="33">
        <v>0</v>
      </c>
      <c r="E249" s="33">
        <v>0</v>
      </c>
      <c r="F249" s="33">
        <v>0</v>
      </c>
      <c r="G249" s="29">
        <f t="shared" si="52"/>
        <v>0</v>
      </c>
      <c r="H249" s="29">
        <f>C249+D249+E249+G249</f>
        <v>0</v>
      </c>
      <c r="I249" s="29"/>
      <c r="J249" s="33"/>
      <c r="K249" s="29"/>
      <c r="L249" s="29"/>
      <c r="M249" s="29"/>
      <c r="N249" s="29"/>
      <c r="O249" s="29"/>
      <c r="P249" s="29"/>
      <c r="Q249" s="29"/>
      <c r="S249" s="5">
        <f t="shared" si="49"/>
        <v>0</v>
      </c>
      <c r="T249" s="5">
        <f t="shared" si="50"/>
        <v>0</v>
      </c>
      <c r="V249" s="5">
        <f t="shared" si="51"/>
        <v>0</v>
      </c>
    </row>
    <row r="250" spans="1:22" s="3" customFormat="1" ht="25.5" hidden="1">
      <c r="A250" s="89">
        <v>9300</v>
      </c>
      <c r="B250" s="34" t="s">
        <v>59</v>
      </c>
      <c r="C250" s="33">
        <v>0</v>
      </c>
      <c r="D250" s="33">
        <v>0</v>
      </c>
      <c r="E250" s="33">
        <v>0</v>
      </c>
      <c r="F250" s="33">
        <v>0</v>
      </c>
      <c r="G250" s="29">
        <f t="shared" si="52"/>
        <v>0</v>
      </c>
      <c r="H250" s="29">
        <f>C250+D250+E250+G250</f>
        <v>0</v>
      </c>
      <c r="I250" s="29"/>
      <c r="J250" s="33"/>
      <c r="K250" s="29"/>
      <c r="L250" s="29"/>
      <c r="M250" s="29"/>
      <c r="N250" s="29"/>
      <c r="O250" s="29"/>
      <c r="P250" s="29"/>
      <c r="Q250" s="29"/>
      <c r="S250" s="5">
        <f t="shared" si="49"/>
        <v>0</v>
      </c>
      <c r="T250" s="5">
        <f t="shared" si="50"/>
        <v>0</v>
      </c>
      <c r="V250" s="5">
        <f t="shared" si="51"/>
        <v>0</v>
      </c>
    </row>
    <row r="251" spans="1:22" s="3" customFormat="1" ht="25.5" hidden="1">
      <c r="A251" s="89">
        <v>9400</v>
      </c>
      <c r="B251" s="34" t="s">
        <v>60</v>
      </c>
      <c r="C251" s="33">
        <v>0</v>
      </c>
      <c r="D251" s="33">
        <v>0</v>
      </c>
      <c r="E251" s="33">
        <v>0</v>
      </c>
      <c r="F251" s="33">
        <v>0</v>
      </c>
      <c r="G251" s="29">
        <f t="shared" si="52"/>
        <v>0</v>
      </c>
      <c r="H251" s="29">
        <f>C251+D251+E251+G251</f>
        <v>0</v>
      </c>
      <c r="I251" s="29"/>
      <c r="J251" s="33"/>
      <c r="K251" s="29"/>
      <c r="L251" s="29"/>
      <c r="M251" s="29"/>
      <c r="N251" s="29"/>
      <c r="O251" s="29"/>
      <c r="P251" s="29"/>
      <c r="Q251" s="29"/>
      <c r="S251" s="5">
        <f t="shared" si="49"/>
        <v>0</v>
      </c>
      <c r="T251" s="5">
        <f t="shared" si="50"/>
        <v>0</v>
      </c>
      <c r="V251" s="5">
        <f t="shared" si="51"/>
        <v>0</v>
      </c>
    </row>
    <row r="252" spans="1:22" s="3" customFormat="1" ht="25.5" hidden="1">
      <c r="A252" s="89">
        <v>9500</v>
      </c>
      <c r="B252" s="34" t="s">
        <v>309</v>
      </c>
      <c r="C252" s="33">
        <v>22992382</v>
      </c>
      <c r="D252" s="29">
        <v>0</v>
      </c>
      <c r="E252" s="29">
        <v>0</v>
      </c>
      <c r="F252" s="29">
        <v>0</v>
      </c>
      <c r="G252" s="29">
        <f t="shared" si="52"/>
        <v>22992382</v>
      </c>
      <c r="H252" s="29"/>
      <c r="I252" s="29"/>
      <c r="J252" s="33"/>
      <c r="K252" s="29"/>
      <c r="L252" s="33"/>
      <c r="M252" s="29"/>
      <c r="N252" s="29"/>
      <c r="O252" s="29"/>
      <c r="P252" s="29"/>
      <c r="Q252" s="29"/>
      <c r="S252" s="5">
        <f t="shared" si="49"/>
        <v>0</v>
      </c>
      <c r="T252" s="5">
        <f t="shared" si="50"/>
        <v>0</v>
      </c>
      <c r="V252" s="5">
        <f t="shared" si="51"/>
        <v>0</v>
      </c>
    </row>
    <row r="253" spans="1:22" s="3" customFormat="1" ht="25.5" hidden="1">
      <c r="A253" s="87" t="s">
        <v>208</v>
      </c>
      <c r="B253" s="102" t="s">
        <v>354</v>
      </c>
      <c r="C253" s="23">
        <f>C254+C255</f>
        <v>0</v>
      </c>
      <c r="D253" s="23">
        <f>D254+D255</f>
        <v>0</v>
      </c>
      <c r="E253" s="23">
        <f>E254+E255</f>
        <v>0</v>
      </c>
      <c r="F253" s="23">
        <f>F254+F255</f>
        <v>0</v>
      </c>
      <c r="G253" s="23">
        <f t="shared" si="52"/>
        <v>0</v>
      </c>
      <c r="H253" s="23"/>
      <c r="I253" s="23"/>
      <c r="J253" s="23">
        <f>J254+J255</f>
        <v>0</v>
      </c>
      <c r="K253" s="23">
        <f>K254+K255</f>
        <v>0</v>
      </c>
      <c r="L253" s="23">
        <f>L254+L255</f>
        <v>0</v>
      </c>
      <c r="M253" s="23">
        <f>M254+M255</f>
        <v>0</v>
      </c>
      <c r="N253" s="23">
        <f>J253+K253+L253+M253</f>
        <v>0</v>
      </c>
      <c r="O253" s="23">
        <v>0</v>
      </c>
      <c r="P253" s="23">
        <v>0</v>
      </c>
      <c r="Q253" s="23">
        <f>N253+P253</f>
        <v>0</v>
      </c>
      <c r="S253" s="5">
        <f t="shared" si="49"/>
        <v>0</v>
      </c>
      <c r="T253" s="5">
        <f t="shared" si="50"/>
        <v>0</v>
      </c>
      <c r="V253" s="5">
        <f t="shared" si="51"/>
        <v>0</v>
      </c>
    </row>
    <row r="254" spans="1:22" s="3" customFormat="1" ht="38.25" hidden="1">
      <c r="A254" s="91">
        <v>5300</v>
      </c>
      <c r="B254" s="34" t="s">
        <v>315</v>
      </c>
      <c r="C254" s="33">
        <v>0</v>
      </c>
      <c r="D254" s="33">
        <v>0</v>
      </c>
      <c r="E254" s="33">
        <v>0</v>
      </c>
      <c r="F254" s="33">
        <v>0</v>
      </c>
      <c r="G254" s="33">
        <f t="shared" si="52"/>
        <v>0</v>
      </c>
      <c r="H254" s="33"/>
      <c r="I254" s="33"/>
      <c r="J254" s="33">
        <v>0</v>
      </c>
      <c r="K254" s="33">
        <v>0</v>
      </c>
      <c r="L254" s="33">
        <v>0</v>
      </c>
      <c r="M254" s="33">
        <v>0</v>
      </c>
      <c r="N254" s="33">
        <f>J254+K254+L254+M254</f>
        <v>0</v>
      </c>
      <c r="O254" s="33">
        <v>0</v>
      </c>
      <c r="P254" s="33">
        <v>0</v>
      </c>
      <c r="Q254" s="33">
        <f>N254+P254</f>
        <v>0</v>
      </c>
      <c r="S254" s="5">
        <f t="shared" si="49"/>
        <v>0</v>
      </c>
      <c r="T254" s="5">
        <f t="shared" si="50"/>
        <v>0</v>
      </c>
      <c r="V254" s="5">
        <f t="shared" si="51"/>
        <v>0</v>
      </c>
    </row>
    <row r="255" spans="1:22" s="3" customFormat="1" ht="25.5" hidden="1">
      <c r="A255" s="91">
        <v>8000</v>
      </c>
      <c r="B255" s="34" t="s">
        <v>319</v>
      </c>
      <c r="C255" s="33">
        <f aca="true" t="shared" si="53" ref="C255:H255">C256+C257+C258+C259+C260+C261+C262</f>
        <v>0</v>
      </c>
      <c r="D255" s="33">
        <f t="shared" si="53"/>
        <v>0</v>
      </c>
      <c r="E255" s="33">
        <f t="shared" si="53"/>
        <v>0</v>
      </c>
      <c r="F255" s="33">
        <f t="shared" si="53"/>
        <v>0</v>
      </c>
      <c r="G255" s="33">
        <f t="shared" si="53"/>
        <v>0</v>
      </c>
      <c r="H255" s="33">
        <f t="shared" si="53"/>
        <v>0</v>
      </c>
      <c r="I255" s="33"/>
      <c r="J255" s="33">
        <v>0</v>
      </c>
      <c r="K255" s="33">
        <v>0</v>
      </c>
      <c r="L255" s="33">
        <f>L259</f>
        <v>0</v>
      </c>
      <c r="M255" s="33">
        <v>0</v>
      </c>
      <c r="N255" s="33">
        <f>J255+K255+L255+M255</f>
        <v>0</v>
      </c>
      <c r="O255" s="33">
        <v>0</v>
      </c>
      <c r="P255" s="33">
        <v>0</v>
      </c>
      <c r="Q255" s="33">
        <f>N255+P255</f>
        <v>0</v>
      </c>
      <c r="S255" s="5">
        <f t="shared" si="49"/>
        <v>0</v>
      </c>
      <c r="T255" s="5">
        <f t="shared" si="50"/>
        <v>0</v>
      </c>
      <c r="V255" s="5">
        <f t="shared" si="51"/>
        <v>0</v>
      </c>
    </row>
    <row r="256" spans="1:22" s="3" customFormat="1" ht="25.5" hidden="1">
      <c r="A256" s="80" t="s">
        <v>337</v>
      </c>
      <c r="B256" s="81" t="s">
        <v>338</v>
      </c>
      <c r="C256" s="33"/>
      <c r="D256" s="33"/>
      <c r="E256" s="33"/>
      <c r="F256" s="33"/>
      <c r="G256" s="33">
        <f>C256+D256+E256+F256</f>
        <v>0</v>
      </c>
      <c r="H256" s="33"/>
      <c r="I256" s="33"/>
      <c r="J256" s="33">
        <v>0</v>
      </c>
      <c r="K256" s="33">
        <v>0</v>
      </c>
      <c r="L256" s="33">
        <v>0</v>
      </c>
      <c r="M256" s="33">
        <v>0</v>
      </c>
      <c r="N256" s="33">
        <f aca="true" t="shared" si="54" ref="N256:N262">J256+K256+L256+M256</f>
        <v>0</v>
      </c>
      <c r="O256" s="33">
        <v>0</v>
      </c>
      <c r="P256" s="33">
        <v>0</v>
      </c>
      <c r="Q256" s="33">
        <f aca="true" t="shared" si="55" ref="Q256:Q269">N256+P256</f>
        <v>0</v>
      </c>
      <c r="S256" s="5">
        <f t="shared" si="49"/>
        <v>0</v>
      </c>
      <c r="T256" s="5">
        <f t="shared" si="50"/>
        <v>0</v>
      </c>
      <c r="V256" s="5">
        <f t="shared" si="51"/>
        <v>0</v>
      </c>
    </row>
    <row r="257" spans="1:22" s="3" customFormat="1" ht="38.25" hidden="1">
      <c r="A257" s="80" t="s">
        <v>339</v>
      </c>
      <c r="B257" s="81" t="s">
        <v>340</v>
      </c>
      <c r="C257" s="33"/>
      <c r="D257" s="33"/>
      <c r="E257" s="33"/>
      <c r="F257" s="33">
        <v>0</v>
      </c>
      <c r="G257" s="33">
        <f aca="true" t="shared" si="56" ref="G257:G262">C257+D257+E257+F257</f>
        <v>0</v>
      </c>
      <c r="H257" s="33"/>
      <c r="I257" s="33"/>
      <c r="J257" s="33">
        <v>0</v>
      </c>
      <c r="K257" s="33">
        <v>0</v>
      </c>
      <c r="L257" s="33">
        <v>0</v>
      </c>
      <c r="M257" s="33">
        <v>0</v>
      </c>
      <c r="N257" s="33">
        <f t="shared" si="54"/>
        <v>0</v>
      </c>
      <c r="O257" s="33">
        <v>0</v>
      </c>
      <c r="P257" s="33">
        <v>0</v>
      </c>
      <c r="Q257" s="33">
        <f t="shared" si="55"/>
        <v>0</v>
      </c>
      <c r="S257" s="5">
        <f t="shared" si="49"/>
        <v>0</v>
      </c>
      <c r="T257" s="5">
        <f t="shared" si="50"/>
        <v>0</v>
      </c>
      <c r="V257" s="5">
        <f t="shared" si="51"/>
        <v>0</v>
      </c>
    </row>
    <row r="258" spans="1:22" s="3" customFormat="1" ht="25.5" hidden="1">
      <c r="A258" s="80" t="s">
        <v>341</v>
      </c>
      <c r="B258" s="82" t="s">
        <v>342</v>
      </c>
      <c r="C258" s="33"/>
      <c r="D258" s="33"/>
      <c r="E258" s="33"/>
      <c r="F258" s="33"/>
      <c r="G258" s="33">
        <f t="shared" si="56"/>
        <v>0</v>
      </c>
      <c r="H258" s="33"/>
      <c r="I258" s="33"/>
      <c r="J258" s="33">
        <v>0</v>
      </c>
      <c r="K258" s="33">
        <v>0</v>
      </c>
      <c r="L258" s="33">
        <v>0</v>
      </c>
      <c r="M258" s="33">
        <v>0</v>
      </c>
      <c r="N258" s="33">
        <f t="shared" si="54"/>
        <v>0</v>
      </c>
      <c r="O258" s="33">
        <v>0</v>
      </c>
      <c r="P258" s="33">
        <v>0</v>
      </c>
      <c r="Q258" s="33">
        <f t="shared" si="55"/>
        <v>0</v>
      </c>
      <c r="S258" s="5">
        <f t="shared" si="49"/>
        <v>0</v>
      </c>
      <c r="T258" s="5">
        <f t="shared" si="50"/>
        <v>0</v>
      </c>
      <c r="V258" s="5">
        <f t="shared" si="51"/>
        <v>0</v>
      </c>
    </row>
    <row r="259" spans="1:22" s="3" customFormat="1" ht="25.5" hidden="1">
      <c r="A259" s="80" t="s">
        <v>343</v>
      </c>
      <c r="B259" s="82" t="s">
        <v>344</v>
      </c>
      <c r="C259" s="33"/>
      <c r="D259" s="33"/>
      <c r="E259" s="33"/>
      <c r="F259" s="33"/>
      <c r="G259" s="33">
        <f t="shared" si="56"/>
        <v>0</v>
      </c>
      <c r="H259" s="33"/>
      <c r="I259" s="33"/>
      <c r="J259" s="33">
        <v>0</v>
      </c>
      <c r="K259" s="33">
        <v>0</v>
      </c>
      <c r="L259" s="33">
        <v>0</v>
      </c>
      <c r="M259" s="33">
        <v>0</v>
      </c>
      <c r="N259" s="33">
        <f t="shared" si="54"/>
        <v>0</v>
      </c>
      <c r="O259" s="33">
        <v>0</v>
      </c>
      <c r="P259" s="33">
        <v>0</v>
      </c>
      <c r="Q259" s="33">
        <f t="shared" si="55"/>
        <v>0</v>
      </c>
      <c r="S259" s="5">
        <f t="shared" si="49"/>
        <v>0</v>
      </c>
      <c r="T259" s="5">
        <f t="shared" si="50"/>
        <v>0</v>
      </c>
      <c r="V259" s="5">
        <f t="shared" si="51"/>
        <v>0</v>
      </c>
    </row>
    <row r="260" spans="1:22" s="3" customFormat="1" ht="25.5" hidden="1">
      <c r="A260" s="80" t="s">
        <v>345</v>
      </c>
      <c r="B260" s="82" t="s">
        <v>346</v>
      </c>
      <c r="C260" s="33"/>
      <c r="D260" s="33"/>
      <c r="E260" s="33"/>
      <c r="F260" s="33">
        <v>0</v>
      </c>
      <c r="G260" s="33">
        <f t="shared" si="56"/>
        <v>0</v>
      </c>
      <c r="H260" s="33"/>
      <c r="I260" s="33"/>
      <c r="J260" s="33">
        <v>0</v>
      </c>
      <c r="K260" s="33">
        <v>0</v>
      </c>
      <c r="L260" s="33">
        <v>0</v>
      </c>
      <c r="M260" s="33">
        <v>0</v>
      </c>
      <c r="N260" s="33">
        <f t="shared" si="54"/>
        <v>0</v>
      </c>
      <c r="O260" s="33">
        <v>0</v>
      </c>
      <c r="P260" s="33">
        <v>0</v>
      </c>
      <c r="Q260" s="33">
        <f t="shared" si="55"/>
        <v>0</v>
      </c>
      <c r="S260" s="5">
        <f t="shared" si="49"/>
        <v>0</v>
      </c>
      <c r="T260" s="5">
        <f t="shared" si="50"/>
        <v>0</v>
      </c>
      <c r="V260" s="5">
        <f t="shared" si="51"/>
        <v>0</v>
      </c>
    </row>
    <row r="261" spans="1:22" s="3" customFormat="1" ht="12.75" hidden="1">
      <c r="A261" s="80" t="s">
        <v>347</v>
      </c>
      <c r="B261" s="81" t="s">
        <v>348</v>
      </c>
      <c r="C261" s="33"/>
      <c r="D261" s="33"/>
      <c r="E261" s="33"/>
      <c r="F261" s="33"/>
      <c r="G261" s="33">
        <f t="shared" si="56"/>
        <v>0</v>
      </c>
      <c r="H261" s="33"/>
      <c r="I261" s="33"/>
      <c r="J261" s="33">
        <v>0</v>
      </c>
      <c r="K261" s="33">
        <v>0</v>
      </c>
      <c r="L261" s="33">
        <v>0</v>
      </c>
      <c r="M261" s="33">
        <v>0</v>
      </c>
      <c r="N261" s="33">
        <f t="shared" si="54"/>
        <v>0</v>
      </c>
      <c r="O261" s="33">
        <v>0</v>
      </c>
      <c r="P261" s="33">
        <v>0</v>
      </c>
      <c r="Q261" s="33">
        <f t="shared" si="55"/>
        <v>0</v>
      </c>
      <c r="S261" s="5">
        <f t="shared" si="49"/>
        <v>0</v>
      </c>
      <c r="T261" s="5">
        <f t="shared" si="50"/>
        <v>0</v>
      </c>
      <c r="V261" s="5">
        <f t="shared" si="51"/>
        <v>0</v>
      </c>
    </row>
    <row r="262" spans="1:22" s="3" customFormat="1" ht="38.25" hidden="1">
      <c r="A262" s="80" t="s">
        <v>349</v>
      </c>
      <c r="B262" s="81" t="s">
        <v>350</v>
      </c>
      <c r="C262" s="33"/>
      <c r="D262" s="33"/>
      <c r="E262" s="33"/>
      <c r="F262" s="33"/>
      <c r="G262" s="33">
        <f t="shared" si="56"/>
        <v>0</v>
      </c>
      <c r="H262" s="33"/>
      <c r="I262" s="33"/>
      <c r="J262" s="33">
        <v>0</v>
      </c>
      <c r="K262" s="33">
        <v>0</v>
      </c>
      <c r="L262" s="33">
        <v>0</v>
      </c>
      <c r="M262" s="33">
        <v>0</v>
      </c>
      <c r="N262" s="33">
        <f t="shared" si="54"/>
        <v>0</v>
      </c>
      <c r="O262" s="33">
        <v>0</v>
      </c>
      <c r="P262" s="33">
        <v>0</v>
      </c>
      <c r="Q262" s="33">
        <f t="shared" si="55"/>
        <v>0</v>
      </c>
      <c r="S262" s="5">
        <f t="shared" si="49"/>
        <v>0</v>
      </c>
      <c r="T262" s="5">
        <f t="shared" si="50"/>
        <v>0</v>
      </c>
      <c r="V262" s="5">
        <f t="shared" si="51"/>
        <v>0</v>
      </c>
    </row>
    <row r="263" spans="1:22" s="3" customFormat="1" ht="12.75">
      <c r="A263" s="86"/>
      <c r="B263" s="49" t="s">
        <v>274</v>
      </c>
      <c r="C263" s="48">
        <f>C13-C145</f>
        <v>-676168577</v>
      </c>
      <c r="D263" s="48">
        <f>D13-D145</f>
        <v>-354787478</v>
      </c>
      <c r="E263" s="48">
        <f>E13-E145</f>
        <v>0</v>
      </c>
      <c r="F263" s="48">
        <f>F13-F145</f>
        <v>5635732</v>
      </c>
      <c r="G263" s="48">
        <f t="shared" si="52"/>
        <v>-1025320323</v>
      </c>
      <c r="H263" s="48">
        <f>H13-H145</f>
        <v>-68292</v>
      </c>
      <c r="I263" s="48"/>
      <c r="J263" s="48">
        <f>J13-J145</f>
        <v>-228541859</v>
      </c>
      <c r="K263" s="48">
        <f>K13-K145</f>
        <v>76755291</v>
      </c>
      <c r="L263" s="48">
        <f>L13-L145</f>
        <v>20251</v>
      </c>
      <c r="M263" s="48">
        <f>M13-M145</f>
        <v>151961918</v>
      </c>
      <c r="N263" s="48">
        <f>J263+K263+L263+M263</f>
        <v>195601</v>
      </c>
      <c r="O263" s="48">
        <f>O13-O145</f>
        <v>-299409</v>
      </c>
      <c r="P263" s="48">
        <f>P13-P145</f>
        <v>0</v>
      </c>
      <c r="Q263" s="48">
        <f t="shared" si="55"/>
        <v>195601</v>
      </c>
      <c r="S263" s="5">
        <f t="shared" si="49"/>
        <v>-103808</v>
      </c>
      <c r="T263" s="5">
        <f t="shared" si="50"/>
        <v>299409</v>
      </c>
      <c r="V263" s="5">
        <f t="shared" si="51"/>
        <v>0</v>
      </c>
    </row>
    <row r="264" spans="1:22" s="3" customFormat="1" ht="12.75">
      <c r="A264" s="86"/>
      <c r="B264" s="49" t="s">
        <v>61</v>
      </c>
      <c r="C264" s="48">
        <f aca="true" t="shared" si="57" ref="C264:H264">C13-C177</f>
        <v>-676168577</v>
      </c>
      <c r="D264" s="48">
        <f t="shared" si="57"/>
        <v>-354787478</v>
      </c>
      <c r="E264" s="48">
        <f t="shared" si="57"/>
        <v>0</v>
      </c>
      <c r="F264" s="48">
        <f t="shared" si="57"/>
        <v>5635732</v>
      </c>
      <c r="G264" s="48">
        <f t="shared" si="57"/>
        <v>-1025320323</v>
      </c>
      <c r="H264" s="48">
        <f t="shared" si="57"/>
        <v>-68292</v>
      </c>
      <c r="I264" s="48"/>
      <c r="J264" s="48">
        <f aca="true" t="shared" si="58" ref="J264:P264">J13-J177</f>
        <v>-228541859</v>
      </c>
      <c r="K264" s="48">
        <f t="shared" si="58"/>
        <v>76755291</v>
      </c>
      <c r="L264" s="48">
        <f t="shared" si="58"/>
        <v>20251</v>
      </c>
      <c r="M264" s="48">
        <f t="shared" si="58"/>
        <v>151961918</v>
      </c>
      <c r="N264" s="48">
        <f t="shared" si="58"/>
        <v>195601</v>
      </c>
      <c r="O264" s="48">
        <f t="shared" si="58"/>
        <v>-299409</v>
      </c>
      <c r="P264" s="48">
        <f t="shared" si="58"/>
        <v>0</v>
      </c>
      <c r="Q264" s="48">
        <f t="shared" si="55"/>
        <v>195601</v>
      </c>
      <c r="S264" s="5">
        <f t="shared" si="49"/>
        <v>-103808</v>
      </c>
      <c r="T264" s="5">
        <f t="shared" si="50"/>
        <v>299409</v>
      </c>
      <c r="V264" s="5">
        <f t="shared" si="51"/>
        <v>0</v>
      </c>
    </row>
    <row r="265" spans="1:22" s="3" customFormat="1" ht="12.75">
      <c r="A265" s="86"/>
      <c r="B265" s="49" t="s">
        <v>275</v>
      </c>
      <c r="C265" s="48">
        <f aca="true" t="shared" si="59" ref="C265:H265">C266+C269+C270+C271+C272+C273+C274</f>
        <v>676168577</v>
      </c>
      <c r="D265" s="48">
        <f t="shared" si="59"/>
        <v>354787478</v>
      </c>
      <c r="E265" s="48">
        <f t="shared" si="59"/>
        <v>0</v>
      </c>
      <c r="F265" s="48">
        <f t="shared" si="59"/>
        <v>-5635732</v>
      </c>
      <c r="G265" s="48">
        <f t="shared" si="59"/>
        <v>1025320323</v>
      </c>
      <c r="H265" s="48">
        <f t="shared" si="59"/>
        <v>68292</v>
      </c>
      <c r="I265" s="48"/>
      <c r="J265" s="48">
        <f aca="true" t="shared" si="60" ref="J265:P265">J266+J269+J270+J271+J272+J273+J274</f>
        <v>-174653</v>
      </c>
      <c r="K265" s="48">
        <f t="shared" si="60"/>
        <v>0</v>
      </c>
      <c r="L265" s="48">
        <f t="shared" si="60"/>
        <v>-20948</v>
      </c>
      <c r="M265" s="48">
        <f t="shared" si="60"/>
        <v>0</v>
      </c>
      <c r="N265" s="48">
        <f>N266+N269+N270+N271+N272+N273+N274</f>
        <v>-195601</v>
      </c>
      <c r="O265" s="48">
        <f>O266+O269+O270+O271+O272+O273+O274</f>
        <v>299409</v>
      </c>
      <c r="P265" s="48">
        <f t="shared" si="60"/>
        <v>0</v>
      </c>
      <c r="Q265" s="48">
        <f t="shared" si="55"/>
        <v>-195601</v>
      </c>
      <c r="S265" s="5">
        <f t="shared" si="49"/>
        <v>103808</v>
      </c>
      <c r="T265" s="5">
        <f t="shared" si="50"/>
        <v>-299409</v>
      </c>
      <c r="V265" s="5">
        <f t="shared" si="51"/>
        <v>0</v>
      </c>
    </row>
    <row r="266" spans="1:22" s="3" customFormat="1" ht="12.75">
      <c r="A266" s="97" t="s">
        <v>276</v>
      </c>
      <c r="B266" s="50" t="s">
        <v>353</v>
      </c>
      <c r="C266" s="51">
        <v>231793756</v>
      </c>
      <c r="D266" s="52">
        <v>354997474</v>
      </c>
      <c r="E266" s="51"/>
      <c r="F266" s="51">
        <v>-4827856</v>
      </c>
      <c r="G266" s="52">
        <f>C266+D266+E266+F266</f>
        <v>581963374</v>
      </c>
      <c r="H266" s="51">
        <f>H268</f>
        <v>68292</v>
      </c>
      <c r="I266" s="52"/>
      <c r="J266" s="51">
        <f aca="true" t="shared" si="61" ref="J266:O266">J267+J268</f>
        <v>-174653</v>
      </c>
      <c r="K266" s="51">
        <f t="shared" si="61"/>
        <v>0</v>
      </c>
      <c r="L266" s="51">
        <f t="shared" si="61"/>
        <v>-20948</v>
      </c>
      <c r="M266" s="51">
        <f t="shared" si="61"/>
        <v>0</v>
      </c>
      <c r="N266" s="51">
        <f t="shared" si="61"/>
        <v>-195601</v>
      </c>
      <c r="O266" s="52">
        <f t="shared" si="61"/>
        <v>299409</v>
      </c>
      <c r="P266" s="51"/>
      <c r="Q266" s="52"/>
      <c r="S266" s="5">
        <f t="shared" si="49"/>
        <v>103808</v>
      </c>
      <c r="T266" s="5">
        <f t="shared" si="50"/>
        <v>-103808</v>
      </c>
      <c r="V266" s="5">
        <f t="shared" si="51"/>
        <v>0</v>
      </c>
    </row>
    <row r="267" spans="1:22" s="121" customFormat="1" ht="12.75">
      <c r="A267" s="116"/>
      <c r="B267" s="117" t="s">
        <v>375</v>
      </c>
      <c r="C267" s="118"/>
      <c r="D267" s="118"/>
      <c r="E267" s="118"/>
      <c r="F267" s="118"/>
      <c r="G267" s="119"/>
      <c r="H267" s="118"/>
      <c r="I267" s="120"/>
      <c r="J267" s="120">
        <f>-259763+33206</f>
        <v>-226557</v>
      </c>
      <c r="K267" s="120"/>
      <c r="L267" s="120">
        <v>-20948</v>
      </c>
      <c r="M267" s="120"/>
      <c r="N267" s="120">
        <f>J267+L267</f>
        <v>-247505</v>
      </c>
      <c r="O267" s="120">
        <f>-N267</f>
        <v>247505</v>
      </c>
      <c r="P267" s="120"/>
      <c r="Q267" s="120">
        <f>N267+O267</f>
        <v>0</v>
      </c>
      <c r="S267" s="5">
        <f t="shared" si="49"/>
        <v>0</v>
      </c>
      <c r="T267" s="5">
        <f t="shared" si="50"/>
        <v>0</v>
      </c>
      <c r="V267" s="5">
        <f t="shared" si="51"/>
        <v>0</v>
      </c>
    </row>
    <row r="268" spans="1:22" s="3" customFormat="1" ht="12.75">
      <c r="A268" s="96"/>
      <c r="B268" s="76" t="s">
        <v>336</v>
      </c>
      <c r="C268" s="77">
        <v>68292</v>
      </c>
      <c r="D268" s="77"/>
      <c r="E268" s="77"/>
      <c r="F268" s="77"/>
      <c r="G268" s="78">
        <f>C268</f>
        <v>68292</v>
      </c>
      <c r="H268" s="77">
        <f>G268</f>
        <v>68292</v>
      </c>
      <c r="I268" s="79">
        <v>0</v>
      </c>
      <c r="J268" s="79">
        <v>51904</v>
      </c>
      <c r="K268" s="79">
        <v>0</v>
      </c>
      <c r="L268" s="79">
        <v>0</v>
      </c>
      <c r="M268" s="79">
        <v>0</v>
      </c>
      <c r="N268" s="79">
        <f>J268+K268+L268+M268</f>
        <v>51904</v>
      </c>
      <c r="O268" s="79">
        <f>N268</f>
        <v>51904</v>
      </c>
      <c r="P268" s="79">
        <v>0</v>
      </c>
      <c r="Q268" s="79">
        <v>0</v>
      </c>
      <c r="S268" s="5">
        <f t="shared" si="49"/>
        <v>103808</v>
      </c>
      <c r="T268" s="5">
        <f t="shared" si="50"/>
        <v>-103808</v>
      </c>
      <c r="V268" s="5">
        <f t="shared" si="51"/>
        <v>0</v>
      </c>
    </row>
    <row r="269" spans="1:22" s="3" customFormat="1" ht="25.5" hidden="1">
      <c r="A269" s="97" t="s">
        <v>279</v>
      </c>
      <c r="B269" s="50" t="s">
        <v>62</v>
      </c>
      <c r="C269" s="51"/>
      <c r="D269" s="52"/>
      <c r="E269" s="51"/>
      <c r="F269" s="51"/>
      <c r="G269" s="52">
        <f aca="true" t="shared" si="62" ref="G269:G274">C269+D269+E269+F269</f>
        <v>0</v>
      </c>
      <c r="H269" s="51"/>
      <c r="I269" s="52">
        <f>G269+H269</f>
        <v>0</v>
      </c>
      <c r="J269" s="51">
        <v>0</v>
      </c>
      <c r="K269" s="51">
        <v>0</v>
      </c>
      <c r="L269" s="51">
        <v>0</v>
      </c>
      <c r="M269" s="51">
        <v>0</v>
      </c>
      <c r="N269" s="52">
        <f>J269+K269+L269+M269</f>
        <v>0</v>
      </c>
      <c r="O269" s="52">
        <v>0</v>
      </c>
      <c r="P269" s="51">
        <v>0</v>
      </c>
      <c r="Q269" s="52">
        <f t="shared" si="55"/>
        <v>0</v>
      </c>
      <c r="S269" s="5">
        <f t="shared" si="49"/>
        <v>0</v>
      </c>
      <c r="T269" s="5">
        <f t="shared" si="50"/>
        <v>0</v>
      </c>
      <c r="V269" s="5">
        <f t="shared" si="51"/>
        <v>0</v>
      </c>
    </row>
    <row r="270" spans="1:22" s="3" customFormat="1" ht="12.75">
      <c r="A270" s="97" t="s">
        <v>280</v>
      </c>
      <c r="B270" s="50" t="s">
        <v>63</v>
      </c>
      <c r="C270" s="51"/>
      <c r="D270" s="52"/>
      <c r="E270" s="51"/>
      <c r="F270" s="51"/>
      <c r="G270" s="52">
        <f t="shared" si="62"/>
        <v>0</v>
      </c>
      <c r="H270" s="51"/>
      <c r="I270" s="52"/>
      <c r="J270" s="138"/>
      <c r="K270" s="51"/>
      <c r="L270" s="51"/>
      <c r="M270" s="51"/>
      <c r="N270" s="52"/>
      <c r="O270" s="52"/>
      <c r="P270" s="51"/>
      <c r="Q270" s="52"/>
      <c r="S270" s="5">
        <f t="shared" si="49"/>
        <v>0</v>
      </c>
      <c r="T270" s="5">
        <f t="shared" si="50"/>
        <v>0</v>
      </c>
      <c r="V270" s="5">
        <f t="shared" si="51"/>
        <v>0</v>
      </c>
    </row>
    <row r="271" spans="1:22" s="3" customFormat="1" ht="12.75">
      <c r="A271" s="97" t="s">
        <v>278</v>
      </c>
      <c r="B271" s="50" t="s">
        <v>64</v>
      </c>
      <c r="C271" s="51">
        <v>652374821</v>
      </c>
      <c r="D271" s="52">
        <v>-209996</v>
      </c>
      <c r="E271" s="51"/>
      <c r="F271" s="51">
        <v>-1177756</v>
      </c>
      <c r="G271" s="52">
        <f t="shared" si="62"/>
        <v>650987069</v>
      </c>
      <c r="H271" s="51"/>
      <c r="I271" s="52"/>
      <c r="J271" s="51"/>
      <c r="K271" s="52"/>
      <c r="L271" s="51"/>
      <c r="M271" s="51"/>
      <c r="N271" s="52"/>
      <c r="O271" s="52"/>
      <c r="P271" s="51">
        <f>209996+1210104-59314</f>
        <v>1360786</v>
      </c>
      <c r="Q271" s="52"/>
      <c r="S271" s="5">
        <f t="shared" si="49"/>
        <v>1360786</v>
      </c>
      <c r="T271" s="5">
        <f t="shared" si="50"/>
        <v>-1360786</v>
      </c>
      <c r="V271" s="5">
        <f t="shared" si="51"/>
        <v>0</v>
      </c>
    </row>
    <row r="272" spans="1:22" s="3" customFormat="1" ht="12.75">
      <c r="A272" s="97" t="s">
        <v>277</v>
      </c>
      <c r="B272" s="50" t="s">
        <v>65</v>
      </c>
      <c r="C272" s="51">
        <v>-208000000</v>
      </c>
      <c r="D272" s="52"/>
      <c r="E272" s="51"/>
      <c r="F272" s="51"/>
      <c r="G272" s="52">
        <f t="shared" si="62"/>
        <v>-208000000</v>
      </c>
      <c r="H272" s="51"/>
      <c r="I272" s="52"/>
      <c r="J272" s="51"/>
      <c r="K272" s="52"/>
      <c r="L272" s="51"/>
      <c r="M272" s="51"/>
      <c r="N272" s="52"/>
      <c r="O272" s="52"/>
      <c r="P272" s="51">
        <f>-P271</f>
        <v>-1360786</v>
      </c>
      <c r="Q272" s="52"/>
      <c r="S272" s="5">
        <f t="shared" si="49"/>
        <v>-1360786</v>
      </c>
      <c r="T272" s="5">
        <f t="shared" si="50"/>
        <v>1360786</v>
      </c>
      <c r="V272" s="5">
        <f t="shared" si="51"/>
        <v>0</v>
      </c>
    </row>
    <row r="273" spans="1:22" s="3" customFormat="1" ht="25.5">
      <c r="A273" s="97" t="s">
        <v>281</v>
      </c>
      <c r="B273" s="50" t="s">
        <v>244</v>
      </c>
      <c r="C273" s="51">
        <v>0</v>
      </c>
      <c r="D273" s="52">
        <v>0</v>
      </c>
      <c r="E273" s="51"/>
      <c r="F273" s="51">
        <f>369880-F274</f>
        <v>-120</v>
      </c>
      <c r="G273" s="52">
        <f t="shared" si="62"/>
        <v>-120</v>
      </c>
      <c r="H273" s="51"/>
      <c r="I273" s="52"/>
      <c r="J273" s="51"/>
      <c r="K273" s="52"/>
      <c r="L273" s="51"/>
      <c r="M273" s="51"/>
      <c r="N273" s="52"/>
      <c r="O273" s="52"/>
      <c r="P273" s="51"/>
      <c r="Q273" s="52"/>
      <c r="S273" s="5">
        <f t="shared" si="49"/>
        <v>0</v>
      </c>
      <c r="T273" s="5">
        <f t="shared" si="50"/>
        <v>0</v>
      </c>
      <c r="V273" s="5">
        <f t="shared" si="51"/>
        <v>0</v>
      </c>
    </row>
    <row r="274" spans="1:22" s="3" customFormat="1" ht="12.75">
      <c r="A274" s="97" t="s">
        <v>282</v>
      </c>
      <c r="B274" s="50" t="s">
        <v>66</v>
      </c>
      <c r="C274" s="51">
        <v>0</v>
      </c>
      <c r="D274" s="52"/>
      <c r="E274" s="51"/>
      <c r="F274" s="51">
        <v>370000</v>
      </c>
      <c r="G274" s="52">
        <f t="shared" si="62"/>
        <v>370000</v>
      </c>
      <c r="H274" s="51"/>
      <c r="I274" s="52"/>
      <c r="J274" s="51"/>
      <c r="K274" s="52"/>
      <c r="L274" s="51"/>
      <c r="M274" s="51"/>
      <c r="N274" s="52"/>
      <c r="O274" s="52"/>
      <c r="P274" s="51"/>
      <c r="Q274" s="52"/>
      <c r="S274" s="5">
        <f t="shared" si="49"/>
        <v>0</v>
      </c>
      <c r="T274" s="5">
        <f t="shared" si="50"/>
        <v>0</v>
      </c>
      <c r="V274" s="5">
        <f t="shared" si="51"/>
        <v>0</v>
      </c>
    </row>
    <row r="275" spans="1:17" s="3" customFormat="1" ht="12.75">
      <c r="A275" s="99"/>
      <c r="B275" s="100"/>
      <c r="C275" s="101"/>
      <c r="D275" s="98"/>
      <c r="E275" s="101"/>
      <c r="F275" s="101"/>
      <c r="G275" s="98"/>
      <c r="H275" s="101"/>
      <c r="I275" s="98"/>
      <c r="J275" s="101"/>
      <c r="K275" s="98"/>
      <c r="L275" s="101"/>
      <c r="M275" s="101"/>
      <c r="N275" s="98"/>
      <c r="O275" s="98"/>
      <c r="P275" s="101"/>
      <c r="Q275" s="98"/>
    </row>
    <row r="276" spans="1:17" s="3" customFormat="1" ht="12.75">
      <c r="A276" s="99"/>
      <c r="B276" s="100"/>
      <c r="C276" s="101"/>
      <c r="D276" s="98"/>
      <c r="E276" s="101"/>
      <c r="F276" s="101"/>
      <c r="G276" s="98"/>
      <c r="H276" s="101"/>
      <c r="I276" s="98"/>
      <c r="J276" s="101"/>
      <c r="K276" s="98"/>
      <c r="L276" s="101"/>
      <c r="M276" s="101"/>
      <c r="N276" s="98"/>
      <c r="O276" s="98"/>
      <c r="P276" s="101"/>
      <c r="Q276" s="98"/>
    </row>
    <row r="277" spans="1:15" s="3" customFormat="1" ht="12.75">
      <c r="A277" s="3" t="s">
        <v>352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>
        <f>N13-N145</f>
        <v>195601</v>
      </c>
      <c r="O277" s="5"/>
    </row>
    <row r="278" spans="1:15" s="3" customFormat="1" ht="54.75" customHeight="1">
      <c r="A278" s="9"/>
      <c r="B278" s="3" t="s">
        <v>39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 t="s">
        <v>40</v>
      </c>
      <c r="N278" s="5">
        <f>N263-N264</f>
        <v>0</v>
      </c>
      <c r="O278" s="5"/>
    </row>
    <row r="279" spans="1:15" s="3" customFormat="1" ht="12.75">
      <c r="A279" s="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s="3" customFormat="1" ht="12.75">
      <c r="A280" s="12" t="s">
        <v>318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s="3" customFormat="1" ht="12.75">
      <c r="A281" s="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3" customFormat="1" ht="12.75">
      <c r="A282" s="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s="3" customFormat="1" ht="12.75">
      <c r="A283" s="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s="3" customFormat="1" ht="12.75">
      <c r="A284" s="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s="3" customFormat="1" ht="12.75">
      <c r="A285" s="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s="3" customFormat="1" ht="12.75">
      <c r="A286" s="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s="3" customFormat="1" ht="12.75">
      <c r="A287" s="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s="3" customFormat="1" ht="12.75">
      <c r="A288" s="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s="3" customFormat="1" ht="12.75">
      <c r="A289" s="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s="3" customFormat="1" ht="12.75">
      <c r="A290" s="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s="3" customFormat="1" ht="12.75">
      <c r="A291" s="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s="3" customFormat="1" ht="12.75">
      <c r="A292" s="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s="3" customFormat="1" ht="12.75">
      <c r="A293" s="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s="3" customFormat="1" ht="12.75">
      <c r="A294" s="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s="3" customFormat="1" ht="12.75">
      <c r="A295" s="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s="3" customFormat="1" ht="12.75">
      <c r="A296" s="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s="3" customFormat="1" ht="12.75">
      <c r="A297" s="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s="3" customFormat="1" ht="12.75">
      <c r="A298" s="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s="3" customFormat="1" ht="12.75">
      <c r="A299" s="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s="3" customFormat="1" ht="12.75">
      <c r="A300" s="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s="3" customFormat="1" ht="12.75">
      <c r="A301" s="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s="3" customFormat="1" ht="12.75">
      <c r="A302" s="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s="3" customFormat="1" ht="12.75">
      <c r="A303" s="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s="3" customFormat="1" ht="12.75">
      <c r="A304" s="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s="3" customFormat="1" ht="12.75">
      <c r="A305" s="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s="3" customFormat="1" ht="12.75">
      <c r="A306" s="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s="3" customFormat="1" ht="12.75">
      <c r="A307" s="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s="3" customFormat="1" ht="12.75">
      <c r="A308" s="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s="3" customFormat="1" ht="12.75">
      <c r="A309" s="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s="3" customFormat="1" ht="12.75">
      <c r="A310" s="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s="3" customFormat="1" ht="12.75">
      <c r="A311" s="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s="3" customFormat="1" ht="12.75">
      <c r="A312" s="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s="3" customFormat="1" ht="12.75">
      <c r="A313" s="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s="3" customFormat="1" ht="12.75">
      <c r="A314" s="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s="3" customFormat="1" ht="12.75">
      <c r="A315" s="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s="3" customFormat="1" ht="12.75">
      <c r="A316" s="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s="3" customFormat="1" ht="12.75">
      <c r="A317" s="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s="3" customFormat="1" ht="12.75">
      <c r="A318" s="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s="3" customFormat="1" ht="12.75">
      <c r="A319" s="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s="3" customFormat="1" ht="12.75">
      <c r="A320" s="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s="3" customFormat="1" ht="12.75">
      <c r="A321" s="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s="3" customFormat="1" ht="12.75">
      <c r="A322" s="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s="3" customFormat="1" ht="12.75">
      <c r="A323" s="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s="3" customFormat="1" ht="12.75">
      <c r="A324" s="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s="3" customFormat="1" ht="12.75">
      <c r="A325" s="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s="3" customFormat="1" ht="12.75">
      <c r="A326" s="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s="3" customFormat="1" ht="12.75">
      <c r="A327" s="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s="3" customFormat="1" ht="12.75">
      <c r="A328" s="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s="3" customFormat="1" ht="12.75">
      <c r="A329" s="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s="3" customFormat="1" ht="12.75">
      <c r="A330" s="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s="3" customFormat="1" ht="12.75">
      <c r="A331" s="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s="3" customFormat="1" ht="12.75">
      <c r="A332" s="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s="3" customFormat="1" ht="12.75">
      <c r="A333" s="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s="3" customFormat="1" ht="12.75">
      <c r="A334" s="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s="3" customFormat="1" ht="12.75">
      <c r="A335" s="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s="3" customFormat="1" ht="12.75">
      <c r="A336" s="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s="3" customFormat="1" ht="12.75">
      <c r="A337" s="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s="3" customFormat="1" ht="12.75">
      <c r="A338" s="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s="3" customFormat="1" ht="12.75">
      <c r="A339" s="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s="3" customFormat="1" ht="12.75">
      <c r="A340" s="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s="3" customFormat="1" ht="12.75">
      <c r="A341" s="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s="3" customFormat="1" ht="12.75">
      <c r="A342" s="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s="3" customFormat="1" ht="12.75">
      <c r="A343" s="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s="3" customFormat="1" ht="12.75">
      <c r="A344" s="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s="3" customFormat="1" ht="12.75">
      <c r="A345" s="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s="3" customFormat="1" ht="12.75">
      <c r="A346" s="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s="3" customFormat="1" ht="12.75">
      <c r="A347" s="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s="3" customFormat="1" ht="12.75">
      <c r="A348" s="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s="3" customFormat="1" ht="12.75">
      <c r="A349" s="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s="3" customFormat="1" ht="12.75">
      <c r="A350" s="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s="3" customFormat="1" ht="12.75">
      <c r="A351" s="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s="3" customFormat="1" ht="12.75">
      <c r="A352" s="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s="3" customFormat="1" ht="12.75">
      <c r="A353" s="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s="3" customFormat="1" ht="12.75">
      <c r="A354" s="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s="3" customFormat="1" ht="12.75">
      <c r="A355" s="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s="3" customFormat="1" ht="12.75">
      <c r="A356" s="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s="3" customFormat="1" ht="12.75">
      <c r="A357" s="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s="3" customFormat="1" ht="12.75">
      <c r="A358" s="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s="3" customFormat="1" ht="12.75">
      <c r="A359" s="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s="3" customFormat="1" ht="12.75">
      <c r="A360" s="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s="3" customFormat="1" ht="12.75">
      <c r="A361" s="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s="3" customFormat="1" ht="12.75">
      <c r="A362" s="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s="3" customFormat="1" ht="12.75">
      <c r="A363" s="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s="3" customFormat="1" ht="12.75">
      <c r="A364" s="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s="3" customFormat="1" ht="12.75">
      <c r="A365" s="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s="3" customFormat="1" ht="12.75">
      <c r="A366" s="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s="3" customFormat="1" ht="12.75">
      <c r="A367" s="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s="3" customFormat="1" ht="12.75">
      <c r="A368" s="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s="3" customFormat="1" ht="12.75">
      <c r="A369" s="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s="3" customFormat="1" ht="12.75">
      <c r="A370" s="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s="3" customFormat="1" ht="12.75">
      <c r="A371" s="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s="3" customFormat="1" ht="12.75">
      <c r="A372" s="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s="3" customFormat="1" ht="12.75">
      <c r="A373" s="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s="3" customFormat="1" ht="12.75">
      <c r="A374" s="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s="3" customFormat="1" ht="12.75">
      <c r="A375" s="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s="3" customFormat="1" ht="12.75">
      <c r="A376" s="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s="3" customFormat="1" ht="12.75">
      <c r="A377" s="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s="3" customFormat="1" ht="12.75">
      <c r="A378" s="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s="3" customFormat="1" ht="12.75">
      <c r="A379" s="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s="3" customFormat="1" ht="12.75">
      <c r="A380" s="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s="3" customFormat="1" ht="12.75">
      <c r="A381" s="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s="3" customFormat="1" ht="12.75">
      <c r="A382" s="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s="3" customFormat="1" ht="12.75">
      <c r="A383" s="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s="3" customFormat="1" ht="12.75">
      <c r="A384" s="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s="3" customFormat="1" ht="12.75">
      <c r="A385" s="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s="3" customFormat="1" ht="12.75">
      <c r="A386" s="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s="3" customFormat="1" ht="12.75">
      <c r="A387" s="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s="3" customFormat="1" ht="12.75">
      <c r="A388" s="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s="3" customFormat="1" ht="12.75">
      <c r="A389" s="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s="3" customFormat="1" ht="12.75">
      <c r="A390" s="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s="3" customFormat="1" ht="12.75">
      <c r="A391" s="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s="3" customFormat="1" ht="12.75">
      <c r="A392" s="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s="3" customFormat="1" ht="12.75">
      <c r="A393" s="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s="3" customFormat="1" ht="12.75">
      <c r="A394" s="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s="3" customFormat="1" ht="12.75">
      <c r="A395" s="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s="3" customFormat="1" ht="12.75">
      <c r="A396" s="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s="3" customFormat="1" ht="12.75">
      <c r="A397" s="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s="3" customFormat="1" ht="12.75">
      <c r="A398" s="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s="3" customFormat="1" ht="12.75">
      <c r="A399" s="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s="3" customFormat="1" ht="12.75">
      <c r="A400" s="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s="3" customFormat="1" ht="12.75">
      <c r="A401" s="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s="3" customFormat="1" ht="12.75">
      <c r="A402" s="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s="3" customFormat="1" ht="12.75">
      <c r="A403" s="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s="3" customFormat="1" ht="12.75">
      <c r="A404" s="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s="3" customFormat="1" ht="12.75">
      <c r="A405" s="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s="3" customFormat="1" ht="12.75">
      <c r="A406" s="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s="3" customFormat="1" ht="12.75">
      <c r="A407" s="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s="3" customFormat="1" ht="12.75">
      <c r="A408" s="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s="3" customFormat="1" ht="12.75">
      <c r="A409" s="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s="3" customFormat="1" ht="12.75">
      <c r="A410" s="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s="3" customFormat="1" ht="12.75">
      <c r="A411" s="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s="3" customFormat="1" ht="12.75">
      <c r="A412" s="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s="3" customFormat="1" ht="12.75">
      <c r="A413" s="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s="3" customFormat="1" ht="12.75">
      <c r="A414" s="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s="3" customFormat="1" ht="12.75">
      <c r="A415" s="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s="3" customFormat="1" ht="12.75">
      <c r="A416" s="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s="3" customFormat="1" ht="12.75">
      <c r="A417" s="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s="3" customFormat="1" ht="12.75">
      <c r="A418" s="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s="3" customFormat="1" ht="12.75">
      <c r="A419" s="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s="3" customFormat="1" ht="12.75">
      <c r="A420" s="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s="3" customFormat="1" ht="12.75">
      <c r="A421" s="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s="3" customFormat="1" ht="12.75">
      <c r="A422" s="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s="3" customFormat="1" ht="12.75">
      <c r="A423" s="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s="3" customFormat="1" ht="12.75">
      <c r="A424" s="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s="3" customFormat="1" ht="12.75">
      <c r="A425" s="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s="3" customFormat="1" ht="12.75">
      <c r="A426" s="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s="3" customFormat="1" ht="12.75">
      <c r="A427" s="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s="3" customFormat="1" ht="12.75">
      <c r="A428" s="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s="3" customFormat="1" ht="12.75">
      <c r="A429" s="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s="3" customFormat="1" ht="12.75">
      <c r="A430" s="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s="3" customFormat="1" ht="12.75">
      <c r="A431" s="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s="3" customFormat="1" ht="12.75">
      <c r="A432" s="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s="3" customFormat="1" ht="12.75">
      <c r="A433" s="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s="3" customFormat="1" ht="12.75">
      <c r="A434" s="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s="3" customFormat="1" ht="12.75">
      <c r="A435" s="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s="3" customFormat="1" ht="12.75">
      <c r="A436" s="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s="3" customFormat="1" ht="12.75">
      <c r="A437" s="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s="3" customFormat="1" ht="12.75">
      <c r="A438" s="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s="3" customFormat="1" ht="12.75">
      <c r="A439" s="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s="3" customFormat="1" ht="12.75">
      <c r="A440" s="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s="3" customFormat="1" ht="12.75">
      <c r="A441" s="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s="3" customFormat="1" ht="12.75">
      <c r="A442" s="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s="3" customFormat="1" ht="12.75">
      <c r="A443" s="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s="3" customFormat="1" ht="12.75">
      <c r="A444" s="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s="3" customFormat="1" ht="12.75">
      <c r="A445" s="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s="3" customFormat="1" ht="12.75">
      <c r="A446" s="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s="3" customFormat="1" ht="12.75">
      <c r="A447" s="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s="3" customFormat="1" ht="12.75">
      <c r="A448" s="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s="3" customFormat="1" ht="12.75">
      <c r="A449" s="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s="3" customFormat="1" ht="12.75">
      <c r="A450" s="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s="3" customFormat="1" ht="12.75">
      <c r="A451" s="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s="3" customFormat="1" ht="12.75">
      <c r="A452" s="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s="3" customFormat="1" ht="12.75">
      <c r="A453" s="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s="3" customFormat="1" ht="12.75">
      <c r="A454" s="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s="3" customFormat="1" ht="12.75">
      <c r="A455" s="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s="3" customFormat="1" ht="12.75">
      <c r="A456" s="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s="3" customFormat="1" ht="12.75">
      <c r="A457" s="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s="3" customFormat="1" ht="12.75">
      <c r="A458" s="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s="3" customFormat="1" ht="12.75">
      <c r="A459" s="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s="3" customFormat="1" ht="12.75">
      <c r="A460" s="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 s="3" customFormat="1" ht="12.75">
      <c r="A461" s="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s="3" customFormat="1" ht="12.75">
      <c r="A462" s="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s="3" customFormat="1" ht="12.75">
      <c r="A463" s="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s="3" customFormat="1" ht="12.75">
      <c r="A464" s="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s="3" customFormat="1" ht="12.75">
      <c r="A465" s="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s="3" customFormat="1" ht="12.75">
      <c r="A466" s="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 s="3" customFormat="1" ht="12.75">
      <c r="A467" s="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 s="3" customFormat="1" ht="12.75">
      <c r="A468" s="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 s="3" customFormat="1" ht="12.75">
      <c r="A469" s="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s="3" customFormat="1" ht="12.75">
      <c r="A470" s="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s="3" customFormat="1" ht="12.75">
      <c r="A471" s="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s="3" customFormat="1" ht="12.75">
      <c r="A472" s="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s="3" customFormat="1" ht="12.75">
      <c r="A473" s="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s="3" customFormat="1" ht="12.75">
      <c r="A474" s="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s="3" customFormat="1" ht="12.75">
      <c r="A475" s="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s="3" customFormat="1" ht="12.75">
      <c r="A476" s="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s="3" customFormat="1" ht="12.75">
      <c r="A477" s="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s="3" customFormat="1" ht="12.75">
      <c r="A478" s="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s="3" customFormat="1" ht="12.75">
      <c r="A479" s="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s="3" customFormat="1" ht="12.75">
      <c r="A480" s="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 s="3" customFormat="1" ht="12.75">
      <c r="A481" s="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s="3" customFormat="1" ht="12.75">
      <c r="A482" s="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s="3" customFormat="1" ht="12.75">
      <c r="A483" s="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 s="3" customFormat="1" ht="12.75">
      <c r="A484" s="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 s="3" customFormat="1" ht="12.75">
      <c r="A485" s="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 s="3" customFormat="1" ht="12.75">
      <c r="A486" s="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 s="3" customFormat="1" ht="12.75">
      <c r="A487" s="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s="3" customFormat="1" ht="12.75">
      <c r="A488" s="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s="3" customFormat="1" ht="12.75">
      <c r="A489" s="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s="3" customFormat="1" ht="12.75">
      <c r="A490" s="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s="3" customFormat="1" ht="12.75">
      <c r="A491" s="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s="3" customFormat="1" ht="12.75">
      <c r="A492" s="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 s="3" customFormat="1" ht="12.75">
      <c r="A493" s="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 s="3" customFormat="1" ht="12.75">
      <c r="A494" s="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s="3" customFormat="1" ht="12.75">
      <c r="A495" s="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s="3" customFormat="1" ht="12.75">
      <c r="A496" s="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s="3" customFormat="1" ht="12.75">
      <c r="A497" s="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s="3" customFormat="1" ht="12.75">
      <c r="A498" s="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s="3" customFormat="1" ht="12.75">
      <c r="A499" s="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 s="3" customFormat="1" ht="12.75">
      <c r="A500" s="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 s="3" customFormat="1" ht="12.75">
      <c r="A501" s="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 s="3" customFormat="1" ht="12.75">
      <c r="A502" s="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 s="3" customFormat="1" ht="12.75">
      <c r="A503" s="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s="3" customFormat="1" ht="12.75">
      <c r="A504" s="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s="3" customFormat="1" ht="12.75">
      <c r="A505" s="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 s="3" customFormat="1" ht="12.75">
      <c r="A506" s="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 s="3" customFormat="1" ht="12.75">
      <c r="A507" s="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 s="3" customFormat="1" ht="12.75">
      <c r="A508" s="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 s="3" customFormat="1" ht="12.75">
      <c r="A509" s="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 s="3" customFormat="1" ht="12.75">
      <c r="A510" s="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 s="3" customFormat="1" ht="12.75">
      <c r="A511" s="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 s="3" customFormat="1" ht="12.75">
      <c r="A512" s="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 s="3" customFormat="1" ht="12.75">
      <c r="A513" s="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 s="3" customFormat="1" ht="12.75">
      <c r="A514" s="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 s="3" customFormat="1" ht="12.75">
      <c r="A515" s="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 s="3" customFormat="1" ht="12.75">
      <c r="A516" s="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 s="3" customFormat="1" ht="12.75">
      <c r="A517" s="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 s="3" customFormat="1" ht="12.75">
      <c r="A518" s="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 s="3" customFormat="1" ht="12.75">
      <c r="A519" s="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 s="3" customFormat="1" ht="12.75">
      <c r="A520" s="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 s="3" customFormat="1" ht="12.75">
      <c r="A521" s="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 s="3" customFormat="1" ht="12.75">
      <c r="A522" s="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 s="3" customFormat="1" ht="12.75">
      <c r="A523" s="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 s="3" customFormat="1" ht="12.75">
      <c r="A524" s="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 s="3" customFormat="1" ht="12.75">
      <c r="A525" s="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 s="3" customFormat="1" ht="12.75">
      <c r="A526" s="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 s="3" customFormat="1" ht="12.75">
      <c r="A527" s="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 s="3" customFormat="1" ht="12.75">
      <c r="A528" s="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 s="3" customFormat="1" ht="12.75">
      <c r="A529" s="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s="3" customFormat="1" ht="12.75">
      <c r="A530" s="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s="3" customFormat="1" ht="12.75">
      <c r="A531" s="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 s="3" customFormat="1" ht="12.75">
      <c r="A532" s="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 s="3" customFormat="1" ht="12.75">
      <c r="A533" s="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 s="3" customFormat="1" ht="12.75">
      <c r="A534" s="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 s="3" customFormat="1" ht="12.75">
      <c r="A535" s="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 s="3" customFormat="1" ht="12.75">
      <c r="A536" s="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 s="3" customFormat="1" ht="12.75">
      <c r="A537" s="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 s="3" customFormat="1" ht="12.75">
      <c r="A538" s="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s="3" customFormat="1" ht="12.75">
      <c r="A539" s="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 s="3" customFormat="1" ht="12.75">
      <c r="A540" s="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 s="3" customFormat="1" ht="12.75">
      <c r="A541" s="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 s="3" customFormat="1" ht="12.75">
      <c r="A542" s="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 s="3" customFormat="1" ht="12.75">
      <c r="A543" s="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 s="3" customFormat="1" ht="12.75">
      <c r="A544" s="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 s="3" customFormat="1" ht="12.75">
      <c r="A545" s="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 s="3" customFormat="1" ht="12.75">
      <c r="A546" s="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 s="3" customFormat="1" ht="12.75">
      <c r="A547" s="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 s="3" customFormat="1" ht="12.75">
      <c r="A548" s="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 s="3" customFormat="1" ht="12.75">
      <c r="A549" s="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 s="3" customFormat="1" ht="12.75">
      <c r="A550" s="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 s="3" customFormat="1" ht="12.75">
      <c r="A551" s="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 s="3" customFormat="1" ht="12.75">
      <c r="A552" s="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 s="3" customFormat="1" ht="12.75">
      <c r="A553" s="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 s="3" customFormat="1" ht="12.75">
      <c r="A554" s="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 s="3" customFormat="1" ht="12.75">
      <c r="A555" s="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s="3" customFormat="1" ht="12.75">
      <c r="A556" s="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s="3" customFormat="1" ht="12.75">
      <c r="A557" s="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s="3" customFormat="1" ht="12.75">
      <c r="A558" s="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 s="3" customFormat="1" ht="12.75">
      <c r="A559" s="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s="3" customFormat="1" ht="12.75">
      <c r="A560" s="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 s="3" customFormat="1" ht="12.75">
      <c r="A561" s="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 s="3" customFormat="1" ht="12.75">
      <c r="A562" s="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 s="3" customFormat="1" ht="12.75">
      <c r="A563" s="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 s="3" customFormat="1" ht="12.75">
      <c r="A564" s="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s="3" customFormat="1" ht="12.75">
      <c r="A565" s="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 s="3" customFormat="1" ht="12.75">
      <c r="A566" s="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 s="3" customFormat="1" ht="12.75">
      <c r="A567" s="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 s="3" customFormat="1" ht="12.75">
      <c r="A568" s="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 s="3" customFormat="1" ht="12.75">
      <c r="A569" s="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1:15" s="3" customFormat="1" ht="12.75">
      <c r="A570" s="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1:15" s="3" customFormat="1" ht="12.75">
      <c r="A571" s="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 s="3" customFormat="1" ht="12.75">
      <c r="A572" s="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 s="3" customFormat="1" ht="12.75">
      <c r="A573" s="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 s="3" customFormat="1" ht="12.75">
      <c r="A574" s="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 s="3" customFormat="1" ht="12.75">
      <c r="A575" s="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 s="3" customFormat="1" ht="12.75">
      <c r="A576" s="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 s="3" customFormat="1" ht="12.75">
      <c r="A577" s="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s="3" customFormat="1" ht="12.75">
      <c r="A578" s="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 s="3" customFormat="1" ht="12.75">
      <c r="A579" s="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 s="3" customFormat="1" ht="12.75">
      <c r="A580" s="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1:15" s="3" customFormat="1" ht="12.75">
      <c r="A581" s="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s="3" customFormat="1" ht="12.75">
      <c r="A582" s="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s="3" customFormat="1" ht="12.75">
      <c r="A583" s="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 s="3" customFormat="1" ht="12.75">
      <c r="A584" s="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 s="3" customFormat="1" ht="12.75">
      <c r="A585" s="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 s="3" customFormat="1" ht="12.75">
      <c r="A586" s="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 s="3" customFormat="1" ht="12.75">
      <c r="A587" s="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1:15" s="3" customFormat="1" ht="12.75">
      <c r="A588" s="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1:15" s="3" customFormat="1" ht="12.75">
      <c r="A589" s="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 s="3" customFormat="1" ht="12.75">
      <c r="A590" s="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 s="3" customFormat="1" ht="12.75">
      <c r="A591" s="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 s="3" customFormat="1" ht="12.75">
      <c r="A592" s="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 s="3" customFormat="1" ht="12.75">
      <c r="A593" s="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1:15" s="3" customFormat="1" ht="12.75">
      <c r="A594" s="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1:15" s="3" customFormat="1" ht="12.75">
      <c r="A595" s="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1:15" s="3" customFormat="1" ht="12.75">
      <c r="A596" s="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5" s="3" customFormat="1" ht="12.75">
      <c r="A597" s="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5" s="3" customFormat="1" ht="12.75">
      <c r="A598" s="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5" s="3" customFormat="1" ht="12.75">
      <c r="A599" s="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1:15" s="3" customFormat="1" ht="12.75">
      <c r="A600" s="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 s="3" customFormat="1" ht="12.75">
      <c r="A601" s="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1:15" s="3" customFormat="1" ht="12.75">
      <c r="A602" s="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 s="3" customFormat="1" ht="12.75">
      <c r="A603" s="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s="3" customFormat="1" ht="12.75">
      <c r="A604" s="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 s="3" customFormat="1" ht="12.75">
      <c r="A605" s="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 s="3" customFormat="1" ht="12.75">
      <c r="A606" s="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s="3" customFormat="1" ht="12.75">
      <c r="A607" s="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s="3" customFormat="1" ht="12.75">
      <c r="A608" s="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s="3" customFormat="1" ht="12.75">
      <c r="A609" s="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1:15" s="3" customFormat="1" ht="12.75">
      <c r="A610" s="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 s="3" customFormat="1" ht="12.75">
      <c r="A611" s="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 s="3" customFormat="1" ht="12.75">
      <c r="A612" s="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 s="3" customFormat="1" ht="12.75">
      <c r="A613" s="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 s="3" customFormat="1" ht="12.75">
      <c r="A614" s="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 s="3" customFormat="1" ht="12.75">
      <c r="A615" s="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1:15" s="3" customFormat="1" ht="12.75">
      <c r="A616" s="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1:15" s="3" customFormat="1" ht="12.75">
      <c r="A617" s="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 s="3" customFormat="1" ht="12.75">
      <c r="A618" s="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 s="3" customFormat="1" ht="12.75">
      <c r="A619" s="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1:15" s="3" customFormat="1" ht="12.75">
      <c r="A620" s="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1:15" s="3" customFormat="1" ht="12.75">
      <c r="A621" s="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1:15" s="3" customFormat="1" ht="12.75">
      <c r="A622" s="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1:15" s="3" customFormat="1" ht="12.75">
      <c r="A623" s="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1:15" s="3" customFormat="1" ht="12.75">
      <c r="A624" s="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1:15" s="3" customFormat="1" ht="12.75">
      <c r="A625" s="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1:15" s="3" customFormat="1" ht="12.75">
      <c r="A626" s="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1:15" s="3" customFormat="1" ht="12.75">
      <c r="A627" s="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1:15" s="3" customFormat="1" ht="12.75">
      <c r="A628" s="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1:15" s="3" customFormat="1" ht="12.75">
      <c r="A629" s="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1:15" s="3" customFormat="1" ht="12.75">
      <c r="A630" s="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1:15" s="3" customFormat="1" ht="12.75">
      <c r="A631" s="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1:15" s="3" customFormat="1" ht="12.75">
      <c r="A632" s="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1:15" s="3" customFormat="1" ht="12.75">
      <c r="A633" s="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s="3" customFormat="1" ht="12.75">
      <c r="A634" s="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s="3" customFormat="1" ht="12.75">
      <c r="A635" s="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1:15" s="3" customFormat="1" ht="12.75">
      <c r="A636" s="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</sheetData>
  <sheetProtection/>
  <mergeCells count="11">
    <mergeCell ref="A2:Q2"/>
    <mergeCell ref="A3:Q3"/>
    <mergeCell ref="A4:Q4"/>
    <mergeCell ref="A5:B5"/>
    <mergeCell ref="A6:Q6"/>
    <mergeCell ref="A7:Q7"/>
    <mergeCell ref="A9:A10"/>
    <mergeCell ref="B9:B10"/>
    <mergeCell ref="C9:H9"/>
    <mergeCell ref="I9:I10"/>
    <mergeCell ref="J9:Q9"/>
  </mergeCells>
  <printOptions horizontalCentered="1"/>
  <pageMargins left="0.7480314960629921" right="0.6299212598425197" top="0.8267716535433072" bottom="0.5905511811023623" header="0.9055118110236221" footer="0.31496062992125984"/>
  <pageSetup firstPageNumber="1" useFirstPageNumber="1" horizontalDpi="600" verticalDpi="600" orientation="landscape" paperSize="9" scale="80" r:id="rId4"/>
  <headerFooter alignWithMargins="0">
    <oddFooter>&amp;L&amp;"Times New Roman,Regular"Latvijas Republikas 2010.gada pārskats par valsts budžeta izpildi un par pašvaldību budžetiem; Papildinfomrācija; Informācija mājas lapai&amp;R&amp;P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Daiga Klavina</cp:lastModifiedBy>
  <cp:lastPrinted>2011-06-30T08:13:22Z</cp:lastPrinted>
  <dcterms:created xsi:type="dcterms:W3CDTF">2007-06-25T11:13:19Z</dcterms:created>
  <dcterms:modified xsi:type="dcterms:W3CDTF">2011-06-30T08:14:23Z</dcterms:modified>
  <cp:category/>
  <cp:version/>
  <cp:contentType/>
  <cp:contentStatus/>
</cp:coreProperties>
</file>